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80" windowHeight="10725" tabRatio="879" activeTab="0"/>
  </bookViews>
  <sheets>
    <sheet name="toelichting" sheetId="1" r:id="rId1"/>
    <sheet name="basis" sheetId="2" r:id="rId2"/>
    <sheet name="schematiseringsfactor opbarsten" sheetId="3" r:id="rId3"/>
    <sheet name="schematiseringsfactor piping" sheetId="4" r:id="rId4"/>
    <sheet name="schematiseringsfactor heave" sheetId="5" r:id="rId5"/>
  </sheets>
  <definedNames>
    <definedName name="_xlfn.NORM.S.INV" hidden="1">#NAME?</definedName>
  </definedNames>
  <calcPr fullCalcOnLoad="1"/>
</workbook>
</file>

<file path=xl/sharedStrings.xml><?xml version="1.0" encoding="utf-8"?>
<sst xmlns="http://schemas.openxmlformats.org/spreadsheetml/2006/main" count="190" uniqueCount="97">
  <si>
    <t xml:space="preserve">dit is </t>
  </si>
  <si>
    <t>Si</t>
  </si>
  <si>
    <t>P(Si)</t>
  </si>
  <si>
    <t>β</t>
  </si>
  <si>
    <t>Psf (D;Si)</t>
  </si>
  <si>
    <t>Gele cellen door gebruiker in te vullen!</t>
  </si>
  <si>
    <t>Opbarsten</t>
  </si>
  <si>
    <t>eenheid</t>
  </si>
  <si>
    <t>toelichting</t>
  </si>
  <si>
    <t>[1/jaar]</t>
  </si>
  <si>
    <t>[--]</t>
  </si>
  <si>
    <t>faalkansruimte voor opbarsten, heave en piping</t>
  </si>
  <si>
    <t>a</t>
  </si>
  <si>
    <t>b</t>
  </si>
  <si>
    <t>lengte van onafhankelijke, equivalente vakken voor het betreffende mechanisme</t>
  </si>
  <si>
    <t>Ltraject</t>
  </si>
  <si>
    <t>[m]</t>
  </si>
  <si>
    <t>N</t>
  </si>
  <si>
    <t>lengte-effectfactor</t>
  </si>
  <si>
    <t>bron</t>
  </si>
  <si>
    <t>formule</t>
  </si>
  <si>
    <t>[jaar]</t>
  </si>
  <si>
    <t>x</t>
  </si>
  <si>
    <t>y</t>
  </si>
  <si>
    <t>z</t>
  </si>
  <si>
    <t>vaste waarde</t>
  </si>
  <si>
    <t>betrouwbaarheidsindex bij Peis,dsn</t>
  </si>
  <si>
    <t>waarde</t>
  </si>
  <si>
    <t>fractie van de lengte van het traject dat gevoelig is voor opbarsten, heave of piping</t>
  </si>
  <si>
    <t>lengte van het dijktraject waarop de norm van toepassing is</t>
  </si>
  <si>
    <t>kans op voorkomen scenario i</t>
  </si>
  <si>
    <t xml:space="preserve">Si: </t>
  </si>
  <si>
    <t>Scenario i</t>
  </si>
  <si>
    <t>P(Si):</t>
  </si>
  <si>
    <t>ΔFopb(D;Si):</t>
  </si>
  <si>
    <t>Piping</t>
  </si>
  <si>
    <t>ΔFpip(D;Si)</t>
  </si>
  <si>
    <t>Fpip(D; Si)</t>
  </si>
  <si>
    <t>Heave</t>
  </si>
  <si>
    <t>veiligheidsfactor voor het deelmechanisme opbarsten</t>
  </si>
  <si>
    <t>veiligheidsfactor voor het deelmechanisme piping</t>
  </si>
  <si>
    <t>veiligheidsfactor voor het deelmechanisme heave</t>
  </si>
  <si>
    <t>ΔFhe(D;Si)</t>
  </si>
  <si>
    <t>Fhe(D; Si)</t>
  </si>
  <si>
    <t>w</t>
  </si>
  <si>
    <t>faalkanseis die per doorsnede aan het faalmechanisme wordt gesteld</t>
  </si>
  <si>
    <t>Piping (aangepaste model Sellmeijer)</t>
  </si>
  <si>
    <r>
      <rPr>
        <sz val="10"/>
        <rFont val="Symbol"/>
        <family val="1"/>
      </rPr>
      <t>b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max</t>
    </r>
  </si>
  <si>
    <t>1/Pmax</t>
  </si>
  <si>
    <t>OI2014v4</t>
  </si>
  <si>
    <t>inverse van de maximaal toelaatbare overstromingskans voor het normtraject</t>
  </si>
  <si>
    <t>Totale faalkans</t>
  </si>
  <si>
    <t>Basisschematisering</t>
  </si>
  <si>
    <t>Omschrijving scenario</t>
  </si>
  <si>
    <t>verschil opbarstfactor tussen basisschematisatie en scenario i</t>
  </si>
  <si>
    <t>betrouwbaarheidsindex bij de maximaal toelaatbare overstromingskans</t>
  </si>
  <si>
    <t>ΔFu(D;Si):</t>
  </si>
  <si>
    <t>ΔFup(D;Si)</t>
  </si>
  <si>
    <t>Fup(D; Si)</t>
  </si>
  <si>
    <t>ΔFup(D;Si) geeft toename van Fup(D) tov eis</t>
  </si>
  <si>
    <t xml:space="preserve">Totale faalkans </t>
  </si>
  <si>
    <t xml:space="preserve"> schematiseringsfactor verhogen tot dit percentage &lt; 100% is</t>
  </si>
  <si>
    <t xml:space="preserve"> van de toelaatbare kans</t>
  </si>
  <si>
    <t>bij aanname van scenario Si</t>
  </si>
  <si>
    <t xml:space="preserve">bij aanname van scenario Si </t>
  </si>
  <si>
    <t>Bijdrage ontwerpschematisering aan faalkans</t>
  </si>
  <si>
    <t>Corresponderende faalkans</t>
  </si>
  <si>
    <t>Corresponderende β</t>
  </si>
  <si>
    <t>ΔFpip(D;Si) geeft toename van Fpip(D) tov eis</t>
  </si>
  <si>
    <r>
      <t>Psf(D; Si)</t>
    </r>
    <r>
      <rPr>
        <sz val="10"/>
        <rFont val="Verdana"/>
        <family val="2"/>
      </rPr>
      <t>∙</t>
    </r>
    <r>
      <rPr>
        <sz val="10"/>
        <rFont val="Arial"/>
        <family val="2"/>
      </rPr>
      <t>P(Si)</t>
    </r>
  </si>
  <si>
    <t xml:space="preserve"> indien dit kleiner dan 100% is, dan is de schematiseringfactor ok</t>
  </si>
  <si>
    <t>ΔFhe(D;Si) geeft toename van Fhe(D) tov eis</t>
  </si>
  <si>
    <r>
      <t>Ontwerpeis in termen van veiligheidsfactor, γ</t>
    </r>
    <r>
      <rPr>
        <sz val="8"/>
        <rFont val="Arial"/>
        <family val="2"/>
      </rPr>
      <t>he</t>
    </r>
  </si>
  <si>
    <r>
      <t>Betrouwbaarheidsindex bij P</t>
    </r>
    <r>
      <rPr>
        <sz val="8"/>
        <rFont val="Arial"/>
        <family val="2"/>
      </rPr>
      <t>eis,dsn</t>
    </r>
  </si>
  <si>
    <r>
      <t>P</t>
    </r>
    <r>
      <rPr>
        <sz val="8"/>
        <rFont val="Arial"/>
        <family val="2"/>
      </rPr>
      <t>eis,dsn</t>
    </r>
  </si>
  <si>
    <r>
      <t>Eis opbarstfactor in ontwerp (= γ</t>
    </r>
    <r>
      <rPr>
        <sz val="8"/>
        <rFont val="Arial"/>
        <family val="2"/>
      </rPr>
      <t>up</t>
    </r>
    <r>
      <rPr>
        <sz val="10"/>
        <rFont val="Verdana"/>
        <family val="2"/>
      </rPr>
      <t>∙</t>
    </r>
    <r>
      <rPr>
        <sz val="10"/>
        <rFont val="Arial"/>
        <family val="2"/>
      </rPr>
      <t>γ</t>
    </r>
    <r>
      <rPr>
        <sz val="8"/>
        <rFont val="Arial"/>
        <family val="2"/>
      </rPr>
      <t>b,u</t>
    </r>
    <r>
      <rPr>
        <sz val="10"/>
        <rFont val="Arial"/>
        <family val="2"/>
      </rPr>
      <t>)</t>
    </r>
  </si>
  <si>
    <r>
      <t>Ontwerpeis in termen van veiligheidsfactor, γ</t>
    </r>
    <r>
      <rPr>
        <sz val="8"/>
        <rFont val="Arial"/>
        <family val="2"/>
      </rPr>
      <t>pip</t>
    </r>
  </si>
  <si>
    <r>
      <t>Keuze schematiseringsfactor (</t>
    </r>
    <r>
      <rPr>
        <sz val="10"/>
        <rFont val="Verdana"/>
        <family val="2"/>
      </rPr>
      <t>γ</t>
    </r>
    <r>
      <rPr>
        <sz val="8"/>
        <rFont val="Arial"/>
        <family val="2"/>
      </rPr>
      <t>b,p</t>
    </r>
    <r>
      <rPr>
        <sz val="10"/>
        <rFont val="Arial"/>
        <family val="2"/>
      </rPr>
      <t>)</t>
    </r>
  </si>
  <si>
    <r>
      <t>Ontwerpeis in termen van veiligheidsfactor, γ</t>
    </r>
    <r>
      <rPr>
        <sz val="8"/>
        <rFont val="Arial"/>
        <family val="2"/>
      </rPr>
      <t>up</t>
    </r>
  </si>
  <si>
    <r>
      <t>Keuze schematiseringsfactor (</t>
    </r>
    <r>
      <rPr>
        <sz val="10"/>
        <rFont val="Verdana"/>
        <family val="2"/>
      </rPr>
      <t>γ</t>
    </r>
    <r>
      <rPr>
        <sz val="8"/>
        <rFont val="Arial"/>
        <family val="2"/>
      </rPr>
      <t>b,u</t>
    </r>
    <r>
      <rPr>
        <sz val="10"/>
        <rFont val="Arial"/>
        <family val="2"/>
      </rPr>
      <t>)</t>
    </r>
  </si>
  <si>
    <t>defaultwaarde in OI2014v4: 0,24; aanpassen mogelijk</t>
  </si>
  <si>
    <t>defaultwaarde in OI2014v4: 0,9 voor bovenrivierengebied, 0,4 elders</t>
  </si>
  <si>
    <t>defaultwaarde in OI2014v4</t>
  </si>
  <si>
    <r>
      <t>P</t>
    </r>
    <r>
      <rPr>
        <vertAlign val="subscript"/>
        <sz val="10"/>
        <rFont val="Arial"/>
        <family val="2"/>
      </rPr>
      <t>eis, dsn</t>
    </r>
  </si>
  <si>
    <r>
      <rPr>
        <sz val="10"/>
        <rFont val="Symbol"/>
        <family val="1"/>
      </rPr>
      <t>b</t>
    </r>
    <r>
      <rPr>
        <sz val="10"/>
        <rFont val="Arial"/>
        <family val="2"/>
      </rPr>
      <t xml:space="preserve"> </t>
    </r>
    <r>
      <rPr>
        <vertAlign val="subscript"/>
        <sz val="10"/>
        <rFont val="Arial"/>
        <family val="2"/>
      </rPr>
      <t>eis,dsn</t>
    </r>
  </si>
  <si>
    <r>
      <t xml:space="preserve">parameter uit formule veiligheidsfactor </t>
    </r>
    <r>
      <rPr>
        <sz val="10"/>
        <rFont val="Symbol"/>
        <family val="1"/>
      </rPr>
      <t>g</t>
    </r>
    <r>
      <rPr>
        <vertAlign val="subscript"/>
        <sz val="10"/>
        <rFont val="Arial"/>
        <family val="2"/>
      </rPr>
      <t>up</t>
    </r>
  </si>
  <si>
    <r>
      <t>g</t>
    </r>
    <r>
      <rPr>
        <vertAlign val="subscript"/>
        <sz val="10"/>
        <rFont val="Arial"/>
        <family val="2"/>
      </rPr>
      <t>up</t>
    </r>
  </si>
  <si>
    <r>
      <t xml:space="preserve">parameter uit formule veiligheidsfactor </t>
    </r>
    <r>
      <rPr>
        <sz val="10"/>
        <rFont val="Symbol"/>
        <family val="1"/>
      </rPr>
      <t>g</t>
    </r>
    <r>
      <rPr>
        <vertAlign val="subscript"/>
        <sz val="10"/>
        <rFont val="Arial"/>
        <family val="2"/>
      </rPr>
      <t>pip</t>
    </r>
  </si>
  <si>
    <r>
      <t>g</t>
    </r>
    <r>
      <rPr>
        <vertAlign val="subscript"/>
        <sz val="10"/>
        <rFont val="Arial"/>
        <family val="2"/>
      </rPr>
      <t>pip</t>
    </r>
  </si>
  <si>
    <r>
      <t xml:space="preserve">parameter uit formule veiligheidsfactor </t>
    </r>
    <r>
      <rPr>
        <sz val="10"/>
        <rFont val="Symbol"/>
        <family val="1"/>
      </rPr>
      <t>g</t>
    </r>
    <r>
      <rPr>
        <vertAlign val="subscript"/>
        <sz val="10"/>
        <rFont val="Arial"/>
        <family val="2"/>
      </rPr>
      <t>he</t>
    </r>
  </si>
  <si>
    <r>
      <t>g</t>
    </r>
    <r>
      <rPr>
        <vertAlign val="subscript"/>
        <sz val="10"/>
        <rFont val="Arial"/>
        <family val="2"/>
      </rPr>
      <t>he</t>
    </r>
  </si>
  <si>
    <t xml:space="preserve">Een beknopte toelichting met achtergrond is opgenomen in: </t>
  </si>
  <si>
    <r>
      <t>Eis veiligheidsfactor in ontwerp (= γ</t>
    </r>
    <r>
      <rPr>
        <sz val="8"/>
        <rFont val="Arial"/>
        <family val="2"/>
      </rPr>
      <t>pip</t>
    </r>
    <r>
      <rPr>
        <sz val="8"/>
        <rFont val="Verdana"/>
        <family val="2"/>
      </rPr>
      <t>∙</t>
    </r>
    <r>
      <rPr>
        <sz val="10"/>
        <rFont val="Arial"/>
        <family val="2"/>
      </rPr>
      <t>γ</t>
    </r>
    <r>
      <rPr>
        <sz val="8"/>
        <rFont val="Arial"/>
        <family val="2"/>
      </rPr>
      <t>b,p</t>
    </r>
    <r>
      <rPr>
        <sz val="10"/>
        <rFont val="Arial"/>
        <family val="2"/>
      </rPr>
      <t>)</t>
    </r>
  </si>
  <si>
    <r>
      <t>Eis veiligheidsfactor in ontwerp (= γ</t>
    </r>
    <r>
      <rPr>
        <sz val="8"/>
        <rFont val="Arial"/>
        <family val="2"/>
      </rPr>
      <t>he</t>
    </r>
    <r>
      <rPr>
        <sz val="10"/>
        <rFont val="Verdana"/>
        <family val="2"/>
      </rPr>
      <t>∙</t>
    </r>
    <r>
      <rPr>
        <sz val="10"/>
        <rFont val="Arial"/>
        <family val="2"/>
      </rPr>
      <t>γ</t>
    </r>
    <r>
      <rPr>
        <sz val="8"/>
        <rFont val="Arial"/>
        <family val="2"/>
      </rPr>
      <t>b,he</t>
    </r>
    <r>
      <rPr>
        <sz val="10"/>
        <rFont val="Arial"/>
        <family val="2"/>
      </rPr>
      <t>)</t>
    </r>
  </si>
  <si>
    <r>
      <t>Keuze schematiseringsfactor (</t>
    </r>
    <r>
      <rPr>
        <sz val="10"/>
        <rFont val="Verdana"/>
        <family val="2"/>
      </rPr>
      <t>γ</t>
    </r>
    <r>
      <rPr>
        <sz val="8"/>
        <rFont val="Arial"/>
        <family val="2"/>
      </rPr>
      <t>b,he</t>
    </r>
    <r>
      <rPr>
        <sz val="10"/>
        <rFont val="Arial"/>
        <family val="2"/>
      </rPr>
      <t>)</t>
    </r>
  </si>
  <si>
    <t>Update rekenblokjes schematiseringsfactor OI2014v4, M.M. de Visser, mei 2017</t>
  </si>
  <si>
    <t>Opgesteld door: M.M. de Visser, mei 2017</t>
  </si>
</sst>
</file>

<file path=xl/styles.xml><?xml version="1.0" encoding="utf-8"?>
<styleSheet xmlns="http://schemas.openxmlformats.org/spreadsheetml/2006/main">
  <numFmts count="4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0E+00"/>
    <numFmt numFmtId="189" formatCode="0.000E+00"/>
    <numFmt numFmtId="190" formatCode="0.0E+00"/>
    <numFmt numFmtId="191" formatCode="0E+00"/>
    <numFmt numFmtId="192" formatCode="&quot;Ja&quot;;&quot;Ja&quot;;&quot;Nee&quot;"/>
    <numFmt numFmtId="193" formatCode="&quot;Waar&quot;;&quot;Waar&quot;;&quot;Onwaar&quot;"/>
    <numFmt numFmtId="194" formatCode="&quot;Aan&quot;;&quot;Aan&quot;;&quot;Uit&quot;"/>
    <numFmt numFmtId="195" formatCode="[$€-2]\ #.##000_);[Red]\([$€-2]\ #.##000\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2" fontId="0" fillId="34" borderId="10" xfId="0" applyNumberFormat="1" applyFont="1" applyFill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2" fontId="0" fillId="0" borderId="10" xfId="0" applyNumberFormat="1" applyFont="1" applyBorder="1" applyAlignment="1">
      <alignment/>
    </xf>
    <xf numFmtId="11" fontId="0" fillId="0" borderId="10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Alignment="1">
      <alignment/>
    </xf>
    <xf numFmtId="2" fontId="0" fillId="0" borderId="19" xfId="0" applyNumberFormat="1" applyFont="1" applyBorder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 applyProtection="1">
      <alignment/>
      <protection locked="0"/>
    </xf>
    <xf numFmtId="0" fontId="0" fillId="33" borderId="16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right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left"/>
    </xf>
    <xf numFmtId="180" fontId="0" fillId="0" borderId="10" xfId="0" applyNumberFormat="1" applyFont="1" applyFill="1" applyBorder="1" applyAlignment="1">
      <alignment/>
    </xf>
    <xf numFmtId="180" fontId="0" fillId="0" borderId="10" xfId="0" applyNumberFormat="1" applyFont="1" applyBorder="1" applyAlignment="1">
      <alignment/>
    </xf>
    <xf numFmtId="180" fontId="0" fillId="0" borderId="16" xfId="0" applyNumberFormat="1" applyFont="1" applyFill="1" applyBorder="1" applyAlignment="1">
      <alignment/>
    </xf>
    <xf numFmtId="180" fontId="0" fillId="0" borderId="16" xfId="0" applyNumberFormat="1" applyFont="1" applyBorder="1" applyAlignment="1">
      <alignment/>
    </xf>
    <xf numFmtId="11" fontId="0" fillId="0" borderId="16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9" fontId="0" fillId="0" borderId="14" xfId="0" applyNumberFormat="1" applyFont="1" applyBorder="1" applyAlignment="1">
      <alignment/>
    </xf>
    <xf numFmtId="0" fontId="0" fillId="0" borderId="0" xfId="0" applyFont="1" applyAlignment="1" quotePrefix="1">
      <alignment/>
    </xf>
    <xf numFmtId="0" fontId="0" fillId="0" borderId="11" xfId="0" applyFont="1" applyFill="1" applyBorder="1" applyAlignment="1">
      <alignment/>
    </xf>
    <xf numFmtId="2" fontId="0" fillId="0" borderId="16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39" xfId="0" applyFont="1" applyBorder="1" applyAlignment="1">
      <alignment horizontal="center"/>
    </xf>
    <xf numFmtId="11" fontId="0" fillId="0" borderId="40" xfId="0" applyNumberFormat="1" applyFont="1" applyBorder="1" applyAlignment="1">
      <alignment/>
    </xf>
    <xf numFmtId="11" fontId="0" fillId="0" borderId="41" xfId="0" applyNumberFormat="1" applyFont="1" applyBorder="1" applyAlignment="1">
      <alignment/>
    </xf>
    <xf numFmtId="0" fontId="0" fillId="0" borderId="13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42" xfId="0" applyFont="1" applyBorder="1" applyAlignment="1">
      <alignment/>
    </xf>
    <xf numFmtId="2" fontId="0" fillId="0" borderId="42" xfId="0" applyNumberFormat="1" applyFont="1" applyBorder="1" applyAlignment="1">
      <alignment/>
    </xf>
    <xf numFmtId="11" fontId="0" fillId="0" borderId="42" xfId="0" applyNumberFormat="1" applyFont="1" applyBorder="1" applyAlignment="1">
      <alignment/>
    </xf>
    <xf numFmtId="2" fontId="0" fillId="34" borderId="42" xfId="0" applyNumberFormat="1" applyFont="1" applyFill="1" applyBorder="1" applyAlignment="1" applyProtection="1">
      <alignment/>
      <protection locked="0"/>
    </xf>
    <xf numFmtId="2" fontId="0" fillId="0" borderId="22" xfId="0" applyNumberFormat="1" applyFont="1" applyBorder="1" applyAlignment="1">
      <alignment/>
    </xf>
    <xf numFmtId="11" fontId="0" fillId="0" borderId="22" xfId="0" applyNumberFormat="1" applyFont="1" applyBorder="1" applyAlignment="1">
      <alignment/>
    </xf>
    <xf numFmtId="0" fontId="0" fillId="0" borderId="40" xfId="0" applyFont="1" applyBorder="1" applyAlignment="1">
      <alignment/>
    </xf>
    <xf numFmtId="2" fontId="0" fillId="0" borderId="10" xfId="0" applyNumberFormat="1" applyFont="1" applyFill="1" applyBorder="1" applyAlignment="1">
      <alignment/>
    </xf>
    <xf numFmtId="11" fontId="0" fillId="0" borderId="14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9" fontId="0" fillId="0" borderId="40" xfId="0" applyNumberFormat="1" applyFont="1" applyBorder="1" applyAlignment="1">
      <alignment/>
    </xf>
    <xf numFmtId="0" fontId="0" fillId="0" borderId="40" xfId="0" applyFont="1" applyBorder="1" applyAlignment="1">
      <alignment horizontal="left"/>
    </xf>
    <xf numFmtId="11" fontId="0" fillId="0" borderId="23" xfId="0" applyNumberFormat="1" applyFont="1" applyBorder="1" applyAlignment="1">
      <alignment/>
    </xf>
    <xf numFmtId="0" fontId="4" fillId="0" borderId="43" xfId="0" applyFont="1" applyBorder="1" applyAlignment="1">
      <alignment horizontal="left"/>
    </xf>
    <xf numFmtId="0" fontId="0" fillId="0" borderId="29" xfId="0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0" fontId="0" fillId="0" borderId="44" xfId="0" applyFont="1" applyBorder="1" applyAlignment="1">
      <alignment horizontal="left"/>
    </xf>
    <xf numFmtId="0" fontId="0" fillId="35" borderId="44" xfId="0" applyFont="1" applyFill="1" applyBorder="1" applyAlignment="1">
      <alignment/>
    </xf>
    <xf numFmtId="11" fontId="0" fillId="0" borderId="17" xfId="0" applyNumberFormat="1" applyFont="1" applyBorder="1" applyAlignment="1">
      <alignment/>
    </xf>
    <xf numFmtId="0" fontId="0" fillId="35" borderId="45" xfId="0" applyFont="1" applyFill="1" applyBorder="1" applyAlignment="1">
      <alignment/>
    </xf>
    <xf numFmtId="0" fontId="0" fillId="0" borderId="46" xfId="0" applyFont="1" applyBorder="1" applyAlignment="1">
      <alignment horizontal="left"/>
    </xf>
    <xf numFmtId="0" fontId="0" fillId="33" borderId="44" xfId="0" applyFont="1" applyFill="1" applyBorder="1" applyAlignment="1">
      <alignment/>
    </xf>
    <xf numFmtId="0" fontId="0" fillId="33" borderId="4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5" fillId="0" borderId="27" xfId="0" applyFont="1" applyBorder="1" applyAlignment="1">
      <alignment/>
    </xf>
    <xf numFmtId="0" fontId="0" fillId="33" borderId="30" xfId="0" applyFont="1" applyFill="1" applyBorder="1" applyAlignment="1">
      <alignment horizontal="right"/>
    </xf>
    <xf numFmtId="0" fontId="0" fillId="0" borderId="17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dxfs count="12">
    <dxf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23</xdr:row>
      <xdr:rowOff>114300</xdr:rowOff>
    </xdr:from>
    <xdr:to>
      <xdr:col>9</xdr:col>
      <xdr:colOff>581025</xdr:colOff>
      <xdr:row>25</xdr:row>
      <xdr:rowOff>171450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9950" y="4219575"/>
          <a:ext cx="29813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17</xdr:row>
      <xdr:rowOff>38100</xdr:rowOff>
    </xdr:from>
    <xdr:to>
      <xdr:col>10</xdr:col>
      <xdr:colOff>66675</xdr:colOff>
      <xdr:row>20</xdr:row>
      <xdr:rowOff>0</xdr:rowOff>
    </xdr:to>
    <xdr:pic>
      <xdr:nvPicPr>
        <xdr:cNvPr id="2" name="Afbeelding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39475" y="2971800"/>
          <a:ext cx="30670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29</xdr:row>
      <xdr:rowOff>133350</xdr:rowOff>
    </xdr:from>
    <xdr:to>
      <xdr:col>9</xdr:col>
      <xdr:colOff>390525</xdr:colOff>
      <xdr:row>31</xdr:row>
      <xdr:rowOff>161925</xdr:rowOff>
    </xdr:to>
    <xdr:pic>
      <xdr:nvPicPr>
        <xdr:cNvPr id="3" name="Afbeelding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39475" y="5410200"/>
          <a:ext cx="2781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5"/>
  <sheetViews>
    <sheetView tabSelected="1" zoomScalePageLayoutView="0" workbookViewId="0" topLeftCell="A1">
      <selection activeCell="J33" sqref="J33"/>
    </sheetView>
  </sheetViews>
  <sheetFormatPr defaultColWidth="9.140625" defaultRowHeight="12.75"/>
  <sheetData>
    <row r="2" ht="12.75">
      <c r="B2" t="s">
        <v>96</v>
      </c>
    </row>
    <row r="4" ht="12.75">
      <c r="B4" t="s">
        <v>91</v>
      </c>
    </row>
    <row r="5" ht="12.75">
      <c r="B5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PageLayoutView="0" workbookViewId="0" topLeftCell="A1">
      <selection activeCell="A43" sqref="A43"/>
    </sheetView>
  </sheetViews>
  <sheetFormatPr defaultColWidth="9.140625" defaultRowHeight="12.75"/>
  <cols>
    <col min="1" max="1" width="18.140625" style="28" bestFit="1" customWidth="1"/>
    <col min="2" max="2" width="12.28125" style="28" customWidth="1"/>
    <col min="3" max="3" width="7.421875" style="28" customWidth="1"/>
    <col min="4" max="4" width="57.28125" style="28" bestFit="1" customWidth="1"/>
    <col min="5" max="5" width="69.7109375" style="28" bestFit="1" customWidth="1"/>
    <col min="6" max="16384" width="9.140625" style="28" customWidth="1"/>
  </cols>
  <sheetData>
    <row r="1" spans="1:4" ht="12.75">
      <c r="A1" s="2" t="s">
        <v>5</v>
      </c>
      <c r="B1" s="30"/>
      <c r="C1" s="30"/>
      <c r="D1" s="30"/>
    </row>
    <row r="2" ht="13.5" thickBot="1"/>
    <row r="3" spans="1:5" ht="12.75">
      <c r="A3" s="11"/>
      <c r="B3" s="4" t="s">
        <v>27</v>
      </c>
      <c r="C3" s="4" t="s">
        <v>7</v>
      </c>
      <c r="D3" s="4" t="s">
        <v>19</v>
      </c>
      <c r="E3" s="5" t="s">
        <v>8</v>
      </c>
    </row>
    <row r="4" spans="1:5" ht="12.75">
      <c r="A4" s="6" t="s">
        <v>48</v>
      </c>
      <c r="B4" s="31">
        <v>10000</v>
      </c>
      <c r="C4" s="3" t="s">
        <v>21</v>
      </c>
      <c r="D4" s="3" t="s">
        <v>49</v>
      </c>
      <c r="E4" s="90" t="s">
        <v>50</v>
      </c>
    </row>
    <row r="5" spans="1:5" ht="13.5" thickBot="1">
      <c r="A5" s="8" t="s">
        <v>15</v>
      </c>
      <c r="B5" s="32">
        <v>25500</v>
      </c>
      <c r="C5" s="9" t="s">
        <v>16</v>
      </c>
      <c r="D5" s="9" t="s">
        <v>49</v>
      </c>
      <c r="E5" s="10" t="s">
        <v>29</v>
      </c>
    </row>
    <row r="6" spans="1:5" ht="12.75">
      <c r="A6" s="12" t="s">
        <v>44</v>
      </c>
      <c r="B6" s="33">
        <v>0.24</v>
      </c>
      <c r="C6" s="4" t="s">
        <v>10</v>
      </c>
      <c r="D6" s="4" t="s">
        <v>80</v>
      </c>
      <c r="E6" s="5" t="s">
        <v>11</v>
      </c>
    </row>
    <row r="7" spans="1:5" ht="12.75">
      <c r="A7" s="6" t="s">
        <v>12</v>
      </c>
      <c r="B7" s="31">
        <v>0.4</v>
      </c>
      <c r="C7" s="3" t="s">
        <v>10</v>
      </c>
      <c r="D7" s="3" t="s">
        <v>81</v>
      </c>
      <c r="E7" s="7" t="s">
        <v>28</v>
      </c>
    </row>
    <row r="8" spans="1:5" ht="13.5" thickBot="1">
      <c r="A8" s="8" t="s">
        <v>13</v>
      </c>
      <c r="B8" s="9">
        <v>300</v>
      </c>
      <c r="C8" s="9" t="s">
        <v>16</v>
      </c>
      <c r="D8" s="9" t="s">
        <v>82</v>
      </c>
      <c r="E8" s="10" t="s">
        <v>14</v>
      </c>
    </row>
    <row r="9" spans="1:5" ht="12.75">
      <c r="A9" s="34"/>
      <c r="B9" s="35"/>
      <c r="C9" s="35"/>
      <c r="D9" s="35"/>
      <c r="E9" s="36"/>
    </row>
    <row r="10" spans="1:5" ht="12.75">
      <c r="A10" s="6" t="s">
        <v>17</v>
      </c>
      <c r="B10" s="21">
        <f>1+B7*B5/B8</f>
        <v>35</v>
      </c>
      <c r="C10" s="3"/>
      <c r="D10" s="3" t="s">
        <v>20</v>
      </c>
      <c r="E10" s="7" t="s">
        <v>18</v>
      </c>
    </row>
    <row r="11" spans="1:5" ht="12.75">
      <c r="A11" s="6"/>
      <c r="B11" s="3"/>
      <c r="C11" s="3"/>
      <c r="D11" s="3"/>
      <c r="E11" s="7"/>
    </row>
    <row r="12" spans="1:5" ht="15.75">
      <c r="A12" s="6" t="s">
        <v>83</v>
      </c>
      <c r="B12" s="22">
        <f>B6/B4/B10</f>
        <v>6.857142857142857E-07</v>
      </c>
      <c r="C12" s="3" t="s">
        <v>9</v>
      </c>
      <c r="D12" s="3" t="s">
        <v>20</v>
      </c>
      <c r="E12" s="7" t="s">
        <v>45</v>
      </c>
    </row>
    <row r="13" spans="1:6" ht="16.5" thickBot="1">
      <c r="A13" s="8" t="s">
        <v>84</v>
      </c>
      <c r="B13" s="58">
        <f>-NORMSINV(B12)</f>
        <v>4.8291125838381905</v>
      </c>
      <c r="C13" s="9" t="s">
        <v>10</v>
      </c>
      <c r="D13" s="9" t="s">
        <v>20</v>
      </c>
      <c r="E13" s="10" t="s">
        <v>26</v>
      </c>
      <c r="F13" s="37"/>
    </row>
    <row r="14" spans="1:6" ht="13.5" thickBot="1">
      <c r="A14" s="24"/>
      <c r="B14" s="23"/>
      <c r="C14" s="19"/>
      <c r="D14" s="19"/>
      <c r="E14" s="25"/>
      <c r="F14" s="37"/>
    </row>
    <row r="15" spans="1:6" ht="16.5" thickBot="1">
      <c r="A15" s="26" t="s">
        <v>47</v>
      </c>
      <c r="B15" s="29">
        <f>-NORMSINV(1/B4)</f>
        <v>3.71901648545568</v>
      </c>
      <c r="C15" s="13" t="s">
        <v>10</v>
      </c>
      <c r="D15" s="13" t="s">
        <v>20</v>
      </c>
      <c r="E15" s="27" t="s">
        <v>55</v>
      </c>
      <c r="F15" s="37"/>
    </row>
    <row r="16" spans="1:6" ht="12.75">
      <c r="A16" s="17"/>
      <c r="B16" s="23"/>
      <c r="C16" s="19"/>
      <c r="D16" s="19"/>
      <c r="E16" s="20"/>
      <c r="F16" s="37"/>
    </row>
    <row r="17" spans="1:5" ht="13.5" thickBot="1">
      <c r="A17" s="18" t="s">
        <v>6</v>
      </c>
      <c r="B17" s="19"/>
      <c r="C17" s="19"/>
      <c r="D17" s="19"/>
      <c r="E17" s="20"/>
    </row>
    <row r="18" spans="1:5" ht="16.5" thickBot="1">
      <c r="A18" s="11" t="s">
        <v>22</v>
      </c>
      <c r="B18" s="57">
        <v>0.48</v>
      </c>
      <c r="C18" s="4" t="s">
        <v>10</v>
      </c>
      <c r="D18" s="4" t="s">
        <v>25</v>
      </c>
      <c r="E18" s="5" t="s">
        <v>85</v>
      </c>
    </row>
    <row r="19" spans="1:5" ht="16.5" thickBot="1">
      <c r="A19" s="6" t="s">
        <v>23</v>
      </c>
      <c r="B19" s="3">
        <v>0.46</v>
      </c>
      <c r="C19" s="3" t="s">
        <v>10</v>
      </c>
      <c r="D19" s="3" t="s">
        <v>25</v>
      </c>
      <c r="E19" s="5" t="s">
        <v>85</v>
      </c>
    </row>
    <row r="20" spans="1:5" ht="16.5" thickBot="1">
      <c r="A20" s="8" t="s">
        <v>24</v>
      </c>
      <c r="B20" s="9">
        <v>0.27</v>
      </c>
      <c r="C20" s="9" t="s">
        <v>10</v>
      </c>
      <c r="D20" s="9" t="s">
        <v>25</v>
      </c>
      <c r="E20" s="5" t="s">
        <v>85</v>
      </c>
    </row>
    <row r="21" spans="1:5" ht="16.5" thickBot="1">
      <c r="A21" s="91" t="s">
        <v>86</v>
      </c>
      <c r="B21" s="29">
        <f>B18*EXP(B19*B13-B20*B15)</f>
        <v>1.6213970633892358</v>
      </c>
      <c r="C21" s="13" t="s">
        <v>10</v>
      </c>
      <c r="D21" s="13" t="s">
        <v>20</v>
      </c>
      <c r="E21" s="27" t="s">
        <v>39</v>
      </c>
    </row>
    <row r="23" ht="13.5" thickBot="1">
      <c r="A23" s="1" t="s">
        <v>46</v>
      </c>
    </row>
    <row r="24" spans="1:5" ht="16.5" thickBot="1">
      <c r="A24" s="11" t="s">
        <v>22</v>
      </c>
      <c r="B24" s="4">
        <v>1.04</v>
      </c>
      <c r="C24" s="4" t="s">
        <v>10</v>
      </c>
      <c r="D24" s="4" t="s">
        <v>25</v>
      </c>
      <c r="E24" s="5" t="s">
        <v>87</v>
      </c>
    </row>
    <row r="25" spans="1:5" ht="16.5" thickBot="1">
      <c r="A25" s="6" t="s">
        <v>23</v>
      </c>
      <c r="B25" s="3">
        <v>0.37</v>
      </c>
      <c r="C25" s="3" t="s">
        <v>10</v>
      </c>
      <c r="D25" s="3" t="s">
        <v>25</v>
      </c>
      <c r="E25" s="5" t="s">
        <v>87</v>
      </c>
    </row>
    <row r="26" spans="1:5" ht="16.5" thickBot="1">
      <c r="A26" s="8" t="s">
        <v>24</v>
      </c>
      <c r="B26" s="9">
        <v>0.43</v>
      </c>
      <c r="C26" s="9" t="s">
        <v>10</v>
      </c>
      <c r="D26" s="9" t="s">
        <v>25</v>
      </c>
      <c r="E26" s="5" t="s">
        <v>87</v>
      </c>
    </row>
    <row r="27" spans="1:5" ht="16.5" thickBot="1">
      <c r="A27" s="91" t="s">
        <v>88</v>
      </c>
      <c r="B27" s="29">
        <f>B24*EXP(B25*B13-B26*B15)</f>
        <v>1.2545980977103828</v>
      </c>
      <c r="C27" s="13" t="s">
        <v>10</v>
      </c>
      <c r="D27" s="13" t="s">
        <v>20</v>
      </c>
      <c r="E27" s="27" t="s">
        <v>40</v>
      </c>
    </row>
    <row r="29" ht="13.5" thickBot="1">
      <c r="A29" s="1" t="s">
        <v>38</v>
      </c>
    </row>
    <row r="30" spans="1:5" ht="16.5" thickBot="1">
      <c r="A30" s="11" t="s">
        <v>22</v>
      </c>
      <c r="B30" s="4">
        <v>0.37</v>
      </c>
      <c r="C30" s="4" t="s">
        <v>10</v>
      </c>
      <c r="D30" s="4" t="s">
        <v>25</v>
      </c>
      <c r="E30" s="5" t="s">
        <v>89</v>
      </c>
    </row>
    <row r="31" spans="1:5" ht="16.5" thickBot="1">
      <c r="A31" s="6" t="s">
        <v>23</v>
      </c>
      <c r="B31" s="3">
        <v>0.48</v>
      </c>
      <c r="C31" s="3" t="s">
        <v>10</v>
      </c>
      <c r="D31" s="3" t="s">
        <v>25</v>
      </c>
      <c r="E31" s="5" t="s">
        <v>89</v>
      </c>
    </row>
    <row r="32" spans="1:5" ht="16.5" thickBot="1">
      <c r="A32" s="8" t="s">
        <v>24</v>
      </c>
      <c r="B32" s="9">
        <v>0.3</v>
      </c>
      <c r="C32" s="9" t="s">
        <v>10</v>
      </c>
      <c r="D32" s="9" t="s">
        <v>25</v>
      </c>
      <c r="E32" s="5" t="s">
        <v>89</v>
      </c>
    </row>
    <row r="33" spans="1:5" ht="16.5" thickBot="1">
      <c r="A33" s="91" t="s">
        <v>90</v>
      </c>
      <c r="B33" s="29">
        <f>B30*EXP(B31*B13-B32*B15)</f>
        <v>1.2312338802820655</v>
      </c>
      <c r="C33" s="13" t="s">
        <v>10</v>
      </c>
      <c r="D33" s="13" t="s">
        <v>20</v>
      </c>
      <c r="E33" s="27" t="s">
        <v>41</v>
      </c>
    </row>
  </sheetData>
  <sheetProtection selectLockedCells="1"/>
  <printOptions/>
  <pageMargins left="0.7" right="0.7" top="0.75" bottom="0.75" header="0.3" footer="0.3"/>
  <pageSetup fitToHeight="1" fitToWidth="1" horizontalDpi="600" verticalDpi="600" orientation="landscape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13.00390625" style="0" customWidth="1"/>
    <col min="3" max="3" width="11.140625" style="0" bestFit="1" customWidth="1"/>
    <col min="4" max="4" width="10.421875" style="0" bestFit="1" customWidth="1"/>
    <col min="5" max="5" width="12.57421875" style="0" customWidth="1"/>
    <col min="6" max="6" width="13.8515625" style="0" customWidth="1"/>
    <col min="7" max="7" width="17.57421875" style="0" customWidth="1"/>
    <col min="8" max="8" width="53.8515625" style="0" customWidth="1"/>
  </cols>
  <sheetData>
    <row r="1" spans="1:14" ht="12.75">
      <c r="A1" s="2" t="s">
        <v>5</v>
      </c>
      <c r="B1" s="30"/>
      <c r="C1" s="30"/>
      <c r="D1" s="30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2.75">
      <c r="A2" s="59"/>
      <c r="B2" s="60"/>
      <c r="C2" s="60"/>
      <c r="D2" s="60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2.75">
      <c r="A3" s="1" t="s">
        <v>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2.75">
      <c r="A4" s="77" t="s">
        <v>78</v>
      </c>
      <c r="B4" s="38"/>
      <c r="C4" s="38"/>
      <c r="D4" s="38"/>
      <c r="E4" s="38"/>
      <c r="F4" s="66"/>
      <c r="G4" s="67">
        <f>basis!B21</f>
        <v>1.6213970633892358</v>
      </c>
      <c r="H4" s="28"/>
      <c r="I4" s="28"/>
      <c r="J4" s="28"/>
      <c r="K4" s="28"/>
      <c r="L4" s="28"/>
      <c r="M4" s="28"/>
      <c r="N4" s="28"/>
    </row>
    <row r="5" spans="1:14" ht="12.75">
      <c r="A5" s="72" t="s">
        <v>73</v>
      </c>
      <c r="B5" s="38"/>
      <c r="C5" s="38"/>
      <c r="D5" s="38"/>
      <c r="E5" s="38"/>
      <c r="F5" s="66"/>
      <c r="G5" s="67">
        <f>basis!B13</f>
        <v>4.8291125838381905</v>
      </c>
      <c r="H5" s="28"/>
      <c r="I5" s="28"/>
      <c r="J5" s="28"/>
      <c r="K5" s="28"/>
      <c r="L5" s="28"/>
      <c r="M5" s="28"/>
      <c r="N5" s="28"/>
    </row>
    <row r="6" spans="1:14" ht="12.75">
      <c r="A6" s="72" t="s">
        <v>74</v>
      </c>
      <c r="B6" s="38"/>
      <c r="C6" s="38"/>
      <c r="D6" s="38"/>
      <c r="E6" s="38"/>
      <c r="F6" s="66"/>
      <c r="G6" s="68">
        <f>+NORMSDIST(-G5)</f>
        <v>6.857142857142828E-07</v>
      </c>
      <c r="H6" s="28"/>
      <c r="I6" s="28"/>
      <c r="J6" s="28"/>
      <c r="K6" s="28"/>
      <c r="L6" s="28"/>
      <c r="M6" s="28"/>
      <c r="N6" s="28"/>
    </row>
    <row r="7" spans="1:14" ht="12.75">
      <c r="A7" s="72"/>
      <c r="B7" s="38"/>
      <c r="C7" s="38"/>
      <c r="D7" s="38"/>
      <c r="E7" s="38"/>
      <c r="F7" s="66"/>
      <c r="G7" s="17"/>
      <c r="H7" s="28"/>
      <c r="I7" s="28"/>
      <c r="J7" s="28"/>
      <c r="K7" s="28"/>
      <c r="L7" s="28"/>
      <c r="M7" s="28"/>
      <c r="N7" s="28"/>
    </row>
    <row r="8" spans="1:14" ht="12.75">
      <c r="A8" s="78" t="s">
        <v>79</v>
      </c>
      <c r="B8" s="39"/>
      <c r="C8" s="39"/>
      <c r="D8" s="38"/>
      <c r="E8" s="38"/>
      <c r="F8" s="66"/>
      <c r="G8" s="69">
        <v>1.1</v>
      </c>
      <c r="H8" s="28"/>
      <c r="I8" s="28"/>
      <c r="J8" s="28"/>
      <c r="K8" s="28"/>
      <c r="L8" s="28"/>
      <c r="M8" s="28"/>
      <c r="N8" s="28"/>
    </row>
    <row r="9" spans="1:14" ht="12.75">
      <c r="A9" s="72" t="s">
        <v>75</v>
      </c>
      <c r="B9" s="38"/>
      <c r="C9" s="38"/>
      <c r="D9" s="38"/>
      <c r="E9" s="38"/>
      <c r="F9" s="66"/>
      <c r="G9" s="70">
        <f>+G4*G8</f>
        <v>1.7835367697281597</v>
      </c>
      <c r="H9" s="28"/>
      <c r="I9" s="28"/>
      <c r="J9" s="28"/>
      <c r="K9" s="28"/>
      <c r="L9" s="28"/>
      <c r="M9" s="28"/>
      <c r="N9" s="28"/>
    </row>
    <row r="10" spans="1:14" ht="12.75">
      <c r="A10" s="72" t="s">
        <v>67</v>
      </c>
      <c r="B10" s="38"/>
      <c r="C10" s="38"/>
      <c r="D10" s="38"/>
      <c r="E10" s="38"/>
      <c r="F10" s="66"/>
      <c r="G10" s="67">
        <f>(LN(G9/basis!$B$18)+basis!$B$20*basis!$B$15)/basis!$B$19</f>
        <v>5.0363086268910715</v>
      </c>
      <c r="H10" s="28"/>
      <c r="I10" s="28"/>
      <c r="J10" s="28"/>
      <c r="K10" s="28"/>
      <c r="L10" s="28"/>
      <c r="M10" s="28"/>
      <c r="N10" s="28"/>
    </row>
    <row r="11" spans="1:14" ht="12.75">
      <c r="A11" s="72" t="s">
        <v>66</v>
      </c>
      <c r="B11" s="38"/>
      <c r="C11" s="38"/>
      <c r="D11" s="38"/>
      <c r="E11" s="38"/>
      <c r="F11" s="66"/>
      <c r="G11" s="71">
        <f>+NORMSDIST(-G10)</f>
        <v>2.3729756769600695E-07</v>
      </c>
      <c r="H11" s="28"/>
      <c r="I11" s="28"/>
      <c r="J11" s="28"/>
      <c r="K11" s="28"/>
      <c r="L11" s="28"/>
      <c r="M11" s="28"/>
      <c r="N11" s="28"/>
    </row>
    <row r="12" spans="1:14" ht="12.75">
      <c r="A12" s="72" t="s">
        <v>65</v>
      </c>
      <c r="B12" s="38"/>
      <c r="C12" s="38"/>
      <c r="D12" s="38"/>
      <c r="E12" s="38"/>
      <c r="F12" s="66"/>
      <c r="G12" s="68">
        <f>+(1-SUM(B20:B28))*G11</f>
        <v>9.96649784323229E-08</v>
      </c>
      <c r="H12" s="28"/>
      <c r="I12" s="28"/>
      <c r="J12" s="28"/>
      <c r="K12" s="28"/>
      <c r="L12" s="28"/>
      <c r="M12" s="28"/>
      <c r="N12" s="28"/>
    </row>
    <row r="13" spans="1:14" ht="13.5" thickBo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14" ht="12.75">
      <c r="A14" s="40" t="s">
        <v>31</v>
      </c>
      <c r="B14" s="41" t="s">
        <v>32</v>
      </c>
      <c r="C14" s="41"/>
      <c r="D14" s="41"/>
      <c r="E14" s="41"/>
      <c r="F14" s="42"/>
      <c r="G14" s="28"/>
      <c r="H14" s="28"/>
      <c r="I14" s="28"/>
      <c r="J14" s="28"/>
      <c r="K14" s="28"/>
      <c r="L14" s="28"/>
      <c r="M14" s="28"/>
      <c r="N14" s="28"/>
    </row>
    <row r="15" spans="1:14" ht="12.75">
      <c r="A15" s="14" t="s">
        <v>33</v>
      </c>
      <c r="B15" s="37" t="s">
        <v>30</v>
      </c>
      <c r="C15" s="37"/>
      <c r="D15" s="37"/>
      <c r="E15" s="37"/>
      <c r="F15" s="43"/>
      <c r="G15" s="28"/>
      <c r="H15" s="28"/>
      <c r="I15" s="28"/>
      <c r="J15" s="28"/>
      <c r="K15" s="28"/>
      <c r="L15" s="28"/>
      <c r="M15" s="28"/>
      <c r="N15" s="28"/>
    </row>
    <row r="16" spans="1:14" ht="13.5" thickBot="1">
      <c r="A16" s="15" t="s">
        <v>56</v>
      </c>
      <c r="B16" s="44" t="s">
        <v>54</v>
      </c>
      <c r="C16" s="44"/>
      <c r="D16" s="44"/>
      <c r="E16" s="44"/>
      <c r="F16" s="45"/>
      <c r="G16" s="28"/>
      <c r="H16" s="28"/>
      <c r="I16" s="28"/>
      <c r="J16" s="28"/>
      <c r="K16" s="28"/>
      <c r="L16" s="28"/>
      <c r="M16" s="28"/>
      <c r="N16" s="28"/>
    </row>
    <row r="17" spans="1:14" ht="13.5" thickBo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pans="1:14" ht="12.75">
      <c r="A18" s="46" t="s">
        <v>1</v>
      </c>
      <c r="B18" s="47" t="s">
        <v>2</v>
      </c>
      <c r="C18" s="47" t="s">
        <v>57</v>
      </c>
      <c r="D18" s="47" t="s">
        <v>58</v>
      </c>
      <c r="E18" s="47" t="s">
        <v>3</v>
      </c>
      <c r="F18" s="47" t="s">
        <v>4</v>
      </c>
      <c r="G18" s="61" t="s">
        <v>69</v>
      </c>
      <c r="H18" s="80" t="s">
        <v>53</v>
      </c>
      <c r="I18" s="28"/>
      <c r="J18" s="28"/>
      <c r="K18" s="28"/>
      <c r="L18" s="28"/>
      <c r="M18" s="28"/>
      <c r="N18" s="28"/>
    </row>
    <row r="19" spans="1:14" ht="12.75">
      <c r="A19" s="81">
        <v>1</v>
      </c>
      <c r="B19" s="82">
        <f>1-SUM(B20:B28)</f>
        <v>0.41999999999999993</v>
      </c>
      <c r="C19" s="92">
        <v>0</v>
      </c>
      <c r="D19" s="49">
        <f>$G$9+C19</f>
        <v>1.7835367697281597</v>
      </c>
      <c r="E19" s="50">
        <f>(LN(D19/basis!$B$18)+basis!$B$20*basis!$B$15)/basis!$B$19</f>
        <v>5.0363086268910715</v>
      </c>
      <c r="F19" s="22">
        <f aca="true" t="shared" si="0" ref="F19:F28">NORMSDIST(-E19)</f>
        <v>2.3729756769600695E-07</v>
      </c>
      <c r="G19" s="62">
        <f>+B19*F19</f>
        <v>9.96649784323229E-08</v>
      </c>
      <c r="H19" s="83" t="s">
        <v>52</v>
      </c>
      <c r="I19" s="48"/>
      <c r="J19" s="28"/>
      <c r="K19" s="28"/>
      <c r="L19" s="28"/>
      <c r="M19" s="28"/>
      <c r="N19" s="28"/>
    </row>
    <row r="20" spans="1:14" ht="12.75">
      <c r="A20" s="64">
        <v>2</v>
      </c>
      <c r="B20" s="31">
        <v>0.1</v>
      </c>
      <c r="C20" s="31">
        <v>-0.05</v>
      </c>
      <c r="D20" s="49">
        <f>$G$9+C20</f>
        <v>1.7335367697281596</v>
      </c>
      <c r="E20" s="50">
        <f>(LN(D20/basis!$B$18)+basis!$B$20*basis!$B$15)/basis!$B$19</f>
        <v>4.9744941811660475</v>
      </c>
      <c r="F20" s="22">
        <f t="shared" si="0"/>
        <v>3.27091145814531E-07</v>
      </c>
      <c r="G20" s="62">
        <f>+B20*F20</f>
        <v>3.27091145814531E-08</v>
      </c>
      <c r="H20" s="84"/>
      <c r="I20" s="28"/>
      <c r="J20" s="28"/>
      <c r="K20" s="28"/>
      <c r="L20" s="28"/>
      <c r="M20" s="28"/>
      <c r="N20" s="28"/>
    </row>
    <row r="21" spans="1:14" ht="12.75">
      <c r="A21" s="64">
        <v>3</v>
      </c>
      <c r="B21" s="31">
        <v>0.05</v>
      </c>
      <c r="C21" s="31">
        <v>-0.3</v>
      </c>
      <c r="D21" s="49">
        <f aca="true" t="shared" si="1" ref="D21:D28">$G$9+C21</f>
        <v>1.4835367697281596</v>
      </c>
      <c r="E21" s="50">
        <f>(LN(D21/basis!$B$18)+basis!$B$20*basis!$B$15)/basis!$B$19</f>
        <v>4.635940374762329</v>
      </c>
      <c r="F21" s="22">
        <f t="shared" si="0"/>
        <v>1.7765919343499237E-06</v>
      </c>
      <c r="G21" s="62">
        <f aca="true" t="shared" si="2" ref="G21:G28">+B21*F21</f>
        <v>8.88295967174962E-08</v>
      </c>
      <c r="H21" s="84"/>
      <c r="I21" s="28"/>
      <c r="J21" s="28"/>
      <c r="K21" s="28"/>
      <c r="L21" s="28"/>
      <c r="M21" s="28"/>
      <c r="N21" s="28"/>
    </row>
    <row r="22" spans="1:14" ht="12.75">
      <c r="A22" s="64">
        <v>4</v>
      </c>
      <c r="B22" s="31">
        <v>0.1</v>
      </c>
      <c r="C22" s="31">
        <v>-0.1</v>
      </c>
      <c r="D22" s="49">
        <f t="shared" si="1"/>
        <v>1.6835367697281596</v>
      </c>
      <c r="E22" s="50">
        <f>(LN(D22/basis!$B$18)+basis!$B$20*basis!$B$15)/basis!$B$19</f>
        <v>4.910870492987125</v>
      </c>
      <c r="F22" s="22">
        <f t="shared" si="0"/>
        <v>4.5336480596634706E-07</v>
      </c>
      <c r="G22" s="62">
        <f t="shared" si="2"/>
        <v>4.5336480596634706E-08</v>
      </c>
      <c r="H22" s="84"/>
      <c r="I22" s="28"/>
      <c r="J22" s="28"/>
      <c r="K22" s="28"/>
      <c r="L22" s="28"/>
      <c r="M22" s="28"/>
      <c r="N22" s="28"/>
    </row>
    <row r="23" spans="1:14" ht="12.75">
      <c r="A23" s="64">
        <v>5</v>
      </c>
      <c r="B23" s="31">
        <v>0.2</v>
      </c>
      <c r="C23" s="31">
        <v>-0.15</v>
      </c>
      <c r="D23" s="49">
        <f t="shared" si="1"/>
        <v>1.6335367697281598</v>
      </c>
      <c r="E23" s="50">
        <f>(LN(D23/basis!$B$18)+basis!$B$20*basis!$B$15)/basis!$B$19</f>
        <v>4.845328451609629</v>
      </c>
      <c r="F23" s="22">
        <f t="shared" si="0"/>
        <v>6.320119494916956E-07</v>
      </c>
      <c r="G23" s="62">
        <f t="shared" si="2"/>
        <v>1.2640238989833914E-07</v>
      </c>
      <c r="H23" s="84"/>
      <c r="I23" s="28"/>
      <c r="J23" s="28"/>
      <c r="K23" s="28"/>
      <c r="L23" s="28"/>
      <c r="M23" s="28"/>
      <c r="N23" s="28"/>
    </row>
    <row r="24" spans="1:14" ht="12.75">
      <c r="A24" s="64">
        <v>6</v>
      </c>
      <c r="B24" s="31">
        <v>0.05</v>
      </c>
      <c r="C24" s="31">
        <v>-0.05</v>
      </c>
      <c r="D24" s="49">
        <f t="shared" si="1"/>
        <v>1.7335367697281596</v>
      </c>
      <c r="E24" s="50">
        <f>(LN(D24/basis!$B$18)+basis!$B$20*basis!$B$15)/basis!$B$19</f>
        <v>4.9744941811660475</v>
      </c>
      <c r="F24" s="22">
        <f t="shared" si="0"/>
        <v>3.27091145814531E-07</v>
      </c>
      <c r="G24" s="62">
        <f t="shared" si="2"/>
        <v>1.635455729072655E-08</v>
      </c>
      <c r="H24" s="84"/>
      <c r="I24" s="28"/>
      <c r="J24" s="28"/>
      <c r="K24" s="28"/>
      <c r="L24" s="28"/>
      <c r="M24" s="28"/>
      <c r="N24" s="28"/>
    </row>
    <row r="25" spans="1:14" ht="12.75">
      <c r="A25" s="64">
        <v>7</v>
      </c>
      <c r="B25" s="31">
        <v>0.01</v>
      </c>
      <c r="C25" s="31">
        <v>-0.2</v>
      </c>
      <c r="D25" s="49">
        <f t="shared" si="1"/>
        <v>1.5835367697281597</v>
      </c>
      <c r="E25" s="50">
        <f>(LN(D25/basis!$B$18)+basis!$B$20*basis!$B$15)/basis!$B$19</f>
        <v>4.777748768308994</v>
      </c>
      <c r="F25" s="22">
        <f t="shared" si="0"/>
        <v>8.863433486243477E-07</v>
      </c>
      <c r="G25" s="62">
        <f t="shared" si="2"/>
        <v>8.863433486243477E-09</v>
      </c>
      <c r="H25" s="84"/>
      <c r="I25" s="28"/>
      <c r="J25" s="28"/>
      <c r="K25" s="28"/>
      <c r="L25" s="28"/>
      <c r="M25" s="28"/>
      <c r="N25" s="28"/>
    </row>
    <row r="26" spans="1:14" ht="12.75">
      <c r="A26" s="64">
        <v>8</v>
      </c>
      <c r="B26" s="31">
        <v>0.02</v>
      </c>
      <c r="C26" s="31">
        <v>-0.05</v>
      </c>
      <c r="D26" s="49">
        <f t="shared" si="1"/>
        <v>1.7335367697281596</v>
      </c>
      <c r="E26" s="50">
        <f>(LN(D26/basis!$B$18)+basis!$B$20*basis!$B$15)/basis!$B$19</f>
        <v>4.9744941811660475</v>
      </c>
      <c r="F26" s="22">
        <f t="shared" si="0"/>
        <v>3.27091145814531E-07</v>
      </c>
      <c r="G26" s="62">
        <f t="shared" si="2"/>
        <v>6.54182291629062E-09</v>
      </c>
      <c r="H26" s="84"/>
      <c r="I26" s="28"/>
      <c r="J26" s="28"/>
      <c r="K26" s="28"/>
      <c r="L26" s="28"/>
      <c r="M26" s="28"/>
      <c r="N26" s="28"/>
    </row>
    <row r="27" spans="1:14" ht="12.75">
      <c r="A27" s="64">
        <v>9</v>
      </c>
      <c r="B27" s="31">
        <v>0.05</v>
      </c>
      <c r="C27" s="31">
        <v>-0.2</v>
      </c>
      <c r="D27" s="49">
        <f t="shared" si="1"/>
        <v>1.5835367697281597</v>
      </c>
      <c r="E27" s="50">
        <f>(LN(D27/basis!$B$18)+basis!$B$20*basis!$B$15)/basis!$B$19</f>
        <v>4.777748768308994</v>
      </c>
      <c r="F27" s="22">
        <f t="shared" si="0"/>
        <v>8.863433486243477E-07</v>
      </c>
      <c r="G27" s="62">
        <f t="shared" si="2"/>
        <v>4.431716743121739E-08</v>
      </c>
      <c r="H27" s="84"/>
      <c r="I27" s="28"/>
      <c r="J27" s="28"/>
      <c r="K27" s="28"/>
      <c r="L27" s="28"/>
      <c r="M27" s="28"/>
      <c r="N27" s="28"/>
    </row>
    <row r="28" spans="1:14" ht="13.5" thickBot="1">
      <c r="A28" s="65">
        <v>10</v>
      </c>
      <c r="B28" s="32"/>
      <c r="C28" s="32"/>
      <c r="D28" s="51">
        <f t="shared" si="1"/>
        <v>1.7835367697281597</v>
      </c>
      <c r="E28" s="52">
        <f>(LN(D28/basis!$B$18)+basis!$B$20*basis!$B$15)/basis!$B$19</f>
        <v>5.0363086268910715</v>
      </c>
      <c r="F28" s="53">
        <f t="shared" si="0"/>
        <v>2.3729756769600695E-07</v>
      </c>
      <c r="G28" s="63">
        <f t="shared" si="2"/>
        <v>0</v>
      </c>
      <c r="H28" s="86"/>
      <c r="I28" s="28"/>
      <c r="J28" s="28"/>
      <c r="K28" s="28"/>
      <c r="L28" s="28"/>
      <c r="M28" s="28"/>
      <c r="N28" s="28"/>
    </row>
    <row r="29" spans="1:14" ht="12.75">
      <c r="A29" s="6" t="s">
        <v>51</v>
      </c>
      <c r="B29" s="3"/>
      <c r="C29" s="3"/>
      <c r="D29" s="3"/>
      <c r="E29" s="3"/>
      <c r="F29" s="3"/>
      <c r="G29" s="74">
        <f>+SUM(G19:G28)</f>
        <v>4.690195413507242E-07</v>
      </c>
      <c r="H29" s="28"/>
      <c r="I29" s="28"/>
      <c r="J29" s="28"/>
      <c r="K29" s="28"/>
      <c r="L29" s="28"/>
      <c r="M29" s="28"/>
      <c r="N29" s="28"/>
    </row>
    <row r="30" spans="1:14" ht="12.75">
      <c r="A30" s="6"/>
      <c r="B30" s="3"/>
      <c r="C30" s="3"/>
      <c r="D30" s="3"/>
      <c r="E30" s="3"/>
      <c r="F30" s="54" t="s">
        <v>0</v>
      </c>
      <c r="G30" s="55">
        <f>+G29/G6</f>
        <v>0.6839868311364757</v>
      </c>
      <c r="H30" s="56" t="s">
        <v>62</v>
      </c>
      <c r="I30" s="28"/>
      <c r="J30" s="28"/>
      <c r="K30" s="28"/>
      <c r="L30" s="28"/>
      <c r="M30" s="28"/>
      <c r="N30" s="28"/>
    </row>
    <row r="31" spans="1:14" ht="13.5" thickBot="1">
      <c r="A31" s="8"/>
      <c r="B31" s="9"/>
      <c r="C31" s="9"/>
      <c r="D31" s="9"/>
      <c r="E31" s="9"/>
      <c r="F31" s="9"/>
      <c r="G31" s="10"/>
      <c r="H31" s="28" t="s">
        <v>70</v>
      </c>
      <c r="I31" s="28"/>
      <c r="J31" s="28"/>
      <c r="K31" s="28"/>
      <c r="L31" s="28"/>
      <c r="M31" s="28"/>
      <c r="N31" s="28"/>
    </row>
    <row r="32" spans="1:14" ht="12.75">
      <c r="A32" s="28"/>
      <c r="B32" s="28"/>
      <c r="C32" s="28"/>
      <c r="D32" s="28"/>
      <c r="E32" s="28"/>
      <c r="F32" s="28"/>
      <c r="G32" s="28"/>
      <c r="H32" s="28" t="s">
        <v>61</v>
      </c>
      <c r="I32" s="28"/>
      <c r="J32" s="28"/>
      <c r="K32" s="28"/>
      <c r="L32" s="28"/>
      <c r="M32" s="28"/>
      <c r="N32" s="28"/>
    </row>
    <row r="33" spans="1:14" ht="12.75">
      <c r="A33" s="48" t="s">
        <v>59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1:14" ht="12.75">
      <c r="A34" s="28" t="s">
        <v>64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</row>
    <row r="35" spans="1:14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</row>
    <row r="36" spans="1:14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</row>
    <row r="37" spans="1:14" ht="12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</row>
    <row r="38" spans="1:14" ht="12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</row>
    <row r="39" spans="1:14" ht="12.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</row>
    <row r="40" spans="1:14" ht="12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</row>
    <row r="41" spans="1:14" ht="12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</row>
  </sheetData>
  <sheetProtection selectLockedCells="1"/>
  <conditionalFormatting sqref="G30">
    <cfRule type="cellIs" priority="3" dxfId="3" operator="lessThanOrEqual" stopIfTrue="1">
      <formula>1</formula>
    </cfRule>
    <cfRule type="cellIs" priority="4" dxfId="2" operator="greaterThan" stopIfTrue="1">
      <formula>1</formula>
    </cfRule>
  </conditionalFormatting>
  <conditionalFormatting sqref="G8">
    <cfRule type="cellIs" priority="2" dxfId="1" operator="greaterThan" stopIfTrue="1">
      <formula>1.3</formula>
    </cfRule>
  </conditionalFormatting>
  <conditionalFormatting sqref="B20:B28">
    <cfRule type="expression" priority="5" dxfId="0" stopIfTrue="1">
      <formula>OR(SUM($B$20:$B$28)&gt;'schematiseringsfactor opbarsten'!#REF!,B20&gt;'schematiseringsfactor opbarsten'!#REF!)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PageLayoutView="0" workbookViewId="0" topLeftCell="A1">
      <selection activeCell="G43" sqref="G43"/>
    </sheetView>
  </sheetViews>
  <sheetFormatPr defaultColWidth="9.140625" defaultRowHeight="12.75"/>
  <cols>
    <col min="1" max="1" width="11.140625" style="0" customWidth="1"/>
    <col min="3" max="3" width="11.140625" style="0" bestFit="1" customWidth="1"/>
    <col min="4" max="4" width="10.421875" style="0" bestFit="1" customWidth="1"/>
    <col min="5" max="5" width="8.28125" style="0" customWidth="1"/>
    <col min="6" max="6" width="14.8515625" style="0" customWidth="1"/>
    <col min="7" max="7" width="15.57421875" style="0" customWidth="1"/>
    <col min="8" max="8" width="56.00390625" style="0" customWidth="1"/>
  </cols>
  <sheetData>
    <row r="1" spans="1:12" ht="12.75">
      <c r="A1" s="2" t="s">
        <v>5</v>
      </c>
      <c r="B1" s="30"/>
      <c r="C1" s="30"/>
      <c r="D1" s="30"/>
      <c r="E1" s="28"/>
      <c r="F1" s="28"/>
      <c r="G1" s="60"/>
      <c r="H1" s="60"/>
      <c r="I1" s="28"/>
      <c r="J1" s="28"/>
      <c r="K1" s="28"/>
      <c r="L1" s="28"/>
    </row>
    <row r="2" spans="1:12" ht="12.75">
      <c r="A2" s="59"/>
      <c r="B2" s="60"/>
      <c r="C2" s="60"/>
      <c r="D2" s="60"/>
      <c r="E2" s="60"/>
      <c r="F2" s="60"/>
      <c r="G2" s="60"/>
      <c r="H2" s="60"/>
      <c r="I2" s="28"/>
      <c r="J2" s="28"/>
      <c r="K2" s="28"/>
      <c r="L2" s="28"/>
    </row>
    <row r="3" spans="1:12" ht="12.75">
      <c r="A3" s="1" t="s">
        <v>35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2.75">
      <c r="A4" s="77" t="s">
        <v>76</v>
      </c>
      <c r="B4" s="38"/>
      <c r="C4" s="38"/>
      <c r="D4" s="38"/>
      <c r="E4" s="38"/>
      <c r="F4" s="66"/>
      <c r="G4" s="73">
        <f>basis!B27</f>
        <v>1.2545980977103828</v>
      </c>
      <c r="H4" s="28"/>
      <c r="I4" s="28"/>
      <c r="J4" s="28"/>
      <c r="K4" s="28"/>
      <c r="L4" s="28"/>
    </row>
    <row r="5" spans="1:12" ht="12.75">
      <c r="A5" s="72" t="s">
        <v>73</v>
      </c>
      <c r="B5" s="38"/>
      <c r="C5" s="38"/>
      <c r="D5" s="38"/>
      <c r="E5" s="38"/>
      <c r="F5" s="66"/>
      <c r="G5" s="21">
        <f>basis!B13</f>
        <v>4.8291125838381905</v>
      </c>
      <c r="H5" s="28"/>
      <c r="I5" s="28"/>
      <c r="J5" s="28"/>
      <c r="K5" s="28"/>
      <c r="L5" s="28"/>
    </row>
    <row r="6" spans="1:12" ht="12.75">
      <c r="A6" s="72" t="s">
        <v>74</v>
      </c>
      <c r="B6" s="38"/>
      <c r="C6" s="38"/>
      <c r="D6" s="38"/>
      <c r="E6" s="38"/>
      <c r="F6" s="66"/>
      <c r="G6" s="22">
        <f>+NORMSDIST(-G5)</f>
        <v>6.857142857142828E-07</v>
      </c>
      <c r="H6" s="28"/>
      <c r="I6" s="28"/>
      <c r="J6" s="28"/>
      <c r="K6" s="28"/>
      <c r="L6" s="28"/>
    </row>
    <row r="7" spans="1:12" ht="12.75">
      <c r="A7" s="72"/>
      <c r="B7" s="38"/>
      <c r="C7" s="38"/>
      <c r="D7" s="38"/>
      <c r="E7" s="38"/>
      <c r="F7" s="66"/>
      <c r="G7" s="19"/>
      <c r="H7" s="28"/>
      <c r="I7" s="28"/>
      <c r="J7" s="28"/>
      <c r="K7" s="28"/>
      <c r="L7" s="28"/>
    </row>
    <row r="8" spans="1:12" ht="12.75">
      <c r="A8" s="78" t="s">
        <v>77</v>
      </c>
      <c r="B8" s="39"/>
      <c r="C8" s="39"/>
      <c r="D8" s="38"/>
      <c r="E8" s="38"/>
      <c r="F8" s="66"/>
      <c r="G8" s="16">
        <v>1.2</v>
      </c>
      <c r="H8" s="28"/>
      <c r="I8" s="28"/>
      <c r="J8" s="28"/>
      <c r="K8" s="28"/>
      <c r="L8" s="28"/>
    </row>
    <row r="9" spans="1:12" ht="12.75">
      <c r="A9" s="72" t="s">
        <v>92</v>
      </c>
      <c r="B9" s="38"/>
      <c r="C9" s="38"/>
      <c r="D9" s="38"/>
      <c r="E9" s="38"/>
      <c r="F9" s="66"/>
      <c r="G9" s="23">
        <f>+G4*G8</f>
        <v>1.5055177172524592</v>
      </c>
      <c r="H9" s="28"/>
      <c r="I9" s="28"/>
      <c r="J9" s="28"/>
      <c r="K9" s="28"/>
      <c r="L9" s="28"/>
    </row>
    <row r="10" spans="1:12" ht="12.75">
      <c r="A10" s="72" t="s">
        <v>67</v>
      </c>
      <c r="B10" s="38"/>
      <c r="C10" s="38"/>
      <c r="D10" s="38"/>
      <c r="E10" s="38"/>
      <c r="F10" s="66"/>
      <c r="G10" s="73">
        <f>(LN(G9/basis!$B$24)+basis!$B$26*basis!$B$15)/basis!$B$25</f>
        <v>5.3218735481461765</v>
      </c>
      <c r="H10" s="28"/>
      <c r="I10" s="28"/>
      <c r="J10" s="28"/>
      <c r="K10" s="28"/>
      <c r="L10" s="28"/>
    </row>
    <row r="11" spans="1:12" ht="12.75">
      <c r="A11" s="72" t="s">
        <v>66</v>
      </c>
      <c r="B11" s="38"/>
      <c r="C11" s="38"/>
      <c r="D11" s="38"/>
      <c r="E11" s="38"/>
      <c r="F11" s="66"/>
      <c r="G11" s="79">
        <f>+NORMSDIST(-G10)</f>
        <v>5.1351978208348766E-08</v>
      </c>
      <c r="H11" s="28"/>
      <c r="I11" s="28"/>
      <c r="J11" s="28"/>
      <c r="K11" s="28"/>
      <c r="L11" s="28"/>
    </row>
    <row r="12" spans="1:12" ht="12.75">
      <c r="A12" s="72" t="s">
        <v>65</v>
      </c>
      <c r="B12" s="38"/>
      <c r="C12" s="38"/>
      <c r="D12" s="38"/>
      <c r="E12" s="38"/>
      <c r="F12" s="66"/>
      <c r="G12" s="22">
        <f>+(1-SUM(B20:B28))*G11</f>
        <v>2.156783084750648E-08</v>
      </c>
      <c r="H12" s="28"/>
      <c r="I12" s="28"/>
      <c r="J12" s="28"/>
      <c r="K12" s="28"/>
      <c r="L12" s="28"/>
    </row>
    <row r="13" spans="1:12" ht="13.5" thickBo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</row>
    <row r="14" spans="1:12" ht="12.75">
      <c r="A14" s="40" t="s">
        <v>31</v>
      </c>
      <c r="B14" s="41" t="s">
        <v>32</v>
      </c>
      <c r="C14" s="41"/>
      <c r="D14" s="41"/>
      <c r="E14" s="41"/>
      <c r="F14" s="42"/>
      <c r="G14" s="28"/>
      <c r="H14" s="28"/>
      <c r="I14" s="28"/>
      <c r="J14" s="28"/>
      <c r="K14" s="28"/>
      <c r="L14" s="28"/>
    </row>
    <row r="15" spans="1:12" ht="12.75">
      <c r="A15" s="14" t="s">
        <v>33</v>
      </c>
      <c r="B15" s="37" t="s">
        <v>30</v>
      </c>
      <c r="C15" s="37"/>
      <c r="D15" s="37"/>
      <c r="E15" s="37"/>
      <c r="F15" s="43"/>
      <c r="G15" s="28"/>
      <c r="H15" s="28"/>
      <c r="I15" s="28"/>
      <c r="J15" s="28"/>
      <c r="K15" s="28"/>
      <c r="L15" s="28"/>
    </row>
    <row r="16" spans="1:12" ht="13.5" thickBot="1">
      <c r="A16" s="15" t="s">
        <v>34</v>
      </c>
      <c r="B16" s="44" t="s">
        <v>54</v>
      </c>
      <c r="C16" s="44"/>
      <c r="D16" s="44"/>
      <c r="E16" s="44"/>
      <c r="F16" s="45"/>
      <c r="G16" s="28"/>
      <c r="H16" s="28"/>
      <c r="I16" s="28"/>
      <c r="J16" s="28"/>
      <c r="K16" s="28"/>
      <c r="L16" s="28"/>
    </row>
    <row r="17" spans="1:12" ht="13.5" thickBo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1:12" ht="12.75">
      <c r="A18" s="46" t="s">
        <v>1</v>
      </c>
      <c r="B18" s="47" t="s">
        <v>2</v>
      </c>
      <c r="C18" s="76" t="s">
        <v>36</v>
      </c>
      <c r="D18" s="76" t="s">
        <v>37</v>
      </c>
      <c r="E18" s="47" t="s">
        <v>3</v>
      </c>
      <c r="F18" s="47" t="s">
        <v>4</v>
      </c>
      <c r="G18" s="61" t="s">
        <v>69</v>
      </c>
      <c r="H18" s="80" t="s">
        <v>53</v>
      </c>
      <c r="I18" s="28"/>
      <c r="J18" s="28"/>
      <c r="K18" s="28"/>
      <c r="L18" s="28"/>
    </row>
    <row r="19" spans="1:12" ht="12.75">
      <c r="A19" s="81">
        <v>1</v>
      </c>
      <c r="B19" s="82">
        <f>1-SUM(B20:B28)</f>
        <v>0.41999999999999993</v>
      </c>
      <c r="C19" s="92">
        <v>0</v>
      </c>
      <c r="D19" s="49">
        <f>$G$9+C19</f>
        <v>1.5055177172524592</v>
      </c>
      <c r="E19" s="49">
        <f>(LN(D19/basis!$B$24)+basis!$B$26*basis!$B$15)/basis!$B$25</f>
        <v>5.3218735481461765</v>
      </c>
      <c r="F19" s="22">
        <f>NORMSDIST(-E19)</f>
        <v>5.1351978208348766E-08</v>
      </c>
      <c r="G19" s="62">
        <f>+B19*F19</f>
        <v>2.156783084750648E-08</v>
      </c>
      <c r="H19" s="87" t="s">
        <v>52</v>
      </c>
      <c r="I19" s="28"/>
      <c r="J19" s="28"/>
      <c r="K19" s="28"/>
      <c r="L19" s="28"/>
    </row>
    <row r="20" spans="1:12" ht="12.75">
      <c r="A20" s="64">
        <v>2</v>
      </c>
      <c r="B20" s="31">
        <v>0.1</v>
      </c>
      <c r="C20" s="31">
        <v>-0.05</v>
      </c>
      <c r="D20" s="49">
        <f>$G$9+C20</f>
        <v>1.4555177172524592</v>
      </c>
      <c r="E20" s="49">
        <f>(LN(D20/basis!$B$24)+basis!$B$26*basis!$B$15)/basis!$B$25</f>
        <v>5.230589276607833</v>
      </c>
      <c r="F20" s="22">
        <f aca="true" t="shared" si="0" ref="F20:F28">NORMSDIST(-E20)</f>
        <v>8.44852748481174E-08</v>
      </c>
      <c r="G20" s="62">
        <f>+B20*F20</f>
        <v>8.44852748481174E-09</v>
      </c>
      <c r="H20" s="88"/>
      <c r="I20" s="28"/>
      <c r="J20" s="28"/>
      <c r="K20" s="28"/>
      <c r="L20" s="28"/>
    </row>
    <row r="21" spans="1:12" ht="12.75">
      <c r="A21" s="64">
        <v>3</v>
      </c>
      <c r="B21" s="31">
        <v>0.05</v>
      </c>
      <c r="C21" s="31">
        <v>-0.3</v>
      </c>
      <c r="D21" s="49">
        <f aca="true" t="shared" si="1" ref="D21:D28">$G$9+C21</f>
        <v>1.2055177172524592</v>
      </c>
      <c r="E21" s="49">
        <f>(LN(D21/basis!$B$24)+basis!$B$26*basis!$B$15)/basis!$B$25</f>
        <v>4.721258084160748</v>
      </c>
      <c r="F21" s="22">
        <f t="shared" si="0"/>
        <v>1.1719514866547261E-06</v>
      </c>
      <c r="G21" s="62">
        <f aca="true" t="shared" si="2" ref="G21:G28">+B21*F21</f>
        <v>5.859757433273631E-08</v>
      </c>
      <c r="H21" s="88"/>
      <c r="I21" s="28"/>
      <c r="J21" s="28"/>
      <c r="K21" s="28"/>
      <c r="L21" s="28"/>
    </row>
    <row r="22" spans="1:12" ht="12.75">
      <c r="A22" s="64">
        <v>4</v>
      </c>
      <c r="B22" s="31">
        <v>0.1</v>
      </c>
      <c r="C22" s="31">
        <v>-0.1</v>
      </c>
      <c r="D22" s="49">
        <f t="shared" si="1"/>
        <v>1.405517717252459</v>
      </c>
      <c r="E22" s="49">
        <f>(LN(D22/basis!$B$24)+basis!$B$26*basis!$B$15)/basis!$B$25</f>
        <v>5.136113763610162</v>
      </c>
      <c r="F22" s="22">
        <f t="shared" si="0"/>
        <v>1.4023895568990215E-07</v>
      </c>
      <c r="G22" s="62">
        <f t="shared" si="2"/>
        <v>1.4023895568990217E-08</v>
      </c>
      <c r="H22" s="88"/>
      <c r="I22" s="28"/>
      <c r="J22" s="28"/>
      <c r="K22" s="28"/>
      <c r="L22" s="28"/>
    </row>
    <row r="23" spans="1:12" ht="12.75">
      <c r="A23" s="64">
        <v>5</v>
      </c>
      <c r="B23" s="31">
        <v>0.2</v>
      </c>
      <c r="C23" s="31">
        <v>-0.15</v>
      </c>
      <c r="D23" s="49">
        <f t="shared" si="1"/>
        <v>1.3555177172524593</v>
      </c>
      <c r="E23" s="49">
        <f>(LN(D23/basis!$B$24)+basis!$B$26*basis!$B$15)/basis!$B$25</f>
        <v>5.038215773253459</v>
      </c>
      <c r="F23" s="22">
        <f t="shared" si="0"/>
        <v>2.3494577342535116E-07</v>
      </c>
      <c r="G23" s="62">
        <f t="shared" si="2"/>
        <v>4.6989154685070236E-08</v>
      </c>
      <c r="H23" s="88"/>
      <c r="I23" s="28"/>
      <c r="J23" s="28"/>
      <c r="K23" s="28"/>
      <c r="L23" s="28"/>
    </row>
    <row r="24" spans="1:12" ht="12.75">
      <c r="A24" s="64">
        <v>6</v>
      </c>
      <c r="B24" s="31">
        <v>0.05</v>
      </c>
      <c r="C24" s="31">
        <v>-0.05</v>
      </c>
      <c r="D24" s="49">
        <f t="shared" si="1"/>
        <v>1.4555177172524592</v>
      </c>
      <c r="E24" s="49">
        <f>(LN(D24/basis!$B$24)+basis!$B$26*basis!$B$15)/basis!$B$25</f>
        <v>5.230589276607833</v>
      </c>
      <c r="F24" s="22">
        <f t="shared" si="0"/>
        <v>8.44852748481174E-08</v>
      </c>
      <c r="G24" s="62">
        <f t="shared" si="2"/>
        <v>4.22426374240587E-09</v>
      </c>
      <c r="H24" s="88"/>
      <c r="I24" s="28"/>
      <c r="J24" s="28"/>
      <c r="K24" s="28"/>
      <c r="L24" s="28"/>
    </row>
    <row r="25" spans="1:12" ht="12.75">
      <c r="A25" s="64">
        <v>7</v>
      </c>
      <c r="B25" s="31">
        <v>0.01</v>
      </c>
      <c r="C25" s="31">
        <v>-0.2</v>
      </c>
      <c r="D25" s="49">
        <f t="shared" si="1"/>
        <v>1.3055177172524592</v>
      </c>
      <c r="E25" s="49">
        <f>(LN(D25/basis!$B$24)+basis!$B$26*basis!$B$15)/basis!$B$25</f>
        <v>4.936637988909667</v>
      </c>
      <c r="F25" s="22">
        <f t="shared" si="0"/>
        <v>3.974040371428448E-07</v>
      </c>
      <c r="G25" s="62">
        <f t="shared" si="2"/>
        <v>3.974040371428448E-09</v>
      </c>
      <c r="H25" s="88"/>
      <c r="I25" s="28"/>
      <c r="J25" s="28"/>
      <c r="K25" s="28"/>
      <c r="L25" s="28"/>
    </row>
    <row r="26" spans="1:12" ht="12.75">
      <c r="A26" s="64">
        <v>8</v>
      </c>
      <c r="B26" s="31">
        <v>0.02</v>
      </c>
      <c r="C26" s="31">
        <v>-0.05</v>
      </c>
      <c r="D26" s="49">
        <f t="shared" si="1"/>
        <v>1.4555177172524592</v>
      </c>
      <c r="E26" s="49">
        <f>(LN(D26/basis!$B$24)+basis!$B$26*basis!$B$15)/basis!$B$25</f>
        <v>5.230589276607833</v>
      </c>
      <c r="F26" s="22">
        <f t="shared" si="0"/>
        <v>8.44852748481174E-08</v>
      </c>
      <c r="G26" s="62">
        <f t="shared" si="2"/>
        <v>1.689705496962348E-09</v>
      </c>
      <c r="H26" s="88"/>
      <c r="I26" s="28"/>
      <c r="J26" s="28"/>
      <c r="K26" s="28"/>
      <c r="L26" s="28"/>
    </row>
    <row r="27" spans="1:12" ht="12.75">
      <c r="A27" s="64">
        <v>9</v>
      </c>
      <c r="B27" s="31">
        <v>0.05</v>
      </c>
      <c r="C27" s="31">
        <v>-0.2</v>
      </c>
      <c r="D27" s="49">
        <f t="shared" si="1"/>
        <v>1.3055177172524592</v>
      </c>
      <c r="E27" s="49">
        <f>(LN(D27/basis!$B$24)+basis!$B$26*basis!$B$15)/basis!$B$25</f>
        <v>4.936637988909667</v>
      </c>
      <c r="F27" s="22">
        <f t="shared" si="0"/>
        <v>3.974040371428448E-07</v>
      </c>
      <c r="G27" s="62">
        <f t="shared" si="2"/>
        <v>1.987020185714224E-08</v>
      </c>
      <c r="H27" s="88"/>
      <c r="I27" s="28"/>
      <c r="J27" s="28"/>
      <c r="K27" s="28"/>
      <c r="L27" s="28"/>
    </row>
    <row r="28" spans="1:12" ht="13.5" thickBot="1">
      <c r="A28" s="65">
        <v>10</v>
      </c>
      <c r="B28" s="32"/>
      <c r="C28" s="32"/>
      <c r="D28" s="51">
        <f t="shared" si="1"/>
        <v>1.5055177172524592</v>
      </c>
      <c r="E28" s="51">
        <f>(LN(D28/basis!$B$24)+basis!$B$26*basis!$B$15)/basis!$B$25</f>
        <v>5.3218735481461765</v>
      </c>
      <c r="F28" s="53">
        <f t="shared" si="0"/>
        <v>5.1351978208348766E-08</v>
      </c>
      <c r="G28" s="63">
        <f t="shared" si="2"/>
        <v>0</v>
      </c>
      <c r="H28" s="89"/>
      <c r="I28" s="28"/>
      <c r="J28" s="28"/>
      <c r="K28" s="28"/>
      <c r="L28" s="28"/>
    </row>
    <row r="29" spans="1:12" ht="12.75">
      <c r="A29" s="6" t="s">
        <v>60</v>
      </c>
      <c r="B29" s="3"/>
      <c r="C29" s="3"/>
      <c r="D29" s="3"/>
      <c r="E29" s="3"/>
      <c r="F29" s="3"/>
      <c r="G29" s="74">
        <f>+SUM(G19:G28)</f>
        <v>1.7938519438705388E-07</v>
      </c>
      <c r="H29" s="28"/>
      <c r="I29" s="28"/>
      <c r="J29" s="28"/>
      <c r="K29" s="28"/>
      <c r="L29" s="28"/>
    </row>
    <row r="30" spans="1:12" ht="12.75">
      <c r="A30" s="6"/>
      <c r="B30" s="3"/>
      <c r="C30" s="3"/>
      <c r="D30" s="3"/>
      <c r="E30" s="3"/>
      <c r="F30" s="54" t="s">
        <v>0</v>
      </c>
      <c r="G30" s="55">
        <f>+G29/G6</f>
        <v>0.26160340848112135</v>
      </c>
      <c r="H30" s="56" t="s">
        <v>62</v>
      </c>
      <c r="I30" s="28"/>
      <c r="J30" s="28"/>
      <c r="K30" s="28"/>
      <c r="L30" s="28"/>
    </row>
    <row r="31" spans="1:12" ht="13.5" thickBot="1">
      <c r="A31" s="8"/>
      <c r="B31" s="9"/>
      <c r="C31" s="9"/>
      <c r="D31" s="9"/>
      <c r="E31" s="9"/>
      <c r="F31" s="9"/>
      <c r="G31" s="93"/>
      <c r="H31" s="28" t="s">
        <v>70</v>
      </c>
      <c r="I31" s="28"/>
      <c r="J31" s="28"/>
      <c r="K31" s="28"/>
      <c r="L31" s="28"/>
    </row>
    <row r="32" spans="1:12" ht="12.75">
      <c r="A32" s="28"/>
      <c r="B32" s="28"/>
      <c r="C32" s="28"/>
      <c r="D32" s="28"/>
      <c r="E32" s="28"/>
      <c r="F32" s="28"/>
      <c r="G32" s="28"/>
      <c r="H32" s="28" t="s">
        <v>61</v>
      </c>
      <c r="I32" s="28"/>
      <c r="J32" s="28"/>
      <c r="K32" s="28"/>
      <c r="L32" s="28"/>
    </row>
    <row r="33" spans="1:12" ht="12.75">
      <c r="A33" s="48" t="s">
        <v>68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</row>
    <row r="34" spans="1:12" ht="12.75">
      <c r="A34" s="28" t="s">
        <v>63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</row>
    <row r="35" spans="1:12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</row>
  </sheetData>
  <sheetProtection selectLockedCells="1"/>
  <conditionalFormatting sqref="G30">
    <cfRule type="cellIs" priority="9" dxfId="3" operator="lessThanOrEqual" stopIfTrue="1">
      <formula>1</formula>
    </cfRule>
    <cfRule type="cellIs" priority="10" dxfId="2" operator="greaterThan" stopIfTrue="1">
      <formula>1</formula>
    </cfRule>
  </conditionalFormatting>
  <conditionalFormatting sqref="G8">
    <cfRule type="cellIs" priority="8" dxfId="1" operator="greaterThan" stopIfTrue="1">
      <formula>1.3</formula>
    </cfRule>
  </conditionalFormatting>
  <conditionalFormatting sqref="B20:B28">
    <cfRule type="expression" priority="12" dxfId="0" stopIfTrue="1">
      <formula>OR(SUM($B$20:$B$28)&gt;'schematiseringsfactor piping'!#REF!,B20&gt;'schematiseringsfactor piping'!#REF!)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">
      <selection activeCell="G40" sqref="G40"/>
    </sheetView>
  </sheetViews>
  <sheetFormatPr defaultColWidth="9.140625" defaultRowHeight="12.75"/>
  <cols>
    <col min="1" max="1" width="8.7109375" style="0" customWidth="1"/>
    <col min="3" max="3" width="11.140625" style="0" bestFit="1" customWidth="1"/>
    <col min="4" max="4" width="10.421875" style="0" bestFit="1" customWidth="1"/>
    <col min="5" max="5" width="12.140625" style="0" customWidth="1"/>
    <col min="6" max="6" width="12.421875" style="0" customWidth="1"/>
    <col min="7" max="7" width="16.8515625" style="0" customWidth="1"/>
    <col min="8" max="8" width="54.00390625" style="0" customWidth="1"/>
  </cols>
  <sheetData>
    <row r="1" spans="1:13" ht="12.75">
      <c r="A1" s="2" t="s">
        <v>5</v>
      </c>
      <c r="B1" s="30"/>
      <c r="C1" s="30"/>
      <c r="D1" s="30"/>
      <c r="E1" s="28"/>
      <c r="F1" s="28"/>
      <c r="G1" s="60"/>
      <c r="H1" s="60"/>
      <c r="I1" s="28"/>
      <c r="J1" s="28"/>
      <c r="K1" s="28"/>
      <c r="L1" s="28"/>
      <c r="M1" s="28"/>
    </row>
    <row r="2" spans="1:13" ht="12.75">
      <c r="A2" s="59"/>
      <c r="B2" s="60"/>
      <c r="C2" s="60"/>
      <c r="D2" s="60"/>
      <c r="E2" s="60"/>
      <c r="F2" s="60"/>
      <c r="G2" s="60"/>
      <c r="H2" s="60"/>
      <c r="I2" s="28"/>
      <c r="J2" s="28"/>
      <c r="K2" s="28"/>
      <c r="L2" s="28"/>
      <c r="M2" s="28"/>
    </row>
    <row r="3" spans="1:13" ht="12.75">
      <c r="A3" s="1" t="s">
        <v>38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2.75">
      <c r="A4" s="77" t="s">
        <v>72</v>
      </c>
      <c r="B4" s="38"/>
      <c r="C4" s="38"/>
      <c r="D4" s="38"/>
      <c r="E4" s="38"/>
      <c r="F4" s="66"/>
      <c r="G4" s="73">
        <f>basis!B33</f>
        <v>1.2312338802820655</v>
      </c>
      <c r="H4" s="28"/>
      <c r="I4" s="28"/>
      <c r="J4" s="28"/>
      <c r="K4" s="28"/>
      <c r="L4" s="28"/>
      <c r="M4" s="28"/>
    </row>
    <row r="5" spans="1:13" ht="12.75">
      <c r="A5" s="72" t="s">
        <v>73</v>
      </c>
      <c r="B5" s="38"/>
      <c r="C5" s="38"/>
      <c r="D5" s="38"/>
      <c r="E5" s="38"/>
      <c r="F5" s="66"/>
      <c r="G5" s="21">
        <f>basis!B13</f>
        <v>4.8291125838381905</v>
      </c>
      <c r="H5" s="28"/>
      <c r="I5" s="28"/>
      <c r="J5" s="28"/>
      <c r="K5" s="28"/>
      <c r="L5" s="28"/>
      <c r="M5" s="28"/>
    </row>
    <row r="6" spans="1:13" ht="12.75">
      <c r="A6" s="72" t="s">
        <v>74</v>
      </c>
      <c r="B6" s="38"/>
      <c r="C6" s="38"/>
      <c r="D6" s="38"/>
      <c r="E6" s="38"/>
      <c r="F6" s="66"/>
      <c r="G6" s="22">
        <f>+NORMSDIST(-G5)</f>
        <v>6.857142857142828E-07</v>
      </c>
      <c r="H6" s="28"/>
      <c r="I6" s="28"/>
      <c r="J6" s="28"/>
      <c r="K6" s="28"/>
      <c r="L6" s="28"/>
      <c r="M6" s="28"/>
    </row>
    <row r="7" spans="1:13" ht="12.75">
      <c r="A7" s="72"/>
      <c r="B7" s="38"/>
      <c r="C7" s="38"/>
      <c r="D7" s="38"/>
      <c r="E7" s="38"/>
      <c r="F7" s="66"/>
      <c r="G7" s="19"/>
      <c r="H7" s="28"/>
      <c r="I7" s="28"/>
      <c r="J7" s="28"/>
      <c r="K7" s="28"/>
      <c r="L7" s="28"/>
      <c r="M7" s="28"/>
    </row>
    <row r="8" spans="1:13" ht="12.75">
      <c r="A8" s="78" t="s">
        <v>94</v>
      </c>
      <c r="B8" s="39"/>
      <c r="C8" s="39"/>
      <c r="D8" s="38"/>
      <c r="E8" s="38"/>
      <c r="F8" s="66"/>
      <c r="G8" s="16">
        <v>1.2</v>
      </c>
      <c r="H8" s="28"/>
      <c r="I8" s="28"/>
      <c r="J8" s="28"/>
      <c r="K8" s="28"/>
      <c r="L8" s="28"/>
      <c r="M8" s="28"/>
    </row>
    <row r="9" spans="1:13" ht="12.75">
      <c r="A9" s="72" t="s">
        <v>93</v>
      </c>
      <c r="B9" s="38"/>
      <c r="C9" s="38"/>
      <c r="D9" s="38"/>
      <c r="E9" s="38"/>
      <c r="F9" s="66"/>
      <c r="G9" s="23">
        <f>+G4*G8</f>
        <v>1.4774806563384786</v>
      </c>
      <c r="H9" s="28"/>
      <c r="I9" s="28"/>
      <c r="J9" s="28"/>
      <c r="K9" s="28"/>
      <c r="L9" s="28"/>
      <c r="M9" s="28"/>
    </row>
    <row r="10" spans="1:13" ht="12.75">
      <c r="A10" s="72" t="s">
        <v>67</v>
      </c>
      <c r="B10" s="38"/>
      <c r="C10" s="38"/>
      <c r="D10" s="38"/>
      <c r="E10" s="38"/>
      <c r="F10" s="66"/>
      <c r="G10" s="73">
        <f>(LN(G9/basis!$B$30)+basis!$B$32*basis!$B$15)/basis!$B$31</f>
        <v>5.208949160492262</v>
      </c>
      <c r="H10" s="28"/>
      <c r="I10" s="28"/>
      <c r="J10" s="28"/>
      <c r="K10" s="28"/>
      <c r="L10" s="28"/>
      <c r="M10" s="28"/>
    </row>
    <row r="11" spans="1:13" ht="12.75">
      <c r="A11" s="72" t="s">
        <v>66</v>
      </c>
      <c r="B11" s="38"/>
      <c r="C11" s="38"/>
      <c r="D11" s="38"/>
      <c r="E11" s="38"/>
      <c r="F11" s="66"/>
      <c r="G11" s="79">
        <f>+NORMSDIST(-G10)</f>
        <v>9.495656825067804E-08</v>
      </c>
      <c r="H11" s="28"/>
      <c r="I11" s="28"/>
      <c r="J11" s="28"/>
      <c r="K11" s="28"/>
      <c r="L11" s="28"/>
      <c r="M11" s="28"/>
    </row>
    <row r="12" spans="1:13" ht="12.75">
      <c r="A12" s="72" t="s">
        <v>65</v>
      </c>
      <c r="B12" s="38"/>
      <c r="C12" s="38"/>
      <c r="D12" s="38"/>
      <c r="E12" s="38"/>
      <c r="F12" s="66"/>
      <c r="G12" s="22">
        <f>+(1-SUM(B20:B28))*G11</f>
        <v>3.988175866528477E-08</v>
      </c>
      <c r="H12" s="28"/>
      <c r="I12" s="28"/>
      <c r="J12" s="28"/>
      <c r="K12" s="28"/>
      <c r="L12" s="28"/>
      <c r="M12" s="28"/>
    </row>
    <row r="13" spans="1:13" ht="13.5" thickBo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3" ht="12.75">
      <c r="A14" s="40" t="s">
        <v>31</v>
      </c>
      <c r="B14" s="41" t="s">
        <v>32</v>
      </c>
      <c r="C14" s="41"/>
      <c r="D14" s="41"/>
      <c r="E14" s="41"/>
      <c r="F14" s="42"/>
      <c r="G14" s="28"/>
      <c r="H14" s="28"/>
      <c r="I14" s="28"/>
      <c r="J14" s="28"/>
      <c r="K14" s="28"/>
      <c r="L14" s="28"/>
      <c r="M14" s="28"/>
    </row>
    <row r="15" spans="1:13" ht="12.75">
      <c r="A15" s="14" t="s">
        <v>33</v>
      </c>
      <c r="B15" s="37" t="s">
        <v>30</v>
      </c>
      <c r="C15" s="37"/>
      <c r="D15" s="37"/>
      <c r="E15" s="37"/>
      <c r="F15" s="43"/>
      <c r="G15" s="28"/>
      <c r="H15" s="28"/>
      <c r="I15" s="28"/>
      <c r="J15" s="28"/>
      <c r="K15" s="28"/>
      <c r="L15" s="28"/>
      <c r="M15" s="28"/>
    </row>
    <row r="16" spans="1:13" ht="13.5" thickBot="1">
      <c r="A16" s="15" t="s">
        <v>34</v>
      </c>
      <c r="B16" s="44" t="s">
        <v>54</v>
      </c>
      <c r="C16" s="44"/>
      <c r="D16" s="44"/>
      <c r="E16" s="44"/>
      <c r="F16" s="45"/>
      <c r="G16" s="28"/>
      <c r="H16" s="28"/>
      <c r="I16" s="28"/>
      <c r="J16" s="28"/>
      <c r="K16" s="28"/>
      <c r="L16" s="28"/>
      <c r="M16" s="28"/>
    </row>
    <row r="17" spans="1:13" ht="13.5" thickBo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1:13" ht="12.75">
      <c r="A18" s="46" t="s">
        <v>1</v>
      </c>
      <c r="B18" s="47" t="s">
        <v>2</v>
      </c>
      <c r="C18" s="76" t="s">
        <v>42</v>
      </c>
      <c r="D18" s="76" t="s">
        <v>43</v>
      </c>
      <c r="E18" s="47" t="s">
        <v>3</v>
      </c>
      <c r="F18" s="47" t="s">
        <v>4</v>
      </c>
      <c r="G18" s="75" t="s">
        <v>69</v>
      </c>
      <c r="H18" s="80" t="s">
        <v>53</v>
      </c>
      <c r="I18" s="28"/>
      <c r="J18" s="28"/>
      <c r="K18" s="28"/>
      <c r="L18" s="28"/>
      <c r="M18" s="28"/>
    </row>
    <row r="19" spans="1:13" ht="12.75">
      <c r="A19" s="81">
        <v>1</v>
      </c>
      <c r="B19" s="82">
        <f>1-SUM(B20:B28)</f>
        <v>0.41999999999999993</v>
      </c>
      <c r="C19" s="92">
        <v>0</v>
      </c>
      <c r="D19" s="49">
        <f>$G$9+C19</f>
        <v>1.4774806563384786</v>
      </c>
      <c r="E19" s="49">
        <f>(LN(D19/basis!$B$30)+basis!$B$32*basis!$B$15)/basis!$B$31</f>
        <v>5.208949160492262</v>
      </c>
      <c r="F19" s="22">
        <f>NORMSDIST(-E19)</f>
        <v>9.495656825067804E-08</v>
      </c>
      <c r="G19" s="74">
        <f>+B19*F19</f>
        <v>3.988175866528477E-08</v>
      </c>
      <c r="H19" s="83" t="s">
        <v>52</v>
      </c>
      <c r="I19" s="28"/>
      <c r="J19" s="28"/>
      <c r="K19" s="28"/>
      <c r="L19" s="28"/>
      <c r="M19" s="28"/>
    </row>
    <row r="20" spans="1:13" ht="12.75">
      <c r="A20" s="64">
        <v>2</v>
      </c>
      <c r="B20" s="31">
        <v>0.1</v>
      </c>
      <c r="C20" s="31">
        <v>-0.05</v>
      </c>
      <c r="D20" s="49">
        <f>$G$9+C20</f>
        <v>1.4274806563384785</v>
      </c>
      <c r="E20" s="49">
        <f>(LN(D20/basis!$B$30)+basis!$B$32*basis!$B$15)/basis!$B$31</f>
        <v>5.137225688980578</v>
      </c>
      <c r="F20" s="22">
        <f aca="true" t="shared" si="0" ref="F20:F28">NORMSDIST(-E20)</f>
        <v>1.3941201435637048E-07</v>
      </c>
      <c r="G20" s="74">
        <f>+B20*F20</f>
        <v>1.3941201435637049E-08</v>
      </c>
      <c r="H20" s="84"/>
      <c r="I20" s="28"/>
      <c r="J20" s="28"/>
      <c r="K20" s="28"/>
      <c r="L20" s="28"/>
      <c r="M20" s="28"/>
    </row>
    <row r="21" spans="1:13" ht="12.75">
      <c r="A21" s="64">
        <v>3</v>
      </c>
      <c r="B21" s="31">
        <v>0.05</v>
      </c>
      <c r="C21" s="31">
        <v>-0.3</v>
      </c>
      <c r="D21" s="49">
        <f aca="true" t="shared" si="1" ref="D21:D28">$G$9+C21</f>
        <v>1.1774806563384785</v>
      </c>
      <c r="E21" s="49">
        <f>(LN(D21/basis!$B$30)+basis!$B$32*basis!$B$15)/basis!$B$31</f>
        <v>4.736113204200099</v>
      </c>
      <c r="F21" s="22">
        <f t="shared" si="0"/>
        <v>1.0892796456450879E-06</v>
      </c>
      <c r="G21" s="74">
        <f aca="true" t="shared" si="2" ref="G21:G28">+B21*F21</f>
        <v>5.44639822822544E-08</v>
      </c>
      <c r="H21" s="84"/>
      <c r="I21" s="28"/>
      <c r="J21" s="28"/>
      <c r="K21" s="28"/>
      <c r="L21" s="28"/>
      <c r="M21" s="28"/>
    </row>
    <row r="22" spans="1:13" ht="12.75">
      <c r="A22" s="64">
        <v>4</v>
      </c>
      <c r="B22" s="31">
        <v>0.1</v>
      </c>
      <c r="C22" s="31">
        <v>-0.1</v>
      </c>
      <c r="D22" s="49">
        <f t="shared" si="1"/>
        <v>1.3774806563384785</v>
      </c>
      <c r="E22" s="49">
        <f>(LN(D22/basis!$B$30)+basis!$B$32*basis!$B$15)/basis!$B$31</f>
        <v>5.062944663211268</v>
      </c>
      <c r="F22" s="22">
        <f t="shared" si="0"/>
        <v>2.0641485597905877E-07</v>
      </c>
      <c r="G22" s="74">
        <f t="shared" si="2"/>
        <v>2.064148559790588E-08</v>
      </c>
      <c r="H22" s="84"/>
      <c r="I22" s="28"/>
      <c r="J22" s="28"/>
      <c r="K22" s="28"/>
      <c r="L22" s="28"/>
      <c r="M22" s="28"/>
    </row>
    <row r="23" spans="1:13" ht="12.75">
      <c r="A23" s="64">
        <v>5</v>
      </c>
      <c r="B23" s="31">
        <v>0.2</v>
      </c>
      <c r="C23" s="31">
        <v>-0.15</v>
      </c>
      <c r="D23" s="49">
        <f t="shared" si="1"/>
        <v>1.3274806563384787</v>
      </c>
      <c r="E23" s="49">
        <f>(LN(D23/basis!$B$30)+basis!$B$32*basis!$B$15)/basis!$B$31</f>
        <v>4.98591691981651</v>
      </c>
      <c r="F23" s="22">
        <f t="shared" si="0"/>
        <v>3.083432082432621E-07</v>
      </c>
      <c r="G23" s="74">
        <f t="shared" si="2"/>
        <v>6.166864164865242E-08</v>
      </c>
      <c r="H23" s="84"/>
      <c r="I23" s="28"/>
      <c r="J23" s="28"/>
      <c r="K23" s="28"/>
      <c r="L23" s="28"/>
      <c r="M23" s="28"/>
    </row>
    <row r="24" spans="1:13" ht="12.75">
      <c r="A24" s="64">
        <v>6</v>
      </c>
      <c r="B24" s="31">
        <v>0.05</v>
      </c>
      <c r="C24" s="31">
        <v>-0.05</v>
      </c>
      <c r="D24" s="49">
        <f t="shared" si="1"/>
        <v>1.4274806563384785</v>
      </c>
      <c r="E24" s="49">
        <f>(LN(D24/basis!$B$30)+basis!$B$32*basis!$B$15)/basis!$B$31</f>
        <v>5.137225688980578</v>
      </c>
      <c r="F24" s="22">
        <f t="shared" si="0"/>
        <v>1.3941201435637048E-07</v>
      </c>
      <c r="G24" s="74">
        <f t="shared" si="2"/>
        <v>6.970600717818524E-09</v>
      </c>
      <c r="H24" s="84"/>
      <c r="I24" s="28"/>
      <c r="J24" s="28"/>
      <c r="K24" s="28"/>
      <c r="L24" s="28"/>
      <c r="M24" s="28"/>
    </row>
    <row r="25" spans="1:13" ht="12.75">
      <c r="A25" s="64">
        <v>7</v>
      </c>
      <c r="B25" s="31">
        <v>0.01</v>
      </c>
      <c r="C25" s="31">
        <v>-0.2</v>
      </c>
      <c r="D25" s="49">
        <f t="shared" si="1"/>
        <v>1.2774806563384786</v>
      </c>
      <c r="E25" s="49">
        <f>(LN(D25/basis!$B$30)+basis!$B$32*basis!$B$15)/basis!$B$31</f>
        <v>4.905931500317177</v>
      </c>
      <c r="F25" s="22">
        <f t="shared" si="0"/>
        <v>4.6492487368515543E-07</v>
      </c>
      <c r="G25" s="74">
        <f t="shared" si="2"/>
        <v>4.6492487368515546E-09</v>
      </c>
      <c r="H25" s="84"/>
      <c r="I25" s="28"/>
      <c r="J25" s="28"/>
      <c r="K25" s="28"/>
      <c r="L25" s="28"/>
      <c r="M25" s="28"/>
    </row>
    <row r="26" spans="1:13" ht="12.75">
      <c r="A26" s="64">
        <v>8</v>
      </c>
      <c r="B26" s="31">
        <v>0.02</v>
      </c>
      <c r="C26" s="31">
        <v>-0.05</v>
      </c>
      <c r="D26" s="49">
        <f t="shared" si="1"/>
        <v>1.4274806563384785</v>
      </c>
      <c r="E26" s="49">
        <f>(LN(D26/basis!$B$30)+basis!$B$32*basis!$B$15)/basis!$B$31</f>
        <v>5.137225688980578</v>
      </c>
      <c r="F26" s="22">
        <f t="shared" si="0"/>
        <v>1.3941201435637048E-07</v>
      </c>
      <c r="G26" s="74">
        <f t="shared" si="2"/>
        <v>2.7882402871274095E-09</v>
      </c>
      <c r="H26" s="84"/>
      <c r="I26" s="28"/>
      <c r="J26" s="28"/>
      <c r="K26" s="28"/>
      <c r="L26" s="28"/>
      <c r="M26" s="28"/>
    </row>
    <row r="27" spans="1:13" ht="12.75">
      <c r="A27" s="64">
        <v>9</v>
      </c>
      <c r="B27" s="31">
        <v>0.05</v>
      </c>
      <c r="C27" s="31">
        <v>-0.2</v>
      </c>
      <c r="D27" s="49">
        <f t="shared" si="1"/>
        <v>1.2774806563384786</v>
      </c>
      <c r="E27" s="49">
        <f>(LN(D27/basis!$B$30)+basis!$B$32*basis!$B$15)/basis!$B$31</f>
        <v>4.905931500317177</v>
      </c>
      <c r="F27" s="22">
        <f t="shared" si="0"/>
        <v>4.6492487368515543E-07</v>
      </c>
      <c r="G27" s="74">
        <f t="shared" si="2"/>
        <v>2.3246243684257772E-08</v>
      </c>
      <c r="H27" s="84"/>
      <c r="I27" s="28"/>
      <c r="J27" s="28"/>
      <c r="K27" s="28"/>
      <c r="L27" s="28"/>
      <c r="M27" s="28"/>
    </row>
    <row r="28" spans="1:13" ht="13.5" thickBot="1">
      <c r="A28" s="65">
        <v>10</v>
      </c>
      <c r="B28" s="32"/>
      <c r="C28" s="32"/>
      <c r="D28" s="51">
        <f t="shared" si="1"/>
        <v>1.4774806563384786</v>
      </c>
      <c r="E28" s="51">
        <f>(LN(D28/basis!$B$30)+basis!$B$32*basis!$B$15)/basis!$B$31</f>
        <v>5.208949160492262</v>
      </c>
      <c r="F28" s="53">
        <f t="shared" si="0"/>
        <v>9.495656825067804E-08</v>
      </c>
      <c r="G28" s="85">
        <f t="shared" si="2"/>
        <v>0</v>
      </c>
      <c r="H28" s="86"/>
      <c r="I28" s="28"/>
      <c r="J28" s="28"/>
      <c r="K28" s="28"/>
      <c r="L28" s="28"/>
      <c r="M28" s="28"/>
    </row>
    <row r="29" spans="1:13" ht="12.75">
      <c r="A29" s="6" t="s">
        <v>51</v>
      </c>
      <c r="B29" s="3"/>
      <c r="C29" s="3"/>
      <c r="D29" s="3"/>
      <c r="E29" s="3"/>
      <c r="F29" s="3"/>
      <c r="G29" s="74">
        <f>+SUM(G19:G28)</f>
        <v>2.282514030557898E-07</v>
      </c>
      <c r="H29" s="28"/>
      <c r="I29" s="28"/>
      <c r="J29" s="28"/>
      <c r="K29" s="28"/>
      <c r="L29" s="28"/>
      <c r="M29" s="28"/>
    </row>
    <row r="30" spans="1:13" ht="12.75">
      <c r="A30" s="6"/>
      <c r="B30" s="3"/>
      <c r="C30" s="3"/>
      <c r="D30" s="3"/>
      <c r="E30" s="3"/>
      <c r="F30" s="54" t="s">
        <v>0</v>
      </c>
      <c r="G30" s="55">
        <f>+G29/G6</f>
        <v>0.3328666294563616</v>
      </c>
      <c r="H30" s="56" t="s">
        <v>62</v>
      </c>
      <c r="I30" s="28"/>
      <c r="J30" s="28"/>
      <c r="K30" s="28"/>
      <c r="L30" s="28"/>
      <c r="M30" s="28"/>
    </row>
    <row r="31" spans="1:13" ht="13.5" thickBot="1">
      <c r="A31" s="8"/>
      <c r="B31" s="9"/>
      <c r="C31" s="9"/>
      <c r="D31" s="9"/>
      <c r="E31" s="9"/>
      <c r="F31" s="9"/>
      <c r="G31" s="10"/>
      <c r="H31" s="28" t="s">
        <v>70</v>
      </c>
      <c r="I31" s="28"/>
      <c r="J31" s="28"/>
      <c r="K31" s="28"/>
      <c r="L31" s="28"/>
      <c r="M31" s="28"/>
    </row>
    <row r="32" spans="1:13" ht="12.75">
      <c r="A32" s="28"/>
      <c r="B32" s="28"/>
      <c r="C32" s="28"/>
      <c r="D32" s="28"/>
      <c r="E32" s="28"/>
      <c r="F32" s="28"/>
      <c r="G32" s="28"/>
      <c r="H32" s="28" t="s">
        <v>61</v>
      </c>
      <c r="I32" s="28"/>
      <c r="J32" s="28"/>
      <c r="K32" s="28"/>
      <c r="L32" s="28"/>
      <c r="M32" s="28"/>
    </row>
    <row r="33" spans="1:13" ht="12.75">
      <c r="A33" s="48" t="s">
        <v>71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 ht="14.25" customHeight="1">
      <c r="A34" s="28" t="s">
        <v>64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1:13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3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 ht="12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1:13" ht="12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</row>
    <row r="39" spans="1:13" ht="12.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</sheetData>
  <sheetProtection selectLockedCells="1"/>
  <conditionalFormatting sqref="G30">
    <cfRule type="cellIs" priority="6" dxfId="3" operator="lessThanOrEqual" stopIfTrue="1">
      <formula>1</formula>
    </cfRule>
    <cfRule type="cellIs" priority="7" dxfId="2" operator="greaterThan" stopIfTrue="1">
      <formula>1</formula>
    </cfRule>
  </conditionalFormatting>
  <conditionalFormatting sqref="G8">
    <cfRule type="cellIs" priority="5" dxfId="1" operator="greaterThan" stopIfTrue="1">
      <formula>1.3</formula>
    </cfRule>
  </conditionalFormatting>
  <conditionalFormatting sqref="B20:B28">
    <cfRule type="expression" priority="10" dxfId="0" stopIfTrue="1">
      <formula>OR(SUM($B$20:$B$28)&gt;'schematiseringsfactor heave'!#REF!,B20&gt;'schematiseringsfactor heave'!#REF!)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GeoDelft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calle;de visser</dc:creator>
  <cp:keywords/>
  <dc:description/>
  <cp:lastModifiedBy>Marieke de Visser</cp:lastModifiedBy>
  <cp:lastPrinted>2017-02-28T15:48:01Z</cp:lastPrinted>
  <dcterms:created xsi:type="dcterms:W3CDTF">2008-09-19T09:54:02Z</dcterms:created>
  <dcterms:modified xsi:type="dcterms:W3CDTF">2017-05-31T09:15:01Z</dcterms:modified>
  <cp:category/>
  <cp:version/>
  <cp:contentType/>
  <cp:contentStatus/>
</cp:coreProperties>
</file>