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wvl\LO_IM\Algemeen\OpdrachtenKR\Industriële emissies\Stookinstallaties\5. Tools\CalComEmis\Ontwikkel versie\"/>
    </mc:Choice>
  </mc:AlternateContent>
  <workbookProtection workbookAlgorithmName="SHA-512" workbookHashValue="znY/zs5lLpxTW60lXBGJQQmWVbYS3XX2ikdleOJHfWKVMQTBNao1hT92I+uQ9fPeNsIYcWoe4IdToD1uB2aIUQ==" workbookSaltValue="veEcl3HuZyL5zQR/m7wJXQ==" workbookSpinCount="100000" lockStructure="1"/>
  <bookViews>
    <workbookView xWindow="0" yWindow="0" windowWidth="23040" windowHeight="8430"/>
  </bookViews>
  <sheets>
    <sheet name="Combustion Emissions" sheetId="1" r:id="rId1"/>
    <sheet name="Fuel1" sheetId="2" r:id="rId2"/>
    <sheet name="Fuel2" sheetId="3" r:id="rId3"/>
    <sheet name="Examples" sheetId="4" state="hidden" r:id="rId4"/>
  </sheets>
  <definedNames>
    <definedName name="_xlnm.Print_Area" localSheetId="0">'Combustion Emissions'!$A$1:$V$112</definedName>
    <definedName name="_xlnm.Print_Area" localSheetId="1">Fuel1!$6:$98</definedName>
    <definedName name="_xlnm.Print_Area" localSheetId="2">Fuel2!$6:$98</definedName>
    <definedName name="_xlnm.Print_Titles" localSheetId="0">'Combustion Emissions'!$2:$4</definedName>
    <definedName name="_xlnm.Print_Titles" localSheetId="1">Fuel1!$2:$5</definedName>
    <definedName name="_xlnm.Print_Titles" localSheetId="2">Fuel2!$2:$5</definedName>
    <definedName name="Modus">'Combustion Emissions'!$K$54</definedName>
  </definedNames>
  <calcPr calcId="162913"/>
</workbook>
</file>

<file path=xl/calcChain.xml><?xml version="1.0" encoding="utf-8"?>
<calcChain xmlns="http://schemas.openxmlformats.org/spreadsheetml/2006/main">
  <c r="B54" i="1" l="1"/>
  <c r="C54" i="1" l="1"/>
  <c r="D54" i="1" l="1"/>
  <c r="I54" i="1" s="1"/>
  <c r="L18" i="4"/>
  <c r="F54" i="1" l="1"/>
  <c r="E54" i="1"/>
  <c r="M110" i="1"/>
  <c r="B4" i="1" l="1"/>
  <c r="C4" i="1"/>
  <c r="K111" i="1"/>
  <c r="K109" i="1" l="1"/>
  <c r="K18" i="4" l="1"/>
  <c r="J18" i="4"/>
  <c r="K61" i="3" l="1"/>
  <c r="F13" i="4"/>
  <c r="Y15" i="4"/>
  <c r="X15" i="4"/>
  <c r="W15" i="4"/>
  <c r="V15" i="4"/>
  <c r="U15" i="4"/>
  <c r="T15" i="4"/>
  <c r="S15" i="4"/>
  <c r="R15" i="4"/>
  <c r="Q15" i="4"/>
  <c r="P15" i="4"/>
  <c r="O15" i="4"/>
  <c r="N15" i="4"/>
  <c r="M15" i="4"/>
  <c r="L15" i="4"/>
  <c r="K15" i="4"/>
  <c r="J15" i="4"/>
  <c r="I15" i="4"/>
  <c r="H15" i="4"/>
  <c r="G15" i="4"/>
  <c r="F15" i="4"/>
  <c r="Y14" i="4"/>
  <c r="W14" i="4"/>
  <c r="V14" i="4"/>
  <c r="U14" i="4"/>
  <c r="T14" i="4"/>
  <c r="S14" i="4"/>
  <c r="R14" i="4"/>
  <c r="Q14" i="4"/>
  <c r="P14" i="4"/>
  <c r="O14" i="4"/>
  <c r="N14" i="4"/>
  <c r="M14" i="4"/>
  <c r="L14" i="4"/>
  <c r="K14" i="4"/>
  <c r="J14" i="4"/>
  <c r="G13" i="4"/>
  <c r="H18" i="4"/>
  <c r="H14" i="4" s="1"/>
  <c r="G18" i="4"/>
  <c r="G14" i="4" s="1"/>
  <c r="F18" i="4"/>
  <c r="F14" i="4" s="1"/>
  <c r="F17" i="4"/>
  <c r="F16" i="4"/>
  <c r="I18" i="4"/>
  <c r="I14" i="4" s="1"/>
  <c r="G17" i="4" l="1"/>
  <c r="H17" i="4" s="1"/>
  <c r="I17" i="4" s="1"/>
  <c r="J17" i="4" s="1"/>
  <c r="K17" i="4" s="1"/>
  <c r="L17" i="4" s="1"/>
  <c r="M17" i="4" s="1"/>
  <c r="N17" i="4" s="1"/>
  <c r="O17" i="4" s="1"/>
  <c r="P17" i="4" s="1"/>
  <c r="Q17" i="4" s="1"/>
  <c r="R17" i="4" s="1"/>
  <c r="S17" i="4" s="1"/>
  <c r="T17" i="4" s="1"/>
  <c r="U17" i="4" s="1"/>
  <c r="V17" i="4" s="1"/>
  <c r="W17" i="4" s="1"/>
  <c r="X17" i="4" s="1"/>
  <c r="Y17" i="4" s="1"/>
  <c r="G2" i="4" s="1"/>
  <c r="G16" i="4"/>
  <c r="H16" i="4" s="1"/>
  <c r="I16" i="4" s="1"/>
  <c r="J16" i="4" s="1"/>
  <c r="K16" i="4" s="1"/>
  <c r="L16" i="4" s="1"/>
  <c r="M16" i="4" s="1"/>
  <c r="N16" i="4" s="1"/>
  <c r="O16" i="4" s="1"/>
  <c r="P16" i="4" s="1"/>
  <c r="Q16" i="4" s="1"/>
  <c r="R16" i="4" s="1"/>
  <c r="S16" i="4" s="1"/>
  <c r="T16" i="4" s="1"/>
  <c r="U16" i="4" s="1"/>
  <c r="V16" i="4" s="1"/>
  <c r="W16" i="4" s="1"/>
  <c r="X16" i="4" s="1"/>
  <c r="Y16" i="4" s="1"/>
  <c r="F2" i="4" s="1"/>
  <c r="K21" i="1"/>
  <c r="M21" i="1"/>
  <c r="D18" i="4" l="1"/>
  <c r="F5" i="2"/>
  <c r="G5" i="2"/>
  <c r="E18" i="4"/>
  <c r="E35" i="4" s="1"/>
  <c r="K38" i="3" s="1"/>
  <c r="G5" i="3"/>
  <c r="F5" i="3"/>
  <c r="F6" i="4"/>
  <c r="G3" i="4"/>
  <c r="G6" i="4"/>
  <c r="G4" i="4"/>
  <c r="G5" i="4"/>
  <c r="G11" i="4"/>
  <c r="G12" i="4"/>
  <c r="G9" i="4"/>
  <c r="G10" i="4"/>
  <c r="G8" i="4"/>
  <c r="F4" i="4"/>
  <c r="F3" i="4"/>
  <c r="F5" i="4"/>
  <c r="F12" i="4"/>
  <c r="F7" i="4"/>
  <c r="F8" i="4"/>
  <c r="F10" i="4"/>
  <c r="F11" i="4"/>
  <c r="F9" i="4"/>
  <c r="G7" i="4"/>
  <c r="B50" i="1"/>
  <c r="C50" i="1"/>
  <c r="P77" i="1"/>
  <c r="O77" i="1"/>
  <c r="O67" i="1"/>
  <c r="P67" i="1"/>
  <c r="E28" i="4" l="1"/>
  <c r="K31" i="3" s="1"/>
  <c r="E38" i="4"/>
  <c r="K41" i="3" s="1"/>
  <c r="E54" i="4"/>
  <c r="K57" i="3" s="1"/>
  <c r="E50" i="4"/>
  <c r="K53" i="3" s="1"/>
  <c r="E57" i="4"/>
  <c r="K60" i="3" s="1"/>
  <c r="E36" i="4"/>
  <c r="K39" i="3" s="1"/>
  <c r="E22" i="4"/>
  <c r="K25" i="3" s="1"/>
  <c r="E29" i="4"/>
  <c r="K32" i="3" s="1"/>
  <c r="E26" i="4"/>
  <c r="K29" i="3" s="1"/>
  <c r="E23" i="4"/>
  <c r="K26" i="3" s="1"/>
  <c r="E33" i="4"/>
  <c r="K36" i="3" s="1"/>
  <c r="E45" i="4"/>
  <c r="K48" i="3" s="1"/>
  <c r="E49" i="4"/>
  <c r="K52" i="3" s="1"/>
  <c r="E52" i="4"/>
  <c r="K55" i="3" s="1"/>
  <c r="E37" i="4"/>
  <c r="K40" i="3" s="1"/>
  <c r="E40" i="4"/>
  <c r="K43" i="3" s="1"/>
  <c r="E44" i="4"/>
  <c r="K47" i="3" s="1"/>
  <c r="E34" i="4"/>
  <c r="K37" i="3" s="1"/>
  <c r="E53" i="4"/>
  <c r="K56" i="3" s="1"/>
  <c r="E56" i="4"/>
  <c r="K59" i="3" s="1"/>
  <c r="E51" i="4"/>
  <c r="K54" i="3" s="1"/>
  <c r="E25" i="4"/>
  <c r="K28" i="3" s="1"/>
  <c r="E32" i="4"/>
  <c r="K35" i="3" s="1"/>
  <c r="E31" i="4"/>
  <c r="K34" i="3" s="1"/>
  <c r="J6" i="3"/>
  <c r="J23" i="3" s="1"/>
  <c r="E41" i="4"/>
  <c r="K44" i="3" s="1"/>
  <c r="E48" i="4"/>
  <c r="K51" i="3" s="1"/>
  <c r="E42" i="4"/>
  <c r="K45" i="3" s="1"/>
  <c r="E27" i="4"/>
  <c r="K30" i="3" s="1"/>
  <c r="E30" i="4"/>
  <c r="K33" i="3" s="1"/>
  <c r="E39" i="4"/>
  <c r="K42" i="3" s="1"/>
  <c r="E47" i="4"/>
  <c r="K50" i="3" s="1"/>
  <c r="E21" i="4"/>
  <c r="K8" i="3" s="1"/>
  <c r="E43" i="4"/>
  <c r="K46" i="3" s="1"/>
  <c r="E46" i="4"/>
  <c r="K49" i="3" s="1"/>
  <c r="E55" i="4"/>
  <c r="K58" i="3" s="1"/>
  <c r="E24" i="4"/>
  <c r="K27" i="3" s="1"/>
  <c r="J6" i="2"/>
  <c r="J23" i="2" s="1"/>
  <c r="D53" i="4"/>
  <c r="K56" i="2" s="1"/>
  <c r="D21" i="4"/>
  <c r="K8" i="2" s="1"/>
  <c r="D28" i="4"/>
  <c r="K31" i="2" s="1"/>
  <c r="D23" i="4"/>
  <c r="K26" i="2" s="1"/>
  <c r="D49" i="4"/>
  <c r="K52" i="2" s="1"/>
  <c r="D24" i="4"/>
  <c r="K27" i="2" s="1"/>
  <c r="D54" i="4"/>
  <c r="K57" i="2" s="1"/>
  <c r="D56" i="4"/>
  <c r="K59" i="2" s="1"/>
  <c r="D45" i="4"/>
  <c r="K48" i="2" s="1"/>
  <c r="D52" i="4"/>
  <c r="K55" i="2" s="1"/>
  <c r="D51" i="4"/>
  <c r="K54" i="2" s="1"/>
  <c r="D50" i="4"/>
  <c r="K53" i="2" s="1"/>
  <c r="D55" i="4"/>
  <c r="K58" i="2" s="1"/>
  <c r="D41" i="4"/>
  <c r="K44" i="2" s="1"/>
  <c r="D48" i="4"/>
  <c r="K51" i="2" s="1"/>
  <c r="D47" i="4"/>
  <c r="K50" i="2" s="1"/>
  <c r="D42" i="4"/>
  <c r="K45" i="2" s="1"/>
  <c r="D27" i="4"/>
  <c r="K30" i="2" s="1"/>
  <c r="D44" i="4"/>
  <c r="K47" i="2" s="1"/>
  <c r="D43" i="4"/>
  <c r="K46" i="2" s="1"/>
  <c r="D38" i="4"/>
  <c r="K41" i="2" s="1"/>
  <c r="D46" i="4"/>
  <c r="K49" i="2" s="1"/>
  <c r="D33" i="4"/>
  <c r="K36" i="2" s="1"/>
  <c r="D40" i="4"/>
  <c r="K43" i="2" s="1"/>
  <c r="D39" i="4"/>
  <c r="K42" i="2" s="1"/>
  <c r="D34" i="4"/>
  <c r="K37" i="2" s="1"/>
  <c r="D30" i="4"/>
  <c r="K33" i="2" s="1"/>
  <c r="D29" i="4"/>
  <c r="K32" i="2" s="1"/>
  <c r="D36" i="4"/>
  <c r="K39" i="2" s="1"/>
  <c r="D35" i="4"/>
  <c r="K38" i="2" s="1"/>
  <c r="D26" i="4"/>
  <c r="K29" i="2" s="1"/>
  <c r="D57" i="4"/>
  <c r="K60" i="2" s="1"/>
  <c r="D25" i="4"/>
  <c r="K28" i="2" s="1"/>
  <c r="D31" i="4"/>
  <c r="K34" i="2" s="1"/>
  <c r="D22" i="4"/>
  <c r="K25" i="2" s="1"/>
  <c r="D37" i="4"/>
  <c r="K40" i="2" s="1"/>
  <c r="D32" i="4"/>
  <c r="K35" i="2" s="1"/>
  <c r="L5" i="2"/>
  <c r="L5" i="3"/>
  <c r="S64" i="1"/>
  <c r="S67" i="1" s="1"/>
  <c r="G17" i="1"/>
  <c r="F17" i="1"/>
  <c r="I105" i="1"/>
  <c r="H105" i="1" s="1"/>
  <c r="K108" i="1"/>
  <c r="E19" i="1" l="1"/>
  <c r="D19" i="1"/>
  <c r="K56" i="1"/>
  <c r="R71" i="1" l="1"/>
  <c r="R70" i="1"/>
  <c r="L4" i="2" l="1"/>
  <c r="AJ10" i="2" l="1"/>
  <c r="AJ9" i="2"/>
  <c r="AJ8" i="2"/>
  <c r="I43" i="1" l="1"/>
  <c r="Q24" i="1"/>
  <c r="Q10" i="1" l="1"/>
  <c r="H5" i="1" l="1"/>
  <c r="H3" i="1"/>
  <c r="Q21" i="1" l="1"/>
  <c r="Q11" i="1"/>
  <c r="M33" i="1"/>
  <c r="Q17" i="1"/>
  <c r="R33" i="1" l="1"/>
  <c r="Q22" i="1"/>
  <c r="Q30" i="1"/>
  <c r="Q29" i="1"/>
  <c r="Q28" i="1"/>
  <c r="Q27" i="1"/>
  <c r="Q26" i="1"/>
  <c r="Q25" i="1"/>
  <c r="Q15" i="1"/>
  <c r="Q14" i="1"/>
  <c r="Q13" i="1"/>
  <c r="Q9" i="1"/>
  <c r="Q8" i="1"/>
  <c r="H9" i="1"/>
  <c r="J9" i="1"/>
  <c r="H8" i="1"/>
  <c r="H15" i="1"/>
  <c r="H14" i="1"/>
  <c r="H13" i="1"/>
  <c r="M34" i="1"/>
  <c r="R34" i="1" s="1"/>
  <c r="M25" i="1" l="1"/>
  <c r="R25" i="1" s="1"/>
  <c r="H22" i="1" l="1"/>
  <c r="H28" i="1"/>
  <c r="J105" i="1" l="1"/>
  <c r="R81" i="1"/>
  <c r="R80" i="1"/>
  <c r="J14" i="1" l="1"/>
  <c r="H67" i="1"/>
  <c r="H65" i="1"/>
  <c r="H64" i="1"/>
  <c r="AJ7" i="3"/>
  <c r="AJ7" i="2"/>
  <c r="K2" i="1" l="1"/>
  <c r="H2" i="1" l="1"/>
  <c r="Z19" i="3"/>
  <c r="Z20" i="3" s="1"/>
  <c r="Z21" i="3" s="1"/>
  <c r="Z22" i="3" s="1"/>
  <c r="Z14" i="3"/>
  <c r="Z15" i="3" s="1"/>
  <c r="Z16" i="3" s="1"/>
  <c r="Z17" i="3" s="1"/>
  <c r="Z11" i="3"/>
  <c r="Z12" i="3" s="1"/>
  <c r="AD19" i="3"/>
  <c r="AD20" i="3" s="1"/>
  <c r="AD21" i="3" s="1"/>
  <c r="AD22" i="3" s="1"/>
  <c r="AD13" i="3"/>
  <c r="AD14" i="3" s="1"/>
  <c r="AD15" i="3" s="1"/>
  <c r="AD16" i="3" s="1"/>
  <c r="AD17" i="3" s="1"/>
  <c r="V19" i="3"/>
  <c r="V20" i="3" s="1"/>
  <c r="V21" i="3" s="1"/>
  <c r="V22" i="3" s="1"/>
  <c r="R19" i="3"/>
  <c r="R20" i="3" s="1"/>
  <c r="R21" i="3" s="1"/>
  <c r="R22" i="3" s="1"/>
  <c r="R13" i="3"/>
  <c r="R14" i="3" s="1"/>
  <c r="R15" i="3" s="1"/>
  <c r="R16" i="3" s="1"/>
  <c r="R17" i="3" s="1"/>
  <c r="N19" i="3"/>
  <c r="N20" i="3" s="1"/>
  <c r="N21" i="3" s="1"/>
  <c r="N22" i="3" s="1"/>
  <c r="N14" i="3"/>
  <c r="N15" i="3" s="1"/>
  <c r="N16" i="3" s="1"/>
  <c r="N17" i="3" s="1"/>
  <c r="N11" i="3"/>
  <c r="N12" i="3" s="1"/>
  <c r="Z18" i="2"/>
  <c r="Z19" i="2" s="1"/>
  <c r="Z20" i="2" s="1"/>
  <c r="Z21" i="2" s="1"/>
  <c r="Z22" i="2" s="1"/>
  <c r="Z13" i="2"/>
  <c r="AD13" i="2" s="1"/>
  <c r="AD14" i="2" s="1"/>
  <c r="AD15" i="2" s="1"/>
  <c r="AD16" i="2" s="1"/>
  <c r="AD17" i="2" s="1"/>
  <c r="Z10" i="2"/>
  <c r="Z11" i="2" s="1"/>
  <c r="Z12" i="2" s="1"/>
  <c r="V18" i="2"/>
  <c r="AD18" i="2" s="1"/>
  <c r="AD19" i="2" s="1"/>
  <c r="AD20" i="2" s="1"/>
  <c r="AD21" i="2" s="1"/>
  <c r="AD22" i="2" s="1"/>
  <c r="R13" i="2"/>
  <c r="R14" i="2" s="1"/>
  <c r="R15" i="2" s="1"/>
  <c r="R16" i="2" s="1"/>
  <c r="R17" i="2" s="1"/>
  <c r="N19" i="2"/>
  <c r="N20" i="2" s="1"/>
  <c r="N14" i="2"/>
  <c r="N15" i="2" s="1"/>
  <c r="N16" i="2" s="1"/>
  <c r="N17" i="2" s="1"/>
  <c r="N11" i="2"/>
  <c r="N12" i="2" s="1"/>
  <c r="U65" i="1"/>
  <c r="U66" i="1" s="1"/>
  <c r="K6" i="1"/>
  <c r="G4" i="1"/>
  <c r="F4" i="1"/>
  <c r="K4" i="1" s="1"/>
  <c r="K9" i="1"/>
  <c r="K8" i="1"/>
  <c r="N25" i="1"/>
  <c r="M22" i="1"/>
  <c r="K57" i="1"/>
  <c r="F22" i="1" s="1"/>
  <c r="K10" i="1"/>
  <c r="K55" i="1"/>
  <c r="R21" i="1"/>
  <c r="M15" i="1"/>
  <c r="M13" i="1"/>
  <c r="M9" i="1"/>
  <c r="M8" i="1"/>
  <c r="N19" i="1"/>
  <c r="AE30" i="2"/>
  <c r="AE30" i="3" s="1"/>
  <c r="AE34" i="2"/>
  <c r="AE34" i="3" s="1"/>
  <c r="AE31" i="2"/>
  <c r="AE31" i="3" s="1"/>
  <c r="J7" i="1"/>
  <c r="AE7" i="2"/>
  <c r="H69" i="1" s="1"/>
  <c r="AJ10" i="3"/>
  <c r="AJ9" i="3"/>
  <c r="AJ8" i="3"/>
  <c r="B2" i="3"/>
  <c r="C2" i="3"/>
  <c r="D2" i="3"/>
  <c r="E2" i="3"/>
  <c r="F2" i="3"/>
  <c r="G2" i="3"/>
  <c r="D3" i="3"/>
  <c r="E3" i="3"/>
  <c r="F3" i="3"/>
  <c r="L2" i="3" s="1"/>
  <c r="G3" i="3"/>
  <c r="D4" i="3"/>
  <c r="E4" i="3"/>
  <c r="F4" i="3"/>
  <c r="L4" i="3" s="1"/>
  <c r="G4" i="3"/>
  <c r="B5" i="3"/>
  <c r="C5" i="3"/>
  <c r="D5" i="3"/>
  <c r="E5" i="3"/>
  <c r="B6" i="3"/>
  <c r="H6" i="3" s="1"/>
  <c r="C6" i="3"/>
  <c r="D6" i="3"/>
  <c r="E6" i="3"/>
  <c r="F6" i="3"/>
  <c r="G6" i="3"/>
  <c r="B7" i="3"/>
  <c r="H7" i="3" s="1"/>
  <c r="C7" i="3"/>
  <c r="E7" i="3"/>
  <c r="F7" i="3"/>
  <c r="G7" i="3"/>
  <c r="AA7" i="3"/>
  <c r="AE7" i="3"/>
  <c r="AH7" i="3"/>
  <c r="W31" i="3" s="1"/>
  <c r="F8" i="3"/>
  <c r="L8" i="3" s="1"/>
  <c r="G8" i="3"/>
  <c r="AL8" i="3"/>
  <c r="B9" i="3"/>
  <c r="H9" i="3" s="1"/>
  <c r="C9" i="3"/>
  <c r="F9" i="3"/>
  <c r="G9" i="3"/>
  <c r="AL9" i="3"/>
  <c r="F10" i="3"/>
  <c r="L10" i="3" s="1"/>
  <c r="G10" i="3"/>
  <c r="F11" i="3"/>
  <c r="L11" i="3" s="1"/>
  <c r="G11" i="3"/>
  <c r="F12" i="3"/>
  <c r="L12" i="3" s="1"/>
  <c r="G12" i="3"/>
  <c r="F13" i="3"/>
  <c r="L13" i="3" s="1"/>
  <c r="G13" i="3"/>
  <c r="M13" i="3"/>
  <c r="Q13" i="3"/>
  <c r="U13" i="3"/>
  <c r="Y13" i="3"/>
  <c r="AC13" i="3"/>
  <c r="F14" i="3"/>
  <c r="L14" i="3" s="1"/>
  <c r="G14" i="3"/>
  <c r="M14" i="3"/>
  <c r="Q14" i="3"/>
  <c r="U14" i="3"/>
  <c r="Y14" i="3"/>
  <c r="AC14" i="3"/>
  <c r="F15" i="3"/>
  <c r="L15" i="3" s="1"/>
  <c r="G15" i="3"/>
  <c r="M15" i="3"/>
  <c r="Q15" i="3"/>
  <c r="U15" i="3"/>
  <c r="Y15" i="3"/>
  <c r="AC15" i="3"/>
  <c r="F16" i="3"/>
  <c r="L16" i="3" s="1"/>
  <c r="G16" i="3"/>
  <c r="M16" i="3"/>
  <c r="Q16" i="3"/>
  <c r="U16" i="3"/>
  <c r="Y16" i="3"/>
  <c r="AC16" i="3"/>
  <c r="F17" i="3"/>
  <c r="L17" i="3" s="1"/>
  <c r="G17" i="3"/>
  <c r="M17" i="3"/>
  <c r="Q17" i="3"/>
  <c r="U17" i="3"/>
  <c r="Y17" i="3"/>
  <c r="AC17" i="3"/>
  <c r="F18" i="3"/>
  <c r="L18" i="3" s="1"/>
  <c r="G18" i="3"/>
  <c r="F19" i="3"/>
  <c r="L19" i="3" s="1"/>
  <c r="G19" i="3"/>
  <c r="F20" i="3"/>
  <c r="L20" i="3" s="1"/>
  <c r="G20" i="3"/>
  <c r="F21" i="3"/>
  <c r="L21" i="3" s="1"/>
  <c r="G21" i="3"/>
  <c r="F22" i="3"/>
  <c r="L22" i="3" s="1"/>
  <c r="G22" i="3"/>
  <c r="B23" i="3"/>
  <c r="H23" i="3" s="1"/>
  <c r="M23" i="3" s="1"/>
  <c r="Q23" i="3" s="1"/>
  <c r="U23" i="3" s="1"/>
  <c r="Y23" i="3" s="1"/>
  <c r="AC23" i="3" s="1"/>
  <c r="C23" i="3"/>
  <c r="D23" i="3"/>
  <c r="E23" i="3"/>
  <c r="F23" i="3"/>
  <c r="G23" i="3"/>
  <c r="B24" i="3"/>
  <c r="C24" i="3"/>
  <c r="D24" i="3"/>
  <c r="E24" i="3"/>
  <c r="F24" i="3"/>
  <c r="L24" i="3" s="1"/>
  <c r="G24" i="3"/>
  <c r="B25" i="3"/>
  <c r="C25" i="3"/>
  <c r="F25" i="3"/>
  <c r="G25" i="3"/>
  <c r="M25" i="3"/>
  <c r="AG25" i="3" s="1"/>
  <c r="AH25" i="3"/>
  <c r="AJ25" i="3"/>
  <c r="AL25" i="3"/>
  <c r="B26" i="3"/>
  <c r="C26" i="3"/>
  <c r="F26" i="3"/>
  <c r="G26" i="3"/>
  <c r="M26" i="3"/>
  <c r="AG26" i="3" s="1"/>
  <c r="AH26" i="3"/>
  <c r="AJ26" i="3"/>
  <c r="AL26" i="3"/>
  <c r="B27" i="3"/>
  <c r="C27" i="3"/>
  <c r="F27" i="3"/>
  <c r="G27" i="3"/>
  <c r="M27" i="3"/>
  <c r="AG27" i="3" s="1"/>
  <c r="AH27" i="3"/>
  <c r="AJ27" i="3"/>
  <c r="AL27" i="3"/>
  <c r="B28" i="3"/>
  <c r="C28" i="3"/>
  <c r="F28" i="3"/>
  <c r="L28" i="3" s="1"/>
  <c r="G28" i="3"/>
  <c r="M28" i="3"/>
  <c r="AG28" i="3" s="1"/>
  <c r="AH28" i="3"/>
  <c r="AJ28" i="3"/>
  <c r="AL28" i="3"/>
  <c r="B29" i="3"/>
  <c r="C29" i="3"/>
  <c r="F29" i="3"/>
  <c r="L29" i="3" s="1"/>
  <c r="G29" i="3"/>
  <c r="M29" i="3"/>
  <c r="AG29" i="3" s="1"/>
  <c r="AH29" i="3"/>
  <c r="AJ29" i="3"/>
  <c r="B30" i="3"/>
  <c r="C30" i="3"/>
  <c r="F30" i="3"/>
  <c r="L30" i="3" s="1"/>
  <c r="G30" i="3"/>
  <c r="M30" i="3"/>
  <c r="AG30" i="3" s="1"/>
  <c r="Q30" i="3"/>
  <c r="AI25" i="3" s="1"/>
  <c r="U30" i="3"/>
  <c r="AK25" i="3" s="1"/>
  <c r="AL30" i="3"/>
  <c r="B31" i="3"/>
  <c r="C31" i="3"/>
  <c r="F31" i="3"/>
  <c r="L31" i="3" s="1"/>
  <c r="G31" i="3"/>
  <c r="M31" i="3"/>
  <c r="AG31" i="3" s="1"/>
  <c r="Q31" i="3"/>
  <c r="AI26" i="3" s="1"/>
  <c r="U31" i="3"/>
  <c r="AK26" i="3" s="1"/>
  <c r="AL31" i="3"/>
  <c r="B32" i="3"/>
  <c r="C32" i="3"/>
  <c r="F32" i="3"/>
  <c r="L32" i="3" s="1"/>
  <c r="G32" i="3"/>
  <c r="M32" i="3"/>
  <c r="AG32" i="3" s="1"/>
  <c r="Q32" i="3"/>
  <c r="AI27" i="3" s="1"/>
  <c r="U32" i="3"/>
  <c r="AK27" i="3" s="1"/>
  <c r="AL32" i="3"/>
  <c r="AN32" i="3"/>
  <c r="B33" i="3"/>
  <c r="C33" i="3"/>
  <c r="F33" i="3"/>
  <c r="L33" i="3" s="1"/>
  <c r="G33" i="3"/>
  <c r="M33" i="3"/>
  <c r="AG33" i="3" s="1"/>
  <c r="Q33" i="3"/>
  <c r="AI28" i="3" s="1"/>
  <c r="U33" i="3"/>
  <c r="AK28" i="3" s="1"/>
  <c r="AL33" i="3"/>
  <c r="AN33" i="3"/>
  <c r="B34" i="3"/>
  <c r="C34" i="3"/>
  <c r="F34" i="3"/>
  <c r="L34" i="3" s="1"/>
  <c r="G34" i="3"/>
  <c r="M34" i="3"/>
  <c r="AG34" i="3" s="1"/>
  <c r="Q34" i="3"/>
  <c r="AI29" i="3" s="1"/>
  <c r="U34" i="3"/>
  <c r="AK29" i="3" s="1"/>
  <c r="AL34" i="3"/>
  <c r="AN34" i="3"/>
  <c r="B35" i="3"/>
  <c r="C35" i="3"/>
  <c r="F35" i="3"/>
  <c r="L35" i="3" s="1"/>
  <c r="G35" i="3"/>
  <c r="M35" i="3"/>
  <c r="AG35" i="3" s="1"/>
  <c r="U35" i="3"/>
  <c r="AK30" i="3" s="1"/>
  <c r="AL35" i="3"/>
  <c r="AN35" i="3"/>
  <c r="B36" i="3"/>
  <c r="C36" i="3"/>
  <c r="F36" i="3"/>
  <c r="L36" i="3" s="1"/>
  <c r="G36" i="3"/>
  <c r="M36" i="3"/>
  <c r="AG36" i="3" s="1"/>
  <c r="AL36" i="3"/>
  <c r="AN36" i="3"/>
  <c r="AO36" i="3"/>
  <c r="B37" i="3"/>
  <c r="C37" i="3"/>
  <c r="F37" i="3"/>
  <c r="L37" i="3" s="1"/>
  <c r="G37" i="3"/>
  <c r="M37" i="3"/>
  <c r="AG37" i="3" s="1"/>
  <c r="AL37" i="3"/>
  <c r="AN37" i="3"/>
  <c r="B38" i="3"/>
  <c r="C38" i="3"/>
  <c r="F38" i="3"/>
  <c r="L38" i="3" s="1"/>
  <c r="G38" i="3"/>
  <c r="M38" i="3"/>
  <c r="AG38" i="3" s="1"/>
  <c r="AL38" i="3"/>
  <c r="AN38" i="3"/>
  <c r="B39" i="3"/>
  <c r="C39" i="3"/>
  <c r="F39" i="3"/>
  <c r="L39" i="3" s="1"/>
  <c r="G39" i="3"/>
  <c r="M39" i="3"/>
  <c r="AG39" i="3" s="1"/>
  <c r="AL39" i="3"/>
  <c r="AN39" i="3"/>
  <c r="AO39" i="3"/>
  <c r="B40" i="3"/>
  <c r="C40" i="3"/>
  <c r="F40" i="3"/>
  <c r="L40" i="3" s="1"/>
  <c r="G40" i="3"/>
  <c r="M40" i="3"/>
  <c r="AG40" i="3" s="1"/>
  <c r="AL40" i="3"/>
  <c r="AN40" i="3"/>
  <c r="B41" i="3"/>
  <c r="C41" i="3"/>
  <c r="F41" i="3"/>
  <c r="L41" i="3" s="1"/>
  <c r="G41" i="3"/>
  <c r="AG41" i="3"/>
  <c r="AL41" i="3"/>
  <c r="AN41" i="3"/>
  <c r="B42" i="3"/>
  <c r="C42" i="3"/>
  <c r="F42" i="3"/>
  <c r="L42" i="3" s="1"/>
  <c r="G42" i="3"/>
  <c r="M42" i="3"/>
  <c r="AG42" i="3" s="1"/>
  <c r="AL42" i="3"/>
  <c r="AN42" i="3"/>
  <c r="AO42" i="3"/>
  <c r="B43" i="3"/>
  <c r="C43" i="3"/>
  <c r="F43" i="3"/>
  <c r="L43" i="3" s="1"/>
  <c r="G43" i="3"/>
  <c r="M43" i="3"/>
  <c r="AG43" i="3" s="1"/>
  <c r="AL43" i="3"/>
  <c r="AN43" i="3"/>
  <c r="B44" i="3"/>
  <c r="C44" i="3"/>
  <c r="F44" i="3"/>
  <c r="L44" i="3" s="1"/>
  <c r="G44" i="3"/>
  <c r="M44" i="3"/>
  <c r="AG44" i="3" s="1"/>
  <c r="AL44" i="3"/>
  <c r="AN44" i="3"/>
  <c r="B45" i="3"/>
  <c r="C45" i="3"/>
  <c r="F45" i="3"/>
  <c r="L45" i="3" s="1"/>
  <c r="G45" i="3"/>
  <c r="AG45" i="3"/>
  <c r="AL45" i="3"/>
  <c r="AN45" i="3"/>
  <c r="B46" i="3"/>
  <c r="C46" i="3"/>
  <c r="F46" i="3"/>
  <c r="L46" i="3" s="1"/>
  <c r="G46" i="3"/>
  <c r="M46" i="3"/>
  <c r="AG46" i="3" s="1"/>
  <c r="AL46" i="3"/>
  <c r="AN46" i="3"/>
  <c r="B47" i="3"/>
  <c r="C47" i="3"/>
  <c r="F47" i="3"/>
  <c r="L47" i="3" s="1"/>
  <c r="G47" i="3"/>
  <c r="M47" i="3"/>
  <c r="AG47" i="3" s="1"/>
  <c r="AL47" i="3"/>
  <c r="AN47" i="3"/>
  <c r="B48" i="3"/>
  <c r="C48" i="3"/>
  <c r="F48" i="3"/>
  <c r="L48" i="3" s="1"/>
  <c r="G48" i="3"/>
  <c r="M48" i="3"/>
  <c r="AG48" i="3" s="1"/>
  <c r="AL48" i="3"/>
  <c r="AN48" i="3"/>
  <c r="B49" i="3"/>
  <c r="C49" i="3"/>
  <c r="F49" i="3"/>
  <c r="L49" i="3" s="1"/>
  <c r="G49" i="3"/>
  <c r="M49" i="3"/>
  <c r="AG49" i="3" s="1"/>
  <c r="AL49" i="3"/>
  <c r="AN49" i="3"/>
  <c r="B50" i="3"/>
  <c r="C50" i="3"/>
  <c r="F50" i="3"/>
  <c r="L50" i="3" s="1"/>
  <c r="G50" i="3"/>
  <c r="M50" i="3"/>
  <c r="AG50" i="3" s="1"/>
  <c r="AL50" i="3"/>
  <c r="AN50" i="3"/>
  <c r="B51" i="3"/>
  <c r="C51" i="3"/>
  <c r="F51" i="3"/>
  <c r="L51" i="3" s="1"/>
  <c r="G51" i="3"/>
  <c r="AG51" i="3"/>
  <c r="AL51" i="3"/>
  <c r="AN51" i="3"/>
  <c r="B52" i="3"/>
  <c r="C52" i="3"/>
  <c r="F52" i="3"/>
  <c r="L52" i="3" s="1"/>
  <c r="G52" i="3"/>
  <c r="M52" i="3"/>
  <c r="AG52" i="3" s="1"/>
  <c r="AL52" i="3"/>
  <c r="AN52" i="3"/>
  <c r="B53" i="3"/>
  <c r="C53" i="3"/>
  <c r="F53" i="3"/>
  <c r="L53" i="3" s="1"/>
  <c r="G53" i="3"/>
  <c r="M53" i="3"/>
  <c r="AG53" i="3" s="1"/>
  <c r="AL53" i="3"/>
  <c r="AN53" i="3"/>
  <c r="B54" i="3"/>
  <c r="C54" i="3"/>
  <c r="F54" i="3"/>
  <c r="L54" i="3" s="1"/>
  <c r="G54" i="3"/>
  <c r="M54" i="3"/>
  <c r="AG54" i="3" s="1"/>
  <c r="AL54" i="3"/>
  <c r="AN54" i="3"/>
  <c r="B55" i="3"/>
  <c r="C55" i="3"/>
  <c r="F55" i="3"/>
  <c r="L55" i="3" s="1"/>
  <c r="G55" i="3"/>
  <c r="AG55" i="3"/>
  <c r="AL55" i="3"/>
  <c r="AN55" i="3"/>
  <c r="B56" i="3"/>
  <c r="C56" i="3"/>
  <c r="F56" i="3"/>
  <c r="L56" i="3" s="1"/>
  <c r="G56" i="3"/>
  <c r="M56" i="3"/>
  <c r="AG56" i="3" s="1"/>
  <c r="AL56" i="3"/>
  <c r="AN56" i="3"/>
  <c r="B57" i="3"/>
  <c r="C57" i="3"/>
  <c r="F57" i="3"/>
  <c r="L57" i="3" s="1"/>
  <c r="G57" i="3"/>
  <c r="M57" i="3"/>
  <c r="AG57" i="3" s="1"/>
  <c r="AL57" i="3"/>
  <c r="AN57" i="3"/>
  <c r="B58" i="3"/>
  <c r="C58" i="3"/>
  <c r="F58" i="3"/>
  <c r="L58" i="3" s="1"/>
  <c r="G58" i="3"/>
  <c r="M58" i="3"/>
  <c r="AG58" i="3" s="1"/>
  <c r="AL58" i="3"/>
  <c r="AN58" i="3"/>
  <c r="B59" i="3"/>
  <c r="C59" i="3"/>
  <c r="F59" i="3"/>
  <c r="L59" i="3" s="1"/>
  <c r="G59" i="3"/>
  <c r="M59" i="3"/>
  <c r="AG59" i="3" s="1"/>
  <c r="AL59" i="3"/>
  <c r="AN59" i="3"/>
  <c r="B60" i="3"/>
  <c r="C60" i="3"/>
  <c r="F60" i="3"/>
  <c r="L60" i="3" s="1"/>
  <c r="G60" i="3"/>
  <c r="AG60" i="3"/>
  <c r="AL60" i="3"/>
  <c r="AN60" i="3"/>
  <c r="F61" i="3"/>
  <c r="G61" i="3"/>
  <c r="L2" i="2"/>
  <c r="H6" i="2"/>
  <c r="D7" i="2"/>
  <c r="D7" i="3" s="1"/>
  <c r="H7" i="2"/>
  <c r="L7" i="2"/>
  <c r="AA7" i="2"/>
  <c r="H66" i="1" s="1"/>
  <c r="AH7" i="2"/>
  <c r="S25" i="2" s="1"/>
  <c r="L8" i="2"/>
  <c r="AL8" i="2"/>
  <c r="H9" i="2"/>
  <c r="AL9" i="2"/>
  <c r="L10" i="2"/>
  <c r="L11" i="2"/>
  <c r="L12" i="2"/>
  <c r="L13" i="2"/>
  <c r="M13" i="2"/>
  <c r="Q13" i="2"/>
  <c r="U13" i="2"/>
  <c r="Y13" i="2"/>
  <c r="AC13" i="2"/>
  <c r="L14" i="2"/>
  <c r="M14" i="2"/>
  <c r="Q14" i="2"/>
  <c r="U14" i="2"/>
  <c r="Y14" i="2"/>
  <c r="AC14" i="2"/>
  <c r="L15" i="2"/>
  <c r="M15" i="2"/>
  <c r="Q15" i="2"/>
  <c r="U15" i="2"/>
  <c r="Y15" i="2"/>
  <c r="AC15" i="2"/>
  <c r="L16" i="2"/>
  <c r="M16" i="2"/>
  <c r="Q16" i="2"/>
  <c r="U16" i="2"/>
  <c r="Y16" i="2"/>
  <c r="AC16" i="2"/>
  <c r="L17" i="2"/>
  <c r="M17" i="2"/>
  <c r="Q17" i="2"/>
  <c r="U17" i="2"/>
  <c r="Y17" i="2"/>
  <c r="AC17" i="2"/>
  <c r="L18" i="2"/>
  <c r="L19" i="2"/>
  <c r="R19" i="2"/>
  <c r="R20" i="2" s="1"/>
  <c r="R21" i="2" s="1"/>
  <c r="R22" i="2" s="1"/>
  <c r="L20" i="2"/>
  <c r="L21" i="2"/>
  <c r="L22" i="2"/>
  <c r="H23" i="2"/>
  <c r="M23" i="2" s="1"/>
  <c r="Q23" i="2" s="1"/>
  <c r="U23" i="2" s="1"/>
  <c r="Y23" i="2" s="1"/>
  <c r="AC23" i="2" s="1"/>
  <c r="L24" i="2"/>
  <c r="F25" i="2"/>
  <c r="G25" i="2"/>
  <c r="M25" i="2"/>
  <c r="AG25" i="2" s="1"/>
  <c r="AH25" i="2"/>
  <c r="AJ25" i="2"/>
  <c r="AL25" i="2"/>
  <c r="M26" i="2"/>
  <c r="AG26" i="2" s="1"/>
  <c r="AH26" i="2"/>
  <c r="AJ26" i="2"/>
  <c r="AL26" i="2"/>
  <c r="M27" i="2"/>
  <c r="AG27" i="2" s="1"/>
  <c r="AH27" i="2"/>
  <c r="AJ27" i="2"/>
  <c r="AL27" i="2"/>
  <c r="L28" i="2"/>
  <c r="M28" i="2"/>
  <c r="AG28" i="2" s="1"/>
  <c r="AH28" i="2"/>
  <c r="AJ28" i="2"/>
  <c r="AL28" i="2"/>
  <c r="L29" i="2"/>
  <c r="M29" i="2"/>
  <c r="AG29" i="2" s="1"/>
  <c r="AH29" i="2"/>
  <c r="AJ29" i="2"/>
  <c r="L30" i="2"/>
  <c r="M30" i="2"/>
  <c r="AG30" i="2" s="1"/>
  <c r="Q30" i="2"/>
  <c r="AI25" i="2" s="1"/>
  <c r="U30" i="2"/>
  <c r="AK25" i="2" s="1"/>
  <c r="AL30" i="2"/>
  <c r="L31" i="2"/>
  <c r="M31" i="2"/>
  <c r="AG31" i="2" s="1"/>
  <c r="Q31" i="2"/>
  <c r="AI26" i="2" s="1"/>
  <c r="U31" i="2"/>
  <c r="AK26" i="2" s="1"/>
  <c r="AL31" i="2"/>
  <c r="L32" i="2"/>
  <c r="M32" i="2"/>
  <c r="AG32" i="2" s="1"/>
  <c r="Q32" i="2"/>
  <c r="AI27" i="2" s="1"/>
  <c r="U32" i="2"/>
  <c r="AK27" i="2" s="1"/>
  <c r="AL32" i="2"/>
  <c r="AN32" i="2"/>
  <c r="L33" i="2"/>
  <c r="M33" i="2"/>
  <c r="AG33" i="2" s="1"/>
  <c r="Q33" i="2"/>
  <c r="AI28" i="2" s="1"/>
  <c r="U33" i="2"/>
  <c r="AK28" i="2" s="1"/>
  <c r="AL33" i="2"/>
  <c r="AN33" i="2"/>
  <c r="L34" i="2"/>
  <c r="M34" i="2"/>
  <c r="AG34" i="2" s="1"/>
  <c r="Q34" i="2"/>
  <c r="AI29" i="2" s="1"/>
  <c r="U34" i="2"/>
  <c r="AK29" i="2" s="1"/>
  <c r="AL34" i="2"/>
  <c r="AN34" i="2"/>
  <c r="L35" i="2"/>
  <c r="M35" i="2"/>
  <c r="AG35" i="2" s="1"/>
  <c r="U35" i="2"/>
  <c r="AK30" i="2" s="1"/>
  <c r="AL35" i="2"/>
  <c r="AN35" i="2"/>
  <c r="L36" i="2"/>
  <c r="M36" i="2"/>
  <c r="AG36" i="2" s="1"/>
  <c r="AL36" i="2"/>
  <c r="AN36" i="2"/>
  <c r="AO36" i="2"/>
  <c r="L37" i="2"/>
  <c r="M37" i="2"/>
  <c r="AG37" i="2" s="1"/>
  <c r="AL37" i="2"/>
  <c r="AN37" i="2"/>
  <c r="L38" i="2"/>
  <c r="M38" i="2"/>
  <c r="AG38" i="2" s="1"/>
  <c r="AL38" i="2"/>
  <c r="AN38" i="2"/>
  <c r="L39" i="2"/>
  <c r="M39" i="2"/>
  <c r="AG39" i="2" s="1"/>
  <c r="AL39" i="2"/>
  <c r="AN39" i="2"/>
  <c r="AO39" i="2"/>
  <c r="L40" i="2"/>
  <c r="M40" i="2"/>
  <c r="AG40" i="2" s="1"/>
  <c r="AL40" i="2"/>
  <c r="AN40" i="2"/>
  <c r="L41" i="2"/>
  <c r="AG41" i="2"/>
  <c r="AL41" i="2"/>
  <c r="AN41" i="2"/>
  <c r="L42" i="2"/>
  <c r="M42" i="2"/>
  <c r="AG42" i="2" s="1"/>
  <c r="AL42" i="2"/>
  <c r="AN42" i="2"/>
  <c r="AO42" i="2"/>
  <c r="L43" i="2"/>
  <c r="M43" i="2"/>
  <c r="AG43" i="2" s="1"/>
  <c r="AL43" i="2"/>
  <c r="AN43" i="2"/>
  <c r="L44" i="2"/>
  <c r="M44" i="2"/>
  <c r="AG44" i="2" s="1"/>
  <c r="AL44" i="2"/>
  <c r="AN44" i="2"/>
  <c r="L45" i="2"/>
  <c r="AG45" i="2"/>
  <c r="AL45" i="2"/>
  <c r="AN45" i="2"/>
  <c r="L46" i="2"/>
  <c r="M46" i="2"/>
  <c r="AG46" i="2" s="1"/>
  <c r="AL46" i="2"/>
  <c r="AN46" i="2"/>
  <c r="L47" i="2"/>
  <c r="M47" i="2"/>
  <c r="AG47" i="2" s="1"/>
  <c r="AL47" i="2"/>
  <c r="AN47" i="2"/>
  <c r="L48" i="2"/>
  <c r="M48" i="2"/>
  <c r="AG48" i="2" s="1"/>
  <c r="AL48" i="2"/>
  <c r="AN48" i="2"/>
  <c r="L49" i="2"/>
  <c r="M49" i="2"/>
  <c r="AG49" i="2" s="1"/>
  <c r="AL49" i="2"/>
  <c r="AN49" i="2"/>
  <c r="L50" i="2"/>
  <c r="M50" i="2"/>
  <c r="AG50" i="2" s="1"/>
  <c r="AL50" i="2"/>
  <c r="AN50" i="2"/>
  <c r="L51" i="2"/>
  <c r="AG51" i="2"/>
  <c r="AL51" i="2"/>
  <c r="AN51" i="2"/>
  <c r="L52" i="2"/>
  <c r="M52" i="2"/>
  <c r="AG52" i="2" s="1"/>
  <c r="AL52" i="2"/>
  <c r="AN52" i="2"/>
  <c r="L53" i="2"/>
  <c r="M53" i="2"/>
  <c r="AG53" i="2" s="1"/>
  <c r="AL53" i="2"/>
  <c r="AN53" i="2"/>
  <c r="L54" i="2"/>
  <c r="M54" i="2"/>
  <c r="AG54" i="2" s="1"/>
  <c r="AL54" i="2"/>
  <c r="AN54" i="2"/>
  <c r="L55" i="2"/>
  <c r="AG55" i="2"/>
  <c r="AL55" i="2"/>
  <c r="AN55" i="2"/>
  <c r="L56" i="2"/>
  <c r="M56" i="2"/>
  <c r="AG56" i="2" s="1"/>
  <c r="AL56" i="2"/>
  <c r="AN56" i="2"/>
  <c r="L57" i="2"/>
  <c r="M57" i="2"/>
  <c r="AG57" i="2" s="1"/>
  <c r="AL57" i="2"/>
  <c r="AN57" i="2"/>
  <c r="L58" i="2"/>
  <c r="M58" i="2"/>
  <c r="AG58" i="2" s="1"/>
  <c r="AL58" i="2"/>
  <c r="AN58" i="2"/>
  <c r="L59" i="2"/>
  <c r="M59" i="2"/>
  <c r="AG59" i="2" s="1"/>
  <c r="AL59" i="2"/>
  <c r="AN59" i="2"/>
  <c r="L60" i="2"/>
  <c r="AG60" i="2"/>
  <c r="AL60" i="2"/>
  <c r="AN60" i="2"/>
  <c r="B4" i="2"/>
  <c r="C4" i="2"/>
  <c r="C4" i="3" s="1"/>
  <c r="H6" i="1"/>
  <c r="H7" i="1"/>
  <c r="J8" i="1"/>
  <c r="H10" i="1"/>
  <c r="D11" i="1"/>
  <c r="J11" i="1" s="1"/>
  <c r="E11" i="1"/>
  <c r="H11" i="1"/>
  <c r="H12" i="1"/>
  <c r="N14" i="1"/>
  <c r="H16" i="1"/>
  <c r="H17" i="1"/>
  <c r="H18" i="1"/>
  <c r="O19" i="1"/>
  <c r="H20" i="1"/>
  <c r="H21" i="1"/>
  <c r="J21" i="1"/>
  <c r="J22" i="1"/>
  <c r="H24" i="1"/>
  <c r="H27" i="1"/>
  <c r="H31" i="1"/>
  <c r="H32" i="1"/>
  <c r="H34" i="1"/>
  <c r="H35" i="1"/>
  <c r="H38" i="1"/>
  <c r="H39" i="1"/>
  <c r="H40" i="1"/>
  <c r="H41" i="1"/>
  <c r="H42" i="1"/>
  <c r="H43" i="1"/>
  <c r="H46" i="1"/>
  <c r="H47" i="1"/>
  <c r="H48" i="1"/>
  <c r="J55" i="1"/>
  <c r="I56" i="1"/>
  <c r="J56" i="1"/>
  <c r="N64" i="1"/>
  <c r="O64" i="1"/>
  <c r="P64" i="1"/>
  <c r="M62" i="1" s="1"/>
  <c r="N65" i="1"/>
  <c r="O65" i="1"/>
  <c r="P65" i="1"/>
  <c r="N68" i="1"/>
  <c r="O68" i="1"/>
  <c r="P68" i="1"/>
  <c r="N74" i="1"/>
  <c r="O74" i="1"/>
  <c r="P74" i="1"/>
  <c r="S74" i="1"/>
  <c r="S80" i="1" s="1"/>
  <c r="N75" i="1"/>
  <c r="O75" i="1"/>
  <c r="P75" i="1"/>
  <c r="N78" i="1"/>
  <c r="O78" i="1"/>
  <c r="P78" i="1"/>
  <c r="H84" i="1"/>
  <c r="N86" i="1"/>
  <c r="O86" i="1"/>
  <c r="P86" i="1"/>
  <c r="N87" i="1"/>
  <c r="O87" i="1"/>
  <c r="P87" i="1"/>
  <c r="N88" i="1"/>
  <c r="O88" i="1"/>
  <c r="P88" i="1"/>
  <c r="N89" i="1"/>
  <c r="O89" i="1"/>
  <c r="P89" i="1"/>
  <c r="N90" i="1"/>
  <c r="O90" i="1"/>
  <c r="P90" i="1"/>
  <c r="N91" i="1"/>
  <c r="O91" i="1"/>
  <c r="P91" i="1"/>
  <c r="N92" i="1"/>
  <c r="O92" i="1"/>
  <c r="P92" i="1"/>
  <c r="N93" i="1"/>
  <c r="O93" i="1"/>
  <c r="P93" i="1"/>
  <c r="N94" i="1"/>
  <c r="O94" i="1"/>
  <c r="P94" i="1"/>
  <c r="H97" i="1"/>
  <c r="J97" i="1"/>
  <c r="L97" i="1"/>
  <c r="M97" i="1"/>
  <c r="H98" i="1"/>
  <c r="J98" i="1"/>
  <c r="M98" i="1"/>
  <c r="H99" i="1"/>
  <c r="J99" i="1"/>
  <c r="K99" i="1"/>
  <c r="L99" i="1"/>
  <c r="H100" i="1"/>
  <c r="J100" i="1"/>
  <c r="M100" i="1"/>
  <c r="H101" i="1"/>
  <c r="I101" i="1"/>
  <c r="J101" i="1" s="1"/>
  <c r="L101" i="1"/>
  <c r="H102" i="1"/>
  <c r="I102" i="1"/>
  <c r="J102" i="1" s="1"/>
  <c r="H103" i="1"/>
  <c r="I103" i="1"/>
  <c r="J103" i="1" s="1"/>
  <c r="L103" i="1"/>
  <c r="H104" i="1"/>
  <c r="I104" i="1"/>
  <c r="J104" i="1" s="1"/>
  <c r="H54" i="3" l="1"/>
  <c r="H46" i="3"/>
  <c r="L7" i="3"/>
  <c r="B25" i="1"/>
  <c r="C25" i="1"/>
  <c r="B26" i="1"/>
  <c r="C26" i="1"/>
  <c r="S26" i="3"/>
  <c r="O47" i="3"/>
  <c r="S27" i="3"/>
  <c r="O56" i="3"/>
  <c r="L25" i="3"/>
  <c r="O53" i="3"/>
  <c r="S25" i="3"/>
  <c r="O57" i="3"/>
  <c r="O33" i="3"/>
  <c r="O44" i="3"/>
  <c r="H48" i="3"/>
  <c r="O52" i="3"/>
  <c r="AE26" i="3"/>
  <c r="W32" i="3"/>
  <c r="W26" i="3"/>
  <c r="O36" i="3"/>
  <c r="O30" i="3"/>
  <c r="H57" i="3"/>
  <c r="H40" i="3"/>
  <c r="S33" i="3"/>
  <c r="W25" i="3"/>
  <c r="AE29" i="3"/>
  <c r="O31" i="3"/>
  <c r="S28" i="3"/>
  <c r="O39" i="3"/>
  <c r="AI7" i="3"/>
  <c r="O7" i="3" s="1"/>
  <c r="O50" i="3"/>
  <c r="O55" i="3"/>
  <c r="AE27" i="3"/>
  <c r="W27" i="3"/>
  <c r="H58" i="3"/>
  <c r="H31" i="3"/>
  <c r="S32" i="3"/>
  <c r="H55" i="3"/>
  <c r="H37" i="3"/>
  <c r="S34" i="3"/>
  <c r="H56" i="3"/>
  <c r="O41" i="3"/>
  <c r="O59" i="3"/>
  <c r="H59" i="3"/>
  <c r="H51" i="3"/>
  <c r="H43" i="3"/>
  <c r="H42" i="3"/>
  <c r="O32" i="3"/>
  <c r="O28" i="3"/>
  <c r="H35" i="3"/>
  <c r="O42" i="3"/>
  <c r="O29" i="3"/>
  <c r="O51" i="3"/>
  <c r="O35" i="3"/>
  <c r="W29" i="3"/>
  <c r="O48" i="3"/>
  <c r="S29" i="3"/>
  <c r="O45" i="3"/>
  <c r="AE25" i="3"/>
  <c r="O27" i="3"/>
  <c r="O37" i="3"/>
  <c r="O38" i="3"/>
  <c r="H60" i="3"/>
  <c r="H52" i="3"/>
  <c r="H44" i="3"/>
  <c r="W35" i="3"/>
  <c r="H47" i="3"/>
  <c r="H36" i="3"/>
  <c r="O25" i="3"/>
  <c r="W28" i="3"/>
  <c r="O49" i="3"/>
  <c r="AE28" i="3"/>
  <c r="O43" i="3"/>
  <c r="O46" i="3"/>
  <c r="O40" i="3"/>
  <c r="S30" i="3"/>
  <c r="O58" i="3"/>
  <c r="O26" i="3"/>
  <c r="H53" i="3"/>
  <c r="B23" i="1"/>
  <c r="C23" i="1"/>
  <c r="Q67" i="1"/>
  <c r="Q77" i="1"/>
  <c r="S71" i="1"/>
  <c r="S70" i="1"/>
  <c r="S75" i="1"/>
  <c r="S81" i="1"/>
  <c r="L25" i="2"/>
  <c r="V19" i="2"/>
  <c r="V20" i="2" s="1"/>
  <c r="V21" i="2" s="1"/>
  <c r="V22" i="2" s="1"/>
  <c r="V13" i="3"/>
  <c r="V14" i="3" s="1"/>
  <c r="V15" i="3" s="1"/>
  <c r="V16" i="3" s="1"/>
  <c r="V17" i="3" s="1"/>
  <c r="W33" i="2"/>
  <c r="S33" i="2"/>
  <c r="H59" i="2"/>
  <c r="W35" i="2"/>
  <c r="W29" i="2"/>
  <c r="H34" i="2"/>
  <c r="O42" i="2"/>
  <c r="O35" i="2"/>
  <c r="O59" i="2"/>
  <c r="O40" i="2"/>
  <c r="AE29" i="2"/>
  <c r="O46" i="2"/>
  <c r="O25" i="2"/>
  <c r="O30" i="2"/>
  <c r="O38" i="2"/>
  <c r="O58" i="2"/>
  <c r="S30" i="2"/>
  <c r="W31" i="2"/>
  <c r="AE27" i="2"/>
  <c r="W26" i="2"/>
  <c r="W34" i="2"/>
  <c r="O28" i="2"/>
  <c r="S26" i="2"/>
  <c r="O29" i="2"/>
  <c r="W32" i="2"/>
  <c r="S29" i="2"/>
  <c r="H58" i="2"/>
  <c r="H56" i="2"/>
  <c r="H54" i="2"/>
  <c r="H52" i="2"/>
  <c r="H50" i="2"/>
  <c r="H48" i="2"/>
  <c r="H46" i="2"/>
  <c r="H44" i="2"/>
  <c r="S27" i="2"/>
  <c r="O44" i="2"/>
  <c r="O33" i="2"/>
  <c r="W27" i="2"/>
  <c r="H60" i="2"/>
  <c r="O51" i="2"/>
  <c r="H45" i="2"/>
  <c r="O43" i="2"/>
  <c r="O56" i="2"/>
  <c r="W25" i="2"/>
  <c r="O34" i="2"/>
  <c r="O37" i="2"/>
  <c r="S28" i="2"/>
  <c r="O48" i="2"/>
  <c r="O49" i="2"/>
  <c r="O41" i="2"/>
  <c r="H33" i="2"/>
  <c r="W30" i="2"/>
  <c r="AE26" i="2"/>
  <c r="O57" i="2"/>
  <c r="O26" i="2"/>
  <c r="S34" i="2"/>
  <c r="AE25" i="2"/>
  <c r="O39" i="2"/>
  <c r="H42" i="2"/>
  <c r="H31" i="2"/>
  <c r="AE28" i="2"/>
  <c r="W28" i="2"/>
  <c r="O50" i="2"/>
  <c r="O54" i="2"/>
  <c r="S32" i="2"/>
  <c r="S31" i="2"/>
  <c r="O45" i="2"/>
  <c r="O55" i="2"/>
  <c r="O27" i="2"/>
  <c r="O60" i="2"/>
  <c r="H41" i="2"/>
  <c r="O32" i="2"/>
  <c r="O31" i="2"/>
  <c r="O52" i="2"/>
  <c r="O47" i="2"/>
  <c r="O53" i="2"/>
  <c r="AI7" i="2"/>
  <c r="D8" i="2" s="1"/>
  <c r="E8" i="2" s="1"/>
  <c r="H38" i="2"/>
  <c r="H57" i="2"/>
  <c r="H55" i="2"/>
  <c r="H53" i="2"/>
  <c r="H51" i="2"/>
  <c r="H49" i="2"/>
  <c r="H47" i="2"/>
  <c r="H43" i="2"/>
  <c r="O36" i="2"/>
  <c r="H32" i="2"/>
  <c r="H40" i="2"/>
  <c r="H35" i="2"/>
  <c r="H36" i="2"/>
  <c r="H39" i="3"/>
  <c r="H34" i="3"/>
  <c r="H30" i="2"/>
  <c r="V13" i="2"/>
  <c r="V14" i="2" s="1"/>
  <c r="V15" i="2" s="1"/>
  <c r="V16" i="2" s="1"/>
  <c r="V17" i="2" s="1"/>
  <c r="H39" i="2"/>
  <c r="H37" i="2"/>
  <c r="H33" i="3"/>
  <c r="I22" i="1"/>
  <c r="R22" i="1"/>
  <c r="N15" i="1"/>
  <c r="AA32" i="3" s="1"/>
  <c r="AA34" i="3" s="1"/>
  <c r="R15" i="1"/>
  <c r="N13" i="1"/>
  <c r="AA32" i="2" s="1"/>
  <c r="AA34" i="2" s="1"/>
  <c r="R13" i="1"/>
  <c r="I9" i="1"/>
  <c r="I28" i="1" s="1"/>
  <c r="R9" i="1"/>
  <c r="I8" i="1"/>
  <c r="R8" i="1"/>
  <c r="S68" i="1"/>
  <c r="H28" i="2"/>
  <c r="H27" i="2"/>
  <c r="H26" i="2"/>
  <c r="H29" i="2"/>
  <c r="H25" i="2"/>
  <c r="D34" i="2"/>
  <c r="S65" i="1"/>
  <c r="H77" i="1"/>
  <c r="H76" i="1"/>
  <c r="H79" i="1"/>
  <c r="H75" i="1"/>
  <c r="H74" i="1"/>
  <c r="I60" i="1"/>
  <c r="S66" i="1"/>
  <c r="N21" i="2"/>
  <c r="K17" i="1"/>
  <c r="J19" i="1"/>
  <c r="G22" i="1"/>
  <c r="K22" i="1" s="1"/>
  <c r="H50" i="1"/>
  <c r="G25" i="1"/>
  <c r="F25" i="1"/>
  <c r="I106" i="1"/>
  <c r="H106" i="1" s="1"/>
  <c r="Q94" i="1"/>
  <c r="Q87" i="1"/>
  <c r="Q74" i="1"/>
  <c r="Q91" i="1"/>
  <c r="Q86" i="1"/>
  <c r="Q93" i="1"/>
  <c r="Q88" i="1"/>
  <c r="Q68" i="1"/>
  <c r="Q90" i="1"/>
  <c r="Q92" i="1"/>
  <c r="Q89" i="1"/>
  <c r="Q64" i="1"/>
  <c r="O33" i="1" s="1"/>
  <c r="Q75" i="1"/>
  <c r="Q65" i="1"/>
  <c r="Q78" i="1"/>
  <c r="R84" i="1"/>
  <c r="S76" i="1"/>
  <c r="W30" i="3"/>
  <c r="H41" i="3"/>
  <c r="H25" i="3"/>
  <c r="H28" i="3"/>
  <c r="O34" i="3"/>
  <c r="S31" i="3"/>
  <c r="H45" i="3"/>
  <c r="H49" i="3"/>
  <c r="H38" i="3"/>
  <c r="O60" i="3"/>
  <c r="W34" i="3"/>
  <c r="H50" i="3"/>
  <c r="W33" i="3"/>
  <c r="O54" i="3"/>
  <c r="H32" i="3"/>
  <c r="H27" i="3"/>
  <c r="H30" i="3"/>
  <c r="H26" i="3"/>
  <c r="H29" i="3"/>
  <c r="S78" i="1"/>
  <c r="Z14" i="2"/>
  <c r="Z15" i="2" s="1"/>
  <c r="Z16" i="2" s="1"/>
  <c r="Z17" i="2" s="1"/>
  <c r="B4" i="3"/>
  <c r="S80" i="3" l="1"/>
  <c r="N62" i="1"/>
  <c r="C51" i="1"/>
  <c r="B51" i="1"/>
  <c r="H51" i="1" s="1"/>
  <c r="S83" i="3"/>
  <c r="D43" i="3"/>
  <c r="E43" i="3" s="1"/>
  <c r="J43" i="3" s="1"/>
  <c r="D22" i="3"/>
  <c r="E22" i="3" s="1"/>
  <c r="J22" i="3" s="1"/>
  <c r="D57" i="3"/>
  <c r="E57" i="3" s="1"/>
  <c r="D45" i="3"/>
  <c r="D51" i="3"/>
  <c r="D59" i="3"/>
  <c r="D18" i="3"/>
  <c r="E18" i="3" s="1"/>
  <c r="J18" i="3" s="1"/>
  <c r="D47" i="3"/>
  <c r="E47" i="3" s="1"/>
  <c r="J47" i="3" s="1"/>
  <c r="S84" i="3"/>
  <c r="D49" i="3"/>
  <c r="E49" i="3" s="1"/>
  <c r="J49" i="3" s="1"/>
  <c r="D26" i="3"/>
  <c r="E26" i="3" s="1"/>
  <c r="D56" i="3"/>
  <c r="D48" i="3"/>
  <c r="D11" i="3"/>
  <c r="E11" i="3" s="1"/>
  <c r="D61" i="3"/>
  <c r="E61" i="3" s="1"/>
  <c r="J61" i="3" s="1"/>
  <c r="D42" i="3"/>
  <c r="E42" i="3" s="1"/>
  <c r="J42" i="3" s="1"/>
  <c r="D10" i="3"/>
  <c r="E10" i="3" s="1"/>
  <c r="J10" i="3" s="1"/>
  <c r="D35" i="3"/>
  <c r="E35" i="3" s="1"/>
  <c r="J35" i="3" s="1"/>
  <c r="D52" i="3"/>
  <c r="D25" i="3"/>
  <c r="D34" i="3"/>
  <c r="D39" i="3"/>
  <c r="D32" i="3"/>
  <c r="D27" i="3"/>
  <c r="D60" i="3"/>
  <c r="E60" i="3" s="1"/>
  <c r="J60" i="3" s="1"/>
  <c r="D29" i="3"/>
  <c r="D12" i="3"/>
  <c r="E12" i="3" s="1"/>
  <c r="D8" i="3"/>
  <c r="J9" i="3"/>
  <c r="D58" i="3"/>
  <c r="D19" i="3"/>
  <c r="E19" i="3" s="1"/>
  <c r="J19" i="3" s="1"/>
  <c r="D38" i="3"/>
  <c r="E38" i="3" s="1"/>
  <c r="J38" i="3" s="1"/>
  <c r="S7" i="3"/>
  <c r="D31" i="3"/>
  <c r="E31" i="3" s="1"/>
  <c r="J31" i="3" s="1"/>
  <c r="D40" i="3"/>
  <c r="E40" i="3" s="1"/>
  <c r="J40" i="3" s="1"/>
  <c r="D46" i="3"/>
  <c r="D33" i="3"/>
  <c r="D20" i="3"/>
  <c r="E20" i="3" s="1"/>
  <c r="J20" i="3" s="1"/>
  <c r="W7" i="3"/>
  <c r="D28" i="3"/>
  <c r="E28" i="3" s="1"/>
  <c r="J28" i="3" s="1"/>
  <c r="S8" i="3"/>
  <c r="S21" i="3" s="1"/>
  <c r="S16" i="3" s="1"/>
  <c r="D55" i="3"/>
  <c r="E55" i="3" s="1"/>
  <c r="J55" i="3" s="1"/>
  <c r="D41" i="3"/>
  <c r="E41" i="3" s="1"/>
  <c r="J41" i="3" s="1"/>
  <c r="D30" i="3"/>
  <c r="D21" i="3"/>
  <c r="E21" i="3" s="1"/>
  <c r="J21" i="3" s="1"/>
  <c r="S61" i="3"/>
  <c r="W8" i="3"/>
  <c r="W10" i="3" s="1"/>
  <c r="W73" i="3" s="1"/>
  <c r="D50" i="3"/>
  <c r="E50" i="3" s="1"/>
  <c r="J50" i="3" s="1"/>
  <c r="O8" i="3"/>
  <c r="D54" i="3"/>
  <c r="E54" i="3" s="1"/>
  <c r="D53" i="3"/>
  <c r="D44" i="3"/>
  <c r="E44" i="3" s="1"/>
  <c r="J44" i="3" s="1"/>
  <c r="J106" i="1"/>
  <c r="I21" i="1"/>
  <c r="S81" i="3"/>
  <c r="S85" i="3"/>
  <c r="S28" i="1"/>
  <c r="H26" i="1"/>
  <c r="Q45" i="1"/>
  <c r="G33" i="1"/>
  <c r="S82" i="3"/>
  <c r="S84" i="1"/>
  <c r="B17" i="2"/>
  <c r="B17" i="3" s="1"/>
  <c r="D60" i="2"/>
  <c r="E60" i="2" s="1"/>
  <c r="W84" i="2"/>
  <c r="W85" i="2" s="1"/>
  <c r="Q36" i="1"/>
  <c r="Q44" i="1"/>
  <c r="Q37" i="1"/>
  <c r="W83" i="2"/>
  <c r="W80" i="2"/>
  <c r="W82" i="2"/>
  <c r="W61" i="2"/>
  <c r="W81" i="2"/>
  <c r="D20" i="2"/>
  <c r="E20" i="2" s="1"/>
  <c r="D49" i="2"/>
  <c r="E49" i="2" s="1"/>
  <c r="D25" i="2"/>
  <c r="E25" i="2" s="1"/>
  <c r="D30" i="2"/>
  <c r="S80" i="2"/>
  <c r="B16" i="2"/>
  <c r="B16" i="3" s="1"/>
  <c r="D15" i="2"/>
  <c r="D14" i="2"/>
  <c r="D48" i="2"/>
  <c r="E48" i="2" s="1"/>
  <c r="D37" i="2"/>
  <c r="D37" i="3" s="1"/>
  <c r="W8" i="2"/>
  <c r="W10" i="2" s="1"/>
  <c r="W78" i="2" s="1"/>
  <c r="D52" i="2"/>
  <c r="E52" i="2" s="1"/>
  <c r="D40" i="2"/>
  <c r="D13" i="2"/>
  <c r="D10" i="2"/>
  <c r="E10" i="2" s="1"/>
  <c r="D26" i="2"/>
  <c r="D33" i="2"/>
  <c r="E33" i="2" s="1"/>
  <c r="O61" i="2"/>
  <c r="B10" i="2"/>
  <c r="B10" i="3" s="1"/>
  <c r="D41" i="2"/>
  <c r="J9" i="2"/>
  <c r="B18" i="2"/>
  <c r="D56" i="2"/>
  <c r="E56" i="2" s="1"/>
  <c r="J56" i="2" s="1"/>
  <c r="D29" i="2"/>
  <c r="E29" i="2" s="1"/>
  <c r="D59" i="2"/>
  <c r="D35" i="2"/>
  <c r="D19" i="2"/>
  <c r="E19" i="2" s="1"/>
  <c r="D45" i="2"/>
  <c r="D32" i="2"/>
  <c r="E32" i="2" s="1"/>
  <c r="D39" i="2"/>
  <c r="E39" i="2" s="1"/>
  <c r="D50" i="2"/>
  <c r="E50" i="2" s="1"/>
  <c r="D18" i="2"/>
  <c r="D27" i="2"/>
  <c r="D57" i="2"/>
  <c r="S82" i="2"/>
  <c r="O87" i="2"/>
  <c r="O95" i="2" s="1"/>
  <c r="D16" i="2"/>
  <c r="D16" i="3" s="1"/>
  <c r="D54" i="2"/>
  <c r="D12" i="2"/>
  <c r="E12" i="2" s="1"/>
  <c r="D58" i="2"/>
  <c r="D31" i="2"/>
  <c r="E31" i="2" s="1"/>
  <c r="D36" i="2"/>
  <c r="E36" i="2" s="1"/>
  <c r="B19" i="2"/>
  <c r="B19" i="3" s="1"/>
  <c r="D42" i="2"/>
  <c r="S83" i="2"/>
  <c r="B8" i="2"/>
  <c r="B8" i="3" s="1"/>
  <c r="D51" i="2"/>
  <c r="B11" i="2"/>
  <c r="B11" i="3" s="1"/>
  <c r="S84" i="2"/>
  <c r="S7" i="2"/>
  <c r="B21" i="2"/>
  <c r="D53" i="2"/>
  <c r="S81" i="2"/>
  <c r="B15" i="2"/>
  <c r="C15" i="2" s="1"/>
  <c r="C15" i="3" s="1"/>
  <c r="D61" i="2"/>
  <c r="E61" i="2" s="1"/>
  <c r="O8" i="2"/>
  <c r="S61" i="2"/>
  <c r="D11" i="2"/>
  <c r="E11" i="2" s="1"/>
  <c r="B14" i="2"/>
  <c r="D44" i="2"/>
  <c r="D46" i="2"/>
  <c r="D38" i="2"/>
  <c r="B22" i="2"/>
  <c r="C22" i="2" s="1"/>
  <c r="C22" i="3" s="1"/>
  <c r="D47" i="2"/>
  <c r="E47" i="2" s="1"/>
  <c r="S8" i="2"/>
  <c r="S10" i="2" s="1"/>
  <c r="S73" i="2" s="1"/>
  <c r="W7" i="2"/>
  <c r="D17" i="2"/>
  <c r="E17" i="2" s="1"/>
  <c r="D28" i="2"/>
  <c r="E28" i="2" s="1"/>
  <c r="B12" i="2"/>
  <c r="B13" i="2"/>
  <c r="C13" i="2" s="1"/>
  <c r="C13" i="3" s="1"/>
  <c r="D43" i="2"/>
  <c r="E43" i="2" s="1"/>
  <c r="O7" i="2"/>
  <c r="D55" i="2"/>
  <c r="B20" i="2"/>
  <c r="J8" i="2"/>
  <c r="Q35" i="1"/>
  <c r="F33" i="1"/>
  <c r="Q33" i="1"/>
  <c r="I57" i="1"/>
  <c r="AA87" i="2"/>
  <c r="AA93" i="2" s="1"/>
  <c r="AA94" i="2" s="1"/>
  <c r="AA88" i="2" s="1"/>
  <c r="AA61" i="2"/>
  <c r="AE35" i="3"/>
  <c r="AE61" i="3" s="1"/>
  <c r="AE35" i="2"/>
  <c r="AE61" i="2" s="1"/>
  <c r="W86" i="3"/>
  <c r="W71" i="3" s="1"/>
  <c r="S85" i="2"/>
  <c r="E34" i="2"/>
  <c r="J34" i="2" s="1"/>
  <c r="I107" i="1"/>
  <c r="N22" i="2"/>
  <c r="D22" i="2" s="1"/>
  <c r="D21" i="2"/>
  <c r="O87" i="3"/>
  <c r="O93" i="3" s="1"/>
  <c r="O94" i="3" s="1"/>
  <c r="K25" i="1"/>
  <c r="H25" i="1"/>
  <c r="AA61" i="3"/>
  <c r="AA87" i="3"/>
  <c r="AA93" i="3" s="1"/>
  <c r="AA94" i="3" s="1"/>
  <c r="AA88" i="3" s="1"/>
  <c r="E45" i="3"/>
  <c r="J45" i="3" s="1"/>
  <c r="E48" i="3"/>
  <c r="J48" i="3" s="1"/>
  <c r="E29" i="3"/>
  <c r="J29" i="3" s="1"/>
  <c r="E34" i="3"/>
  <c r="J34" i="3" s="1"/>
  <c r="W61" i="3"/>
  <c r="W83" i="3"/>
  <c r="W82" i="3"/>
  <c r="E8" i="3"/>
  <c r="J8" i="3" s="1"/>
  <c r="W81" i="3"/>
  <c r="E33" i="3"/>
  <c r="J33" i="3" s="1"/>
  <c r="E51" i="3"/>
  <c r="J51" i="3" s="1"/>
  <c r="E56" i="3"/>
  <c r="J56" i="3" s="1"/>
  <c r="W80" i="3"/>
  <c r="W84" i="3"/>
  <c r="W85" i="3" s="1"/>
  <c r="E46" i="3"/>
  <c r="J46" i="3" s="1"/>
  <c r="E30" i="3"/>
  <c r="J30" i="3" s="1"/>
  <c r="E59" i="3"/>
  <c r="J59" i="3" s="1"/>
  <c r="O61" i="3"/>
  <c r="J11" i="3" l="1"/>
  <c r="J54" i="3"/>
  <c r="H3" i="3" s="1"/>
  <c r="I61" i="2"/>
  <c r="W86" i="2"/>
  <c r="W66" i="2" s="1"/>
  <c r="J26" i="3"/>
  <c r="J57" i="3"/>
  <c r="S11" i="3"/>
  <c r="O62" i="1"/>
  <c r="L62" i="1"/>
  <c r="K62" i="1" s="1"/>
  <c r="S19" i="3"/>
  <c r="S14" i="3" s="1"/>
  <c r="S9" i="3"/>
  <c r="S10" i="3"/>
  <c r="S79" i="3" s="1"/>
  <c r="S20" i="3"/>
  <c r="S15" i="3" s="1"/>
  <c r="S18" i="3"/>
  <c r="S13" i="3" s="1"/>
  <c r="S22" i="3"/>
  <c r="S17" i="3" s="1"/>
  <c r="W78" i="3"/>
  <c r="E27" i="3"/>
  <c r="J27" i="3" s="1"/>
  <c r="W79" i="3"/>
  <c r="E32" i="3"/>
  <c r="J32" i="3" s="1"/>
  <c r="E53" i="3"/>
  <c r="J53" i="3" s="1"/>
  <c r="E58" i="3"/>
  <c r="J58" i="3" s="1"/>
  <c r="J39" i="3"/>
  <c r="E39" i="3"/>
  <c r="E25" i="3"/>
  <c r="J25" i="3" s="1"/>
  <c r="W75" i="3"/>
  <c r="E52" i="3"/>
  <c r="J52" i="3" s="1"/>
  <c r="W74" i="3"/>
  <c r="W9" i="3"/>
  <c r="W77" i="3"/>
  <c r="I108" i="1"/>
  <c r="H107" i="1"/>
  <c r="J107" i="1"/>
  <c r="S70" i="3"/>
  <c r="U28" i="1"/>
  <c r="T28" i="1" s="1"/>
  <c r="S68" i="3"/>
  <c r="J48" i="2"/>
  <c r="J25" i="2"/>
  <c r="U81" i="1"/>
  <c r="U71" i="1"/>
  <c r="S69" i="3"/>
  <c r="S67" i="3"/>
  <c r="S65" i="3"/>
  <c r="S71" i="3"/>
  <c r="S66" i="3"/>
  <c r="S64" i="3"/>
  <c r="E59" i="2"/>
  <c r="J59" i="2" s="1"/>
  <c r="E40" i="2"/>
  <c r="J40" i="2" s="1"/>
  <c r="E15" i="2"/>
  <c r="J15" i="2" s="1"/>
  <c r="J39" i="2"/>
  <c r="J49" i="2"/>
  <c r="E58" i="2"/>
  <c r="J58" i="2" s="1"/>
  <c r="C17" i="2"/>
  <c r="E45" i="2"/>
  <c r="J45" i="2" s="1"/>
  <c r="J32" i="2"/>
  <c r="E37" i="2"/>
  <c r="J37" i="2" s="1"/>
  <c r="J29" i="2"/>
  <c r="E41" i="2"/>
  <c r="J41" i="2" s="1"/>
  <c r="J19" i="2"/>
  <c r="J60" i="2"/>
  <c r="E37" i="3"/>
  <c r="J37" i="3" s="1"/>
  <c r="J28" i="2"/>
  <c r="E51" i="2"/>
  <c r="J51" i="2" s="1"/>
  <c r="J52" i="2"/>
  <c r="J10" i="2"/>
  <c r="C12" i="2"/>
  <c r="C12" i="3" s="1"/>
  <c r="B12" i="3"/>
  <c r="E35" i="2"/>
  <c r="J35" i="2" s="1"/>
  <c r="E30" i="2"/>
  <c r="J30" i="2" s="1"/>
  <c r="C10" i="2"/>
  <c r="C10" i="3" s="1"/>
  <c r="H10" i="3" s="1"/>
  <c r="W9" i="2"/>
  <c r="B14" i="3"/>
  <c r="E16" i="2"/>
  <c r="J16" i="2" s="1"/>
  <c r="J11" i="2"/>
  <c r="W79" i="2"/>
  <c r="W77" i="2"/>
  <c r="W74" i="2"/>
  <c r="W75" i="2"/>
  <c r="W73" i="2"/>
  <c r="O92" i="2"/>
  <c r="O96" i="2" s="1"/>
  <c r="O97" i="2" s="1"/>
  <c r="O93" i="2"/>
  <c r="O94" i="2" s="1"/>
  <c r="O88" i="2" s="1"/>
  <c r="O90" i="2"/>
  <c r="D14" i="3"/>
  <c r="E14" i="3" s="1"/>
  <c r="J14" i="3" s="1"/>
  <c r="S75" i="2"/>
  <c r="B18" i="3"/>
  <c r="B22" i="3"/>
  <c r="H22" i="3" s="1"/>
  <c r="J61" i="2"/>
  <c r="B61" i="2"/>
  <c r="B61" i="3" s="1"/>
  <c r="O80" i="2"/>
  <c r="O82" i="2" s="1"/>
  <c r="J50" i="2"/>
  <c r="J20" i="2"/>
  <c r="B13" i="3"/>
  <c r="H13" i="3" s="1"/>
  <c r="E38" i="2"/>
  <c r="J38" i="2" s="1"/>
  <c r="E26" i="2"/>
  <c r="J26" i="2" s="1"/>
  <c r="E14" i="2"/>
  <c r="J14" i="2" s="1"/>
  <c r="C14" i="2"/>
  <c r="C14" i="3" s="1"/>
  <c r="C19" i="2"/>
  <c r="C19" i="3" s="1"/>
  <c r="H19" i="3" s="1"/>
  <c r="J33" i="2"/>
  <c r="H13" i="2"/>
  <c r="C18" i="2"/>
  <c r="C18" i="3" s="1"/>
  <c r="B15" i="3"/>
  <c r="H15" i="3" s="1"/>
  <c r="J17" i="2"/>
  <c r="J31" i="2"/>
  <c r="D13" i="3"/>
  <c r="H15" i="2"/>
  <c r="S67" i="2"/>
  <c r="E46" i="2"/>
  <c r="J46" i="2" s="1"/>
  <c r="D17" i="3"/>
  <c r="E13" i="2"/>
  <c r="J13" i="2" s="1"/>
  <c r="C16" i="2"/>
  <c r="C16" i="3" s="1"/>
  <c r="H16" i="3" s="1"/>
  <c r="D15" i="3"/>
  <c r="E44" i="2"/>
  <c r="J44" i="2" s="1"/>
  <c r="E53" i="2"/>
  <c r="J53" i="2" s="1"/>
  <c r="E27" i="2"/>
  <c r="J27" i="2" s="1"/>
  <c r="S9" i="2"/>
  <c r="E54" i="2"/>
  <c r="J54" i="2" s="1"/>
  <c r="H3" i="2" s="1"/>
  <c r="J43" i="2"/>
  <c r="B21" i="3"/>
  <c r="C21" i="2"/>
  <c r="C21" i="3" s="1"/>
  <c r="E42" i="2"/>
  <c r="J42" i="2" s="1"/>
  <c r="E18" i="2"/>
  <c r="J18" i="2" s="1"/>
  <c r="S79" i="2"/>
  <c r="C8" i="2"/>
  <c r="C8" i="3" s="1"/>
  <c r="H8" i="3" s="1"/>
  <c r="J47" i="2"/>
  <c r="J12" i="2"/>
  <c r="S68" i="2"/>
  <c r="S66" i="2"/>
  <c r="S78" i="2"/>
  <c r="S65" i="2"/>
  <c r="D36" i="3"/>
  <c r="J36" i="2"/>
  <c r="S64" i="2"/>
  <c r="S69" i="2" s="1"/>
  <c r="C20" i="2"/>
  <c r="C20" i="3" s="1"/>
  <c r="B20" i="3"/>
  <c r="E57" i="2"/>
  <c r="J57" i="2" s="1"/>
  <c r="S77" i="2"/>
  <c r="S74" i="2"/>
  <c r="H22" i="2"/>
  <c r="E55" i="2"/>
  <c r="J55" i="2" s="1"/>
  <c r="C11" i="2"/>
  <c r="C11" i="3" s="1"/>
  <c r="H11" i="3" s="1"/>
  <c r="K32" i="1"/>
  <c r="AE80" i="3"/>
  <c r="AE9" i="3" s="1"/>
  <c r="AE84" i="3"/>
  <c r="AE85" i="3" s="1"/>
  <c r="AE82" i="3"/>
  <c r="AA80" i="2"/>
  <c r="AA84" i="2" s="1"/>
  <c r="AA95" i="2"/>
  <c r="AA92" i="2"/>
  <c r="AA90" i="2"/>
  <c r="AA91" i="2" s="1"/>
  <c r="AA10" i="2" s="1"/>
  <c r="AA11" i="2" s="1"/>
  <c r="AE80" i="2"/>
  <c r="AE9" i="2" s="1"/>
  <c r="AE81" i="2"/>
  <c r="AE81" i="3"/>
  <c r="AE8" i="3"/>
  <c r="AE10" i="3" s="1"/>
  <c r="L79" i="1" s="1"/>
  <c r="AE83" i="3"/>
  <c r="AE82" i="2"/>
  <c r="AE83" i="2"/>
  <c r="AE8" i="2"/>
  <c r="AE10" i="2" s="1"/>
  <c r="AE75" i="2" s="1"/>
  <c r="AE84" i="2"/>
  <c r="AE85" i="2" s="1"/>
  <c r="W64" i="3"/>
  <c r="W67" i="3"/>
  <c r="W70" i="3"/>
  <c r="W65" i="3"/>
  <c r="W68" i="3"/>
  <c r="W76" i="3" s="1"/>
  <c r="W66" i="3"/>
  <c r="W69" i="3"/>
  <c r="I111" i="1"/>
  <c r="J111" i="1" s="1"/>
  <c r="S70" i="2"/>
  <c r="I17" i="1"/>
  <c r="E16" i="3"/>
  <c r="J16" i="3" s="1"/>
  <c r="O90" i="3"/>
  <c r="O91" i="3" s="1"/>
  <c r="O10" i="3" s="1"/>
  <c r="O95" i="3"/>
  <c r="O88" i="3"/>
  <c r="O92" i="3"/>
  <c r="I61" i="3"/>
  <c r="E21" i="2"/>
  <c r="J21" i="2" s="1"/>
  <c r="O80" i="3"/>
  <c r="O81" i="3" s="1"/>
  <c r="O66" i="3" s="1"/>
  <c r="E22" i="2"/>
  <c r="J22" i="2" s="1"/>
  <c r="AA92" i="3"/>
  <c r="AA90" i="3"/>
  <c r="AA91" i="3" s="1"/>
  <c r="AA10" i="3" s="1"/>
  <c r="AA95" i="3"/>
  <c r="AA80" i="3"/>
  <c r="AA82" i="3" s="1"/>
  <c r="AA67" i="3" s="1"/>
  <c r="W19" i="3"/>
  <c r="W21" i="3"/>
  <c r="W22" i="3"/>
  <c r="W20" i="3"/>
  <c r="W15" i="3" s="1"/>
  <c r="W18" i="3"/>
  <c r="W11" i="3" s="1"/>
  <c r="AA11" i="3"/>
  <c r="E28" i="1" l="1"/>
  <c r="D28" i="1"/>
  <c r="W65" i="2"/>
  <c r="H108" i="1"/>
  <c r="I109" i="1"/>
  <c r="H111" i="1"/>
  <c r="W68" i="2"/>
  <c r="W76" i="2" s="1"/>
  <c r="W67" i="2"/>
  <c r="W64" i="2"/>
  <c r="W69" i="2"/>
  <c r="W70" i="2" s="1"/>
  <c r="W71" i="2" s="1"/>
  <c r="S73" i="3"/>
  <c r="B37" i="1"/>
  <c r="C37" i="1"/>
  <c r="C44" i="1"/>
  <c r="C45" i="1" s="1"/>
  <c r="B49" i="1"/>
  <c r="C49" i="1"/>
  <c r="B36" i="1"/>
  <c r="B44" i="1"/>
  <c r="B45" i="1" s="1"/>
  <c r="C36" i="1"/>
  <c r="S76" i="3"/>
  <c r="S78" i="3"/>
  <c r="S77" i="3"/>
  <c r="S74" i="3"/>
  <c r="S75" i="3"/>
  <c r="H12" i="3"/>
  <c r="H8" i="2"/>
  <c r="H16" i="2"/>
  <c r="J108" i="1"/>
  <c r="J28" i="1"/>
  <c r="U80" i="1"/>
  <c r="U70" i="1"/>
  <c r="H18" i="3"/>
  <c r="H12" i="2"/>
  <c r="H11" i="2"/>
  <c r="H20" i="3"/>
  <c r="H21" i="2"/>
  <c r="H14" i="3"/>
  <c r="H10" i="2"/>
  <c r="H20" i="2"/>
  <c r="C17" i="3"/>
  <c r="H17" i="3" s="1"/>
  <c r="H17" i="2"/>
  <c r="H18" i="2"/>
  <c r="H21" i="3"/>
  <c r="H19" i="2"/>
  <c r="H14" i="2"/>
  <c r="W19" i="2"/>
  <c r="W14" i="2" s="1"/>
  <c r="W22" i="2"/>
  <c r="W17" i="2" s="1"/>
  <c r="W20" i="2"/>
  <c r="W15" i="2" s="1"/>
  <c r="W21" i="2"/>
  <c r="W16" i="2" s="1"/>
  <c r="W18" i="2"/>
  <c r="O81" i="2"/>
  <c r="O66" i="2" s="1"/>
  <c r="S21" i="2"/>
  <c r="S16" i="2" s="1"/>
  <c r="S19" i="2"/>
  <c r="S14" i="2" s="1"/>
  <c r="S76" i="2"/>
  <c r="S22" i="2" s="1"/>
  <c r="S17" i="2" s="1"/>
  <c r="S20" i="2"/>
  <c r="S15" i="2" s="1"/>
  <c r="O67" i="2"/>
  <c r="O91" i="2"/>
  <c r="O10" i="2" s="1"/>
  <c r="O9" i="2" s="1"/>
  <c r="D9" i="2" s="1"/>
  <c r="O89" i="2"/>
  <c r="O12" i="2" s="1"/>
  <c r="I12" i="2" s="1"/>
  <c r="O84" i="2"/>
  <c r="O65" i="2"/>
  <c r="O83" i="2"/>
  <c r="O68" i="2" s="1"/>
  <c r="C61" i="2"/>
  <c r="C61" i="3" s="1"/>
  <c r="H61" i="3" s="1"/>
  <c r="E17" i="3"/>
  <c r="J17" i="3" s="1"/>
  <c r="E13" i="3"/>
  <c r="J13" i="3" s="1"/>
  <c r="E15" i="3"/>
  <c r="J15" i="3" s="1"/>
  <c r="E36" i="3"/>
  <c r="J36" i="3" s="1"/>
  <c r="AA83" i="2"/>
  <c r="AA68" i="2" s="1"/>
  <c r="AA82" i="2"/>
  <c r="AA67" i="2" s="1"/>
  <c r="AA96" i="2"/>
  <c r="AA97" i="2" s="1"/>
  <c r="AA89" i="2" s="1"/>
  <c r="AA12" i="2" s="1"/>
  <c r="AA81" i="2"/>
  <c r="AA66" i="2" s="1"/>
  <c r="AA65" i="2"/>
  <c r="AE73" i="3"/>
  <c r="AE79" i="3"/>
  <c r="AE86" i="3"/>
  <c r="AE64" i="3" s="1"/>
  <c r="AE69" i="3" s="1"/>
  <c r="AE19" i="3" s="1"/>
  <c r="AE14" i="3" s="1"/>
  <c r="AE78" i="3"/>
  <c r="AE77" i="3"/>
  <c r="AE74" i="3"/>
  <c r="AE75" i="3"/>
  <c r="AE74" i="2"/>
  <c r="AE86" i="2"/>
  <c r="AE68" i="2" s="1"/>
  <c r="AE76" i="2" s="1"/>
  <c r="L69" i="1"/>
  <c r="AE77" i="2"/>
  <c r="AE73" i="2"/>
  <c r="AE79" i="2"/>
  <c r="AE78" i="2"/>
  <c r="AA9" i="2"/>
  <c r="H19" i="1"/>
  <c r="S71" i="2"/>
  <c r="S18" i="2"/>
  <c r="S13" i="2" s="1"/>
  <c r="O96" i="3"/>
  <c r="O97" i="3" s="1"/>
  <c r="O89" i="3" s="1"/>
  <c r="O12" i="3" s="1"/>
  <c r="I12" i="3" s="1"/>
  <c r="J12" i="3" s="1"/>
  <c r="O82" i="3"/>
  <c r="O67" i="3" s="1"/>
  <c r="O83" i="3"/>
  <c r="O68" i="3" s="1"/>
  <c r="O84" i="3"/>
  <c r="O65" i="3"/>
  <c r="O9" i="3"/>
  <c r="D9" i="3" s="1"/>
  <c r="E9" i="3" s="1"/>
  <c r="I9" i="3" s="1"/>
  <c r="I10" i="3"/>
  <c r="AJ11" i="3" s="1"/>
  <c r="AA9" i="3"/>
  <c r="AA96" i="3"/>
  <c r="AA97" i="3" s="1"/>
  <c r="AA89" i="3" s="1"/>
  <c r="AA12" i="3" s="1"/>
  <c r="AA65" i="3"/>
  <c r="AA83" i="3"/>
  <c r="AA68" i="3" s="1"/>
  <c r="AA81" i="3"/>
  <c r="AA66" i="3" s="1"/>
  <c r="AA84" i="3"/>
  <c r="W17" i="3"/>
  <c r="W14" i="3"/>
  <c r="W16" i="3"/>
  <c r="W13" i="3"/>
  <c r="AA78" i="2"/>
  <c r="AA76" i="2"/>
  <c r="L66" i="1"/>
  <c r="AA73" i="2"/>
  <c r="AA79" i="2"/>
  <c r="AA75" i="2"/>
  <c r="AA77" i="2"/>
  <c r="AA74" i="2"/>
  <c r="AA77" i="3"/>
  <c r="L76" i="1"/>
  <c r="AA74" i="3"/>
  <c r="AA75" i="3"/>
  <c r="AA79" i="3"/>
  <c r="AA73" i="3"/>
  <c r="AA78" i="3"/>
  <c r="AA76" i="3"/>
  <c r="O73" i="3"/>
  <c r="O74" i="3"/>
  <c r="O79" i="3"/>
  <c r="O77" i="3"/>
  <c r="O78" i="3"/>
  <c r="O76" i="3"/>
  <c r="O75" i="3"/>
  <c r="H109" i="1" l="1"/>
  <c r="I110" i="1"/>
  <c r="J109" i="1"/>
  <c r="H61" i="2"/>
  <c r="W13" i="2"/>
  <c r="W11" i="2"/>
  <c r="L71" i="1"/>
  <c r="O74" i="2"/>
  <c r="O20" i="2" s="1"/>
  <c r="O15" i="2" s="1"/>
  <c r="I15" i="2" s="1"/>
  <c r="I10" i="2"/>
  <c r="AJ11" i="2" s="1"/>
  <c r="O75" i="2"/>
  <c r="O79" i="2"/>
  <c r="O77" i="2"/>
  <c r="O76" i="2"/>
  <c r="O22" i="2" s="1"/>
  <c r="O17" i="2" s="1"/>
  <c r="I17" i="2" s="1"/>
  <c r="T80" i="1" s="1"/>
  <c r="O78" i="2"/>
  <c r="O73" i="2"/>
  <c r="O21" i="2" s="1"/>
  <c r="O64" i="2"/>
  <c r="O69" i="2" s="1"/>
  <c r="O70" i="2" s="1"/>
  <c r="O71" i="2" s="1"/>
  <c r="H49" i="1"/>
  <c r="H36" i="1"/>
  <c r="H37" i="1"/>
  <c r="H44" i="1"/>
  <c r="AE65" i="3"/>
  <c r="AE21" i="3" s="1"/>
  <c r="J79" i="1" s="1"/>
  <c r="N79" i="1" s="1"/>
  <c r="AA64" i="2"/>
  <c r="AA69" i="2" s="1"/>
  <c r="AA70" i="2" s="1"/>
  <c r="AA21" i="2"/>
  <c r="AA16" i="2" s="1"/>
  <c r="AE67" i="3"/>
  <c r="AA20" i="2"/>
  <c r="AA15" i="2" s="1"/>
  <c r="M79" i="1"/>
  <c r="AE66" i="3"/>
  <c r="AE20" i="3" s="1"/>
  <c r="K79" i="1" s="1"/>
  <c r="O79" i="1" s="1"/>
  <c r="AE68" i="3"/>
  <c r="AE76" i="3" s="1"/>
  <c r="AE66" i="2"/>
  <c r="AE20" i="2" s="1"/>
  <c r="K69" i="1" s="1"/>
  <c r="O69" i="1" s="1"/>
  <c r="AE65" i="2"/>
  <c r="AE21" i="2" s="1"/>
  <c r="AE16" i="2" s="1"/>
  <c r="AE64" i="2"/>
  <c r="AE69" i="2" s="1"/>
  <c r="AE19" i="2" s="1"/>
  <c r="M69" i="1" s="1"/>
  <c r="AE22" i="2"/>
  <c r="AE17" i="2" s="1"/>
  <c r="AE67" i="2"/>
  <c r="AA22" i="2"/>
  <c r="AA17" i="2" s="1"/>
  <c r="H45" i="1"/>
  <c r="S11" i="2"/>
  <c r="O22" i="3"/>
  <c r="O17" i="3" s="1"/>
  <c r="I17" i="3" s="1"/>
  <c r="O20" i="3"/>
  <c r="O15" i="3" s="1"/>
  <c r="I15" i="3" s="1"/>
  <c r="O64" i="3"/>
  <c r="O69" i="3" s="1"/>
  <c r="O70" i="3" s="1"/>
  <c r="O71" i="3" s="1"/>
  <c r="AA20" i="3"/>
  <c r="AA15" i="3" s="1"/>
  <c r="O21" i="3"/>
  <c r="O16" i="3" s="1"/>
  <c r="I16" i="3" s="1"/>
  <c r="L81" i="1"/>
  <c r="AA22" i="3"/>
  <c r="AA17" i="3" s="1"/>
  <c r="AA21" i="3"/>
  <c r="J76" i="1" s="1"/>
  <c r="N76" i="1" s="1"/>
  <c r="AA64" i="3"/>
  <c r="AA69" i="3" s="1"/>
  <c r="AA70" i="3" s="1"/>
  <c r="AA18" i="3" s="1"/>
  <c r="AA13" i="3" s="1"/>
  <c r="I76" i="1" s="1"/>
  <c r="E9" i="2"/>
  <c r="I9" i="2" s="1"/>
  <c r="J110" i="1" l="1"/>
  <c r="H110" i="1"/>
  <c r="O19" i="2"/>
  <c r="I19" i="2" s="1"/>
  <c r="M80" i="1" s="1"/>
  <c r="I22" i="2"/>
  <c r="L80" i="1"/>
  <c r="S30" i="1" s="1"/>
  <c r="U30" i="1" s="1"/>
  <c r="T30" i="1" s="1"/>
  <c r="L70" i="1"/>
  <c r="S29" i="1" s="1"/>
  <c r="U29" i="1" s="1"/>
  <c r="T29" i="1" s="1"/>
  <c r="O16" i="2"/>
  <c r="I16" i="2" s="1"/>
  <c r="I21" i="2"/>
  <c r="J80" i="1" s="1"/>
  <c r="I20" i="2"/>
  <c r="K80" i="1" s="1"/>
  <c r="O18" i="2"/>
  <c r="AE16" i="3"/>
  <c r="AE70" i="3"/>
  <c r="AE71" i="3" s="1"/>
  <c r="AA19" i="2"/>
  <c r="AA14" i="2" s="1"/>
  <c r="J66" i="1"/>
  <c r="N66" i="1" s="1"/>
  <c r="AA71" i="2"/>
  <c r="AA18" i="2"/>
  <c r="AA13" i="2" s="1"/>
  <c r="I66" i="1" s="1"/>
  <c r="AE15" i="3"/>
  <c r="AE15" i="2"/>
  <c r="K66" i="1"/>
  <c r="O66" i="1" s="1"/>
  <c r="AE22" i="3"/>
  <c r="AE17" i="3" s="1"/>
  <c r="AE70" i="2"/>
  <c r="AE71" i="2" s="1"/>
  <c r="AE14" i="2"/>
  <c r="J69" i="1"/>
  <c r="N69" i="1" s="1"/>
  <c r="H71" i="1"/>
  <c r="H81" i="1"/>
  <c r="H70" i="1"/>
  <c r="H80" i="1"/>
  <c r="T81" i="1"/>
  <c r="T71" i="1"/>
  <c r="T70" i="1"/>
  <c r="O19" i="3"/>
  <c r="O14" i="3" s="1"/>
  <c r="I14" i="3" s="1"/>
  <c r="I22" i="3"/>
  <c r="I20" i="3"/>
  <c r="K76" i="1"/>
  <c r="O76" i="1" s="1"/>
  <c r="O18" i="3"/>
  <c r="I21" i="3"/>
  <c r="AA16" i="3"/>
  <c r="AA19" i="3"/>
  <c r="M76" i="1" s="1"/>
  <c r="P76" i="1" s="1"/>
  <c r="Q76" i="1" s="1"/>
  <c r="AA71" i="3"/>
  <c r="E30" i="1" l="1"/>
  <c r="D30" i="1"/>
  <c r="M70" i="1"/>
  <c r="O14" i="2"/>
  <c r="I14" i="2" s="1"/>
  <c r="L84" i="1"/>
  <c r="O13" i="3"/>
  <c r="I13" i="3" s="1"/>
  <c r="I71" i="1" s="1"/>
  <c r="O11" i="3"/>
  <c r="I11" i="3" s="1"/>
  <c r="N80" i="1"/>
  <c r="O80" i="1"/>
  <c r="K70" i="1"/>
  <c r="O70" i="1" s="1"/>
  <c r="J70" i="1"/>
  <c r="N70" i="1" s="1"/>
  <c r="T84" i="1"/>
  <c r="O11" i="2"/>
  <c r="I11" i="2" s="1"/>
  <c r="I18" i="2"/>
  <c r="O13" i="2"/>
  <c r="I13" i="2" s="1"/>
  <c r="AE18" i="3"/>
  <c r="AE13" i="3" s="1"/>
  <c r="I79" i="1" s="1"/>
  <c r="M66" i="1"/>
  <c r="P66" i="1" s="1"/>
  <c r="Q66" i="1" s="1"/>
  <c r="AE18" i="2"/>
  <c r="AE13" i="2" s="1"/>
  <c r="I69" i="1" s="1"/>
  <c r="P69" i="1" s="1"/>
  <c r="Q69" i="1" s="1"/>
  <c r="J81" i="1"/>
  <c r="J71" i="1"/>
  <c r="N71" i="1" s="1"/>
  <c r="K81" i="1"/>
  <c r="K71" i="1"/>
  <c r="O71" i="1" s="1"/>
  <c r="I18" i="3"/>
  <c r="I19" i="3"/>
  <c r="AA14" i="3"/>
  <c r="B30" i="1" l="1"/>
  <c r="C30" i="1"/>
  <c r="I81" i="1"/>
  <c r="I80" i="1"/>
  <c r="I70" i="1"/>
  <c r="P79" i="1"/>
  <c r="Q79" i="1" s="1"/>
  <c r="AE11" i="3"/>
  <c r="AE11" i="2"/>
  <c r="H23" i="1"/>
  <c r="O81" i="1"/>
  <c r="O84" i="1" s="1"/>
  <c r="K84" i="1"/>
  <c r="N81" i="1"/>
  <c r="N84" i="1" s="1"/>
  <c r="I27" i="1" s="1"/>
  <c r="J84" i="1"/>
  <c r="M81" i="1"/>
  <c r="M71" i="1"/>
  <c r="P71" i="1" s="1"/>
  <c r="Q71" i="1" s="1"/>
  <c r="P70" i="1" l="1"/>
  <c r="Q70" i="1" s="1"/>
  <c r="B29" i="1"/>
  <c r="C29" i="1"/>
  <c r="I50" i="1"/>
  <c r="P80" i="1"/>
  <c r="Q80" i="1" s="1"/>
  <c r="I84" i="1"/>
  <c r="I24" i="1" s="1"/>
  <c r="M111" i="1" s="1"/>
  <c r="P81" i="1"/>
  <c r="M84" i="1"/>
  <c r="M107" i="1" l="1"/>
  <c r="I61" i="1"/>
  <c r="Q43" i="1"/>
  <c r="J24" i="1"/>
  <c r="N44" i="1"/>
  <c r="N45" i="1" s="1"/>
  <c r="G45" i="1" s="1"/>
  <c r="J43" i="1"/>
  <c r="P19" i="1"/>
  <c r="I58" i="1"/>
  <c r="I59" i="1"/>
  <c r="Q81" i="1"/>
  <c r="Q84" i="1" s="1"/>
  <c r="I25" i="1" s="1"/>
  <c r="P84" i="1"/>
  <c r="I41" i="1" l="1"/>
  <c r="I44" i="1" s="1"/>
  <c r="F24" i="1"/>
  <c r="G24" i="1"/>
  <c r="S25" i="1"/>
  <c r="D18" i="1"/>
  <c r="E18" i="1"/>
  <c r="I26" i="1"/>
  <c r="F45" i="1"/>
  <c r="H78" i="1"/>
  <c r="H68" i="1"/>
  <c r="D44" i="1" l="1"/>
  <c r="M109" i="1"/>
  <c r="K24" i="1"/>
  <c r="M108" i="1"/>
  <c r="D27" i="1"/>
  <c r="U25" i="1"/>
  <c r="T25" i="1" s="1"/>
  <c r="E13" i="1"/>
  <c r="D13" i="1"/>
  <c r="I13" i="1"/>
  <c r="E15" i="1"/>
  <c r="D15" i="1"/>
  <c r="I15" i="1"/>
  <c r="N33" i="1"/>
  <c r="J18" i="1"/>
  <c r="Q41" i="1"/>
  <c r="D41" i="1"/>
  <c r="E41" i="1"/>
  <c r="J26" i="1"/>
  <c r="F44" i="1" l="1"/>
  <c r="G44" i="1"/>
  <c r="D25" i="1"/>
  <c r="E25" i="1"/>
  <c r="J15" i="1"/>
  <c r="P15" i="1" s="1"/>
  <c r="J13" i="1"/>
  <c r="F27" i="1"/>
  <c r="G27" i="1"/>
  <c r="E27" i="1"/>
  <c r="J27" i="1" s="1"/>
  <c r="E29" i="1"/>
  <c r="D29" i="1"/>
  <c r="H30" i="1"/>
  <c r="J41" i="1"/>
  <c r="P33" i="1"/>
  <c r="I42" i="1"/>
  <c r="Q42" i="1" s="1"/>
  <c r="B33" i="1" l="1"/>
  <c r="C33" i="1"/>
  <c r="G13" i="1"/>
  <c r="F13" i="1"/>
  <c r="K13" i="1" s="1"/>
  <c r="P13" i="1"/>
  <c r="I33" i="1"/>
  <c r="H29" i="1"/>
  <c r="I29" i="1" s="1"/>
  <c r="J29" i="1" s="1"/>
  <c r="K27" i="1"/>
  <c r="J25" i="1"/>
  <c r="I30" i="1"/>
  <c r="J30" i="1" s="1"/>
  <c r="J42" i="1"/>
  <c r="D33" i="1" l="1"/>
  <c r="E33" i="1"/>
  <c r="D10" i="1"/>
  <c r="I32" i="1"/>
  <c r="Q32" i="1" s="1"/>
  <c r="I35" i="1"/>
  <c r="M106" i="1"/>
  <c r="M99" i="1"/>
  <c r="I34" i="1"/>
  <c r="Q34" i="1" s="1"/>
  <c r="E10" i="1"/>
  <c r="H33" i="1"/>
  <c r="J10" i="1" l="1"/>
  <c r="J33" i="1"/>
  <c r="I39" i="1"/>
  <c r="J35" i="1"/>
  <c r="I45" i="1"/>
  <c r="D45" i="1" s="1"/>
  <c r="I49" i="1"/>
  <c r="I37" i="1"/>
  <c r="I36" i="1" s="1"/>
  <c r="J36" i="1" s="1"/>
  <c r="M27" i="1"/>
  <c r="N37" i="1"/>
  <c r="G37" i="1" s="1"/>
  <c r="E32" i="1"/>
  <c r="D32" i="1"/>
  <c r="N27" i="1"/>
  <c r="J34" i="1"/>
  <c r="I38" i="1"/>
  <c r="Q38" i="1" s="1"/>
  <c r="Q39" i="1" l="1"/>
  <c r="J32" i="1"/>
  <c r="E44" i="1"/>
  <c r="J44" i="1" s="1"/>
  <c r="D37" i="1"/>
  <c r="E37" i="1" s="1"/>
  <c r="Q49" i="1"/>
  <c r="S49" i="1"/>
  <c r="E45" i="1"/>
  <c r="J45" i="1" s="1"/>
  <c r="F37" i="1"/>
  <c r="I51" i="1"/>
  <c r="E39" i="1"/>
  <c r="D38" i="1"/>
  <c r="E38" i="1"/>
  <c r="D39" i="1"/>
  <c r="D51" i="1" l="1"/>
  <c r="E51" i="1"/>
  <c r="J39" i="1"/>
  <c r="J38" i="1"/>
  <c r="K43" i="1"/>
  <c r="J37" i="1"/>
  <c r="Q51" i="1"/>
  <c r="I47" i="1"/>
  <c r="I48" i="1" s="1"/>
  <c r="D48" i="1" s="1"/>
  <c r="U49" i="1"/>
  <c r="T49" i="1" s="1"/>
  <c r="J51" i="1" l="1"/>
  <c r="D49" i="1"/>
  <c r="E49" i="1"/>
  <c r="E47" i="1"/>
  <c r="Q47" i="1"/>
  <c r="D47" i="1"/>
  <c r="S50" i="1"/>
  <c r="Q50" i="1"/>
  <c r="Q48" i="1"/>
  <c r="E48" i="1"/>
  <c r="J48" i="1" s="1"/>
  <c r="J47" i="1" l="1"/>
  <c r="J49" i="1"/>
  <c r="H4" i="1" s="1"/>
  <c r="U50" i="1"/>
  <c r="T50" i="1" s="1"/>
  <c r="H4" i="3"/>
  <c r="D50" i="1" l="1"/>
  <c r="E50" i="1"/>
  <c r="H4" i="2"/>
  <c r="J50" i="1" l="1"/>
</calcChain>
</file>

<file path=xl/sharedStrings.xml><?xml version="1.0" encoding="utf-8"?>
<sst xmlns="http://schemas.openxmlformats.org/spreadsheetml/2006/main" count="1257" uniqueCount="317">
  <si>
    <t>Nominaal thermisch ingangsvermogen</t>
  </si>
  <si>
    <t>MWth</t>
  </si>
  <si>
    <t>Gemiddelde belasting</t>
  </si>
  <si>
    <t>uren/jaar</t>
  </si>
  <si>
    <t>Bedrijfstijd</t>
  </si>
  <si>
    <t>Zuurstofconcentratie</t>
  </si>
  <si>
    <t>%</t>
  </si>
  <si>
    <t>Zware stookolie</t>
  </si>
  <si>
    <t>Kolen</t>
  </si>
  <si>
    <t>Hout (10% vocht)</t>
  </si>
  <si>
    <t>Hout (30% vocht)</t>
  </si>
  <si>
    <t>Hout (50% vocht)</t>
  </si>
  <si>
    <t>Nm3/MJ</t>
  </si>
  <si>
    <t>NOx</t>
  </si>
  <si>
    <t>°C</t>
  </si>
  <si>
    <t>Soortelijke warmte nat rookgas</t>
  </si>
  <si>
    <t>CO2 Nm3/Nm3</t>
  </si>
  <si>
    <t>H2O in Nm3/Nm3</t>
  </si>
  <si>
    <t>stw</t>
  </si>
  <si>
    <t>stoch luchtverbruik</t>
  </si>
  <si>
    <t>Rookgasdebiet</t>
  </si>
  <si>
    <t>Emissie</t>
  </si>
  <si>
    <t>Dichtheid nat rookgas</t>
  </si>
  <si>
    <t>Nat rookgasdebiet</t>
  </si>
  <si>
    <t>Referentie zuurstofconcentratie</t>
  </si>
  <si>
    <t>SO2</t>
  </si>
  <si>
    <t>CxHy</t>
  </si>
  <si>
    <t>CO</t>
  </si>
  <si>
    <t>vppm</t>
  </si>
  <si>
    <t>Gemiddelde rookgastemperatuur</t>
  </si>
  <si>
    <t>CO2 Nm3/MJ</t>
  </si>
  <si>
    <t>H2O Nm3/MJ</t>
  </si>
  <si>
    <t>luchtfactor</t>
  </si>
  <si>
    <t>Lucht Nm3/MJ</t>
  </si>
  <si>
    <t>Nat rookgas</t>
  </si>
  <si>
    <t>Droog rookgas</t>
  </si>
  <si>
    <t>Uitstroomsnelheid</t>
  </si>
  <si>
    <t>rookgasgegevens (installatie+temperatuur)</t>
  </si>
  <si>
    <t>installatiegegevens (MW,tijd,belasting)</t>
  </si>
  <si>
    <t>O2-concentratiegegevens (O2+installatie)</t>
  </si>
  <si>
    <t>Concentratiegegevens (O2+Nox)</t>
  </si>
  <si>
    <t>vracht Nox (O2+Nox+installatie)</t>
  </si>
  <si>
    <t>Valide versie?</t>
  </si>
  <si>
    <t>component</t>
  </si>
  <si>
    <t>mg/Nm³</t>
  </si>
  <si>
    <t>Actuele zuurstofconcentratie in droog rookgas</t>
  </si>
  <si>
    <t>vol%</t>
  </si>
  <si>
    <t>Uitstroomoppervlak schoorsteen</t>
  </si>
  <si>
    <t>Droog rookgasdebiet</t>
  </si>
  <si>
    <t>CO2-debiet</t>
  </si>
  <si>
    <t>MFO</t>
  </si>
  <si>
    <t>Onderste verbrandingswaarde</t>
  </si>
  <si>
    <t>kJ/Nm3</t>
  </si>
  <si>
    <t>kJ/kg</t>
  </si>
  <si>
    <t>MJ/Nm3</t>
  </si>
  <si>
    <t>MJ/kg</t>
  </si>
  <si>
    <t>Bovenste verbrandingswaarde</t>
  </si>
  <si>
    <t>Wobbe-index</t>
  </si>
  <si>
    <t>Berekeningsmethode</t>
  </si>
  <si>
    <t>Koolstofdioxide</t>
  </si>
  <si>
    <t>Nm3/Nm3</t>
  </si>
  <si>
    <t>Nm3/kg</t>
  </si>
  <si>
    <t>Waterdamp</t>
  </si>
  <si>
    <t>Brandstofstikstof</t>
  </si>
  <si>
    <t>Zwaveldioxide</t>
  </si>
  <si>
    <t>Stoichiometrisch luchtverbruik</t>
  </si>
  <si>
    <t>mol C/kg</t>
  </si>
  <si>
    <t>(MJ/kmol)</t>
  </si>
  <si>
    <t>(m03)</t>
  </si>
  <si>
    <t>C</t>
  </si>
  <si>
    <t>H</t>
  </si>
  <si>
    <t>O</t>
  </si>
  <si>
    <t>N</t>
  </si>
  <si>
    <t>S</t>
  </si>
  <si>
    <t>Helium</t>
  </si>
  <si>
    <t>mol%</t>
  </si>
  <si>
    <t>mol H/kg</t>
  </si>
  <si>
    <t>Argon</t>
  </si>
  <si>
    <t>mol N/kg</t>
  </si>
  <si>
    <t>mol S/kg</t>
  </si>
  <si>
    <t>Waterstof</t>
  </si>
  <si>
    <t>mol O/kg</t>
  </si>
  <si>
    <t>C (gew%)</t>
  </si>
  <si>
    <t>C (gew%,droog)</t>
  </si>
  <si>
    <t>Stikstof</t>
  </si>
  <si>
    <t>H (gew%)</t>
  </si>
  <si>
    <t>H (gew%,droog)</t>
  </si>
  <si>
    <t>Zuurstof</t>
  </si>
  <si>
    <t>N (gew%)</t>
  </si>
  <si>
    <t>N (gew%,droog)</t>
  </si>
  <si>
    <t>Methaan</t>
  </si>
  <si>
    <t>S (gew%)</t>
  </si>
  <si>
    <t>S (gew%,droog)</t>
  </si>
  <si>
    <t>Koolstofmonoxide</t>
  </si>
  <si>
    <t>As (gew%)</t>
  </si>
  <si>
    <t>O (gew% droog)</t>
  </si>
  <si>
    <t>Vochtgehalte</t>
  </si>
  <si>
    <t>Ethaan</t>
  </si>
  <si>
    <t>Propaan</t>
  </si>
  <si>
    <t>2-Methylpropaan</t>
  </si>
  <si>
    <t>2,2-Dimethylpropaan</t>
  </si>
  <si>
    <t>2-Methylbutaan</t>
  </si>
  <si>
    <t>2,2-Dimethylbutaan</t>
  </si>
  <si>
    <t>2,3-Dimethylbutaan</t>
  </si>
  <si>
    <t>3-Methylpentaan</t>
  </si>
  <si>
    <t>Cyclohexaan</t>
  </si>
  <si>
    <t>Benzeen</t>
  </si>
  <si>
    <t>2-Methylhexaan</t>
  </si>
  <si>
    <t>3-Methylhexaan</t>
  </si>
  <si>
    <t>Methylcyclohexaan</t>
  </si>
  <si>
    <t>Tolueen</t>
  </si>
  <si>
    <t>2,2,4-Trimethylpentaan</t>
  </si>
  <si>
    <t>Totaal</t>
  </si>
  <si>
    <t>Stoichiometrisch verbranding</t>
  </si>
  <si>
    <t>Zuurstofverbruik (mol/mol)</t>
  </si>
  <si>
    <t>Zuurstofverbruik</t>
  </si>
  <si>
    <t>mol/kg</t>
  </si>
  <si>
    <t>Droog luchtverbruik</t>
  </si>
  <si>
    <t>Rookgasdebiet (droog)</t>
  </si>
  <si>
    <t>Rookgasdebiet (nat)</t>
  </si>
  <si>
    <t>DIN1942</t>
  </si>
  <si>
    <t>mol C/mol</t>
  </si>
  <si>
    <t>mol H/mol</t>
  </si>
  <si>
    <t>mol N/mol</t>
  </si>
  <si>
    <t>mol S/mol</t>
  </si>
  <si>
    <t>mol O/mol</t>
  </si>
  <si>
    <t>O (gew%)</t>
  </si>
  <si>
    <t>As (gew% droog)</t>
  </si>
  <si>
    <t>MJ/kmol</t>
  </si>
  <si>
    <t>Molgewicht</t>
  </si>
  <si>
    <t>Compressibiliteit</t>
  </si>
  <si>
    <t>Molair volume op basis van compressibiliteit</t>
  </si>
  <si>
    <t>,,  ,, op individuele molaire volumes</t>
  </si>
  <si>
    <t>Dichtheid</t>
  </si>
  <si>
    <t>kg/Nm3</t>
  </si>
  <si>
    <t>Relatieve dichtheid</t>
  </si>
  <si>
    <t>Parameter</t>
  </si>
  <si>
    <t>Component</t>
  </si>
  <si>
    <t>concentratie</t>
  </si>
  <si>
    <t>Brandstofgegevens</t>
  </si>
  <si>
    <t>Stoichiometrisch droog rookgasvolume</t>
  </si>
  <si>
    <t>Analysedata</t>
  </si>
  <si>
    <t>Gasvormige brandstof: analyse in mol%</t>
  </si>
  <si>
    <t>Vloeibare brandstof: analyse in mol/kg</t>
  </si>
  <si>
    <t>Vaste brandstof: analyse in mol/kg</t>
  </si>
  <si>
    <t>Vloeibare brandstof: analyse in gew%</t>
  </si>
  <si>
    <t>Vaste brandstof: analyse in (gew% droog)</t>
  </si>
  <si>
    <t>Waterstofsulfide</t>
  </si>
  <si>
    <t>Etheen</t>
  </si>
  <si>
    <t>Ethyn</t>
  </si>
  <si>
    <t>Propeen</t>
  </si>
  <si>
    <t>Butadieen</t>
  </si>
  <si>
    <t>Omschrijving gasvormige brandstof</t>
  </si>
  <si>
    <t>Omschrijving vloeibare brandstof</t>
  </si>
  <si>
    <t>Omschrijving vaste brandstof</t>
  </si>
  <si>
    <t>Verbrandingsparameters</t>
  </si>
  <si>
    <t>Analyse</t>
  </si>
  <si>
    <t>Brandstoftype</t>
  </si>
  <si>
    <t>Cyclopentaan</t>
  </si>
  <si>
    <t>2-Methylheptaan</t>
  </si>
  <si>
    <t>Biogas (40% CH4 / 60% CO2)</t>
  </si>
  <si>
    <t>Biogas (50% CH4 / 50% CO2)</t>
  </si>
  <si>
    <t>Biogas (60% CH4 / 40% CO2)</t>
  </si>
  <si>
    <t>gasvormig?</t>
  </si>
  <si>
    <t>C4</t>
  </si>
  <si>
    <t>C5</t>
  </si>
  <si>
    <t>C6</t>
  </si>
  <si>
    <t>C7</t>
  </si>
  <si>
    <t>C8</t>
  </si>
  <si>
    <t>Analyse-eenheid</t>
  </si>
  <si>
    <t>Referentiecondities</t>
  </si>
  <si>
    <t>Emissiegegevens van de stookinstallatie</t>
  </si>
  <si>
    <t>Gegevens van de stookinstallatie</t>
  </si>
  <si>
    <t>O2 ref</t>
  </si>
  <si>
    <t>Onderste verbrandingswaarde (stookwaarde)</t>
  </si>
  <si>
    <t>Berekende onderste verbrandingswaarde (stookwaarde)</t>
  </si>
  <si>
    <t>theoretische SO2-concentratie</t>
  </si>
  <si>
    <t>vol% waterdamp in lucht</t>
  </si>
  <si>
    <t>Combustion plant data</t>
  </si>
  <si>
    <t>Emission data of the combustion plant</t>
  </si>
  <si>
    <t>Reference conditions</t>
  </si>
  <si>
    <t>Dry flue gas</t>
  </si>
  <si>
    <t>Wet flue gas</t>
  </si>
  <si>
    <t>Berekende emissies</t>
  </si>
  <si>
    <t>Calculated emissions</t>
  </si>
  <si>
    <t>Total rated input</t>
  </si>
  <si>
    <t>Operating time</t>
  </si>
  <si>
    <t>Average load</t>
  </si>
  <si>
    <t>Average flue gas temperature</t>
  </si>
  <si>
    <t>Cross section of the duct</t>
  </si>
  <si>
    <t>hrs/year</t>
  </si>
  <si>
    <t>Pollutant</t>
  </si>
  <si>
    <t>Oxygen concentration in dry flue gas</t>
  </si>
  <si>
    <t>Reference oxygen concentration</t>
  </si>
  <si>
    <t>vol% (droog rookgas)</t>
  </si>
  <si>
    <t>vol% (dry flue gas)</t>
  </si>
  <si>
    <t>Referentietemperatuur voor warmteberekening</t>
  </si>
  <si>
    <t>Reference temperature for calculation of stack loss</t>
  </si>
  <si>
    <t>CO2-flow</t>
  </si>
  <si>
    <t>Nm³/MJ</t>
  </si>
  <si>
    <t>Dry flue gas flow</t>
  </si>
  <si>
    <t>Kooldioxide-concentratie</t>
  </si>
  <si>
    <t>Density wet flue gas</t>
  </si>
  <si>
    <t>Carbondioxide concentration</t>
  </si>
  <si>
    <t>Oxygen concentration</t>
  </si>
  <si>
    <t>Wet flue gas flow</t>
  </si>
  <si>
    <t>Specific heat</t>
  </si>
  <si>
    <t>Flue gas flow</t>
  </si>
  <si>
    <t>Flue gas velocity</t>
  </si>
  <si>
    <t>Brandstof analyse</t>
  </si>
  <si>
    <t>Analysis of the fuel</t>
  </si>
  <si>
    <t>Combustion parameters</t>
  </si>
  <si>
    <t>Type of fuel</t>
  </si>
  <si>
    <t>Calculation method</t>
  </si>
  <si>
    <t>Gasvormige brandstof</t>
  </si>
  <si>
    <t>Vloeibare brandstof</t>
  </si>
  <si>
    <t>Vaste Brandstof</t>
  </si>
  <si>
    <t>Standaard brandstof - biogas</t>
  </si>
  <si>
    <t>Standaard brandstof hout</t>
  </si>
  <si>
    <t>Berekende brandstofparameters</t>
  </si>
  <si>
    <t>Eigenschappen gasvormige brandstofcomponneten</t>
  </si>
  <si>
    <t>Pull down invoergegevens</t>
  </si>
  <si>
    <t>Stuurparameters</t>
  </si>
  <si>
    <t>Componentgegevens</t>
  </si>
  <si>
    <t>Versie</t>
  </si>
  <si>
    <t>Houdbaarheidsdatum</t>
  </si>
  <si>
    <t>Taal</t>
  </si>
  <si>
    <t xml:space="preserve">Scrollbar en daaruit berekende waarden  </t>
  </si>
  <si>
    <t>Oude brandstoffen</t>
  </si>
  <si>
    <t>Nl kolom H</t>
  </si>
  <si>
    <t>En kolom H</t>
  </si>
  <si>
    <t>Parameters brandstof 1</t>
  </si>
  <si>
    <t>Parameters brandstof 2</t>
  </si>
  <si>
    <t>Omschrijving</t>
  </si>
  <si>
    <t>Parameters brandstof mengsel</t>
  </si>
  <si>
    <t>Aandeel brandstof2</t>
  </si>
  <si>
    <t>SO2 Nm3/MJ</t>
  </si>
  <si>
    <t>Brandstof(fen)</t>
  </si>
  <si>
    <t>Fuel(s)</t>
  </si>
  <si>
    <t>Identification</t>
  </si>
  <si>
    <t xml:space="preserve">● Use the scroll bar to adapt the yearly operating time.
</t>
  </si>
  <si>
    <t>● Adapt the average load using the scroll bar.</t>
  </si>
  <si>
    <t xml:space="preserve">●  Pas met de schuifbalk het aantal bedrijfsuren aan. </t>
  </si>
  <si>
    <t xml:space="preserve">●  Gebruik de schuifbalk om de gemiddelde belasting aan te passen. </t>
  </si>
  <si>
    <t>●  Voer de gegevens van het emissiepunt in.</t>
  </si>
  <si>
    <t>NL kolom k</t>
  </si>
  <si>
    <t>En kolom K</t>
  </si>
  <si>
    <t>Aanwijzingen voor gebruik van dit werkblad</t>
  </si>
  <si>
    <t>● Enter the measured concentrations or the emission limit value in the yellow cells</t>
  </si>
  <si>
    <t>● Vul de gemeten concentraties of de emissie-eis in de gele cellen in</t>
  </si>
  <si>
    <t xml:space="preserve">● Enter the emission point data in the yellow cells. </t>
  </si>
  <si>
    <t>Instructions for the use of this worksheet</t>
  </si>
  <si>
    <t>Nl kolom I</t>
  </si>
  <si>
    <t>En kolom I</t>
  </si>
  <si>
    <t>Nl kolom K</t>
  </si>
  <si>
    <t>En kolom L</t>
  </si>
  <si>
    <t>● Selecteer het type brandstof en voer de omschrijving in.</t>
  </si>
  <si>
    <t>● For liquid and solid fuels it is required to enter the lower calorific value. For gasseous fuels this is not necessary, because the lower heating value is calculated from the composition of the fuel.</t>
  </si>
  <si>
    <t>● Voor vloeibare en vaste brandstoffen moet u de stookwaarde in kJ/kg invoeren. Voor gasvormige brandstoffen is dat niet verplicht, omdat de stookwaarde wordt berekend op basis van de samenstelling.</t>
  </si>
  <si>
    <t>● Select the units of the analysis data.</t>
  </si>
  <si>
    <t>● Selecteer de eenheid van de analyseresultaten die u gaat invoeren.</t>
  </si>
  <si>
    <t>The data for the calculation of the combustion parameters are entered via the pull down menu in column H and in the yellow cells in column I. The calculated combustion parameters are given in I10..I22.</t>
  </si>
  <si>
    <t>onbekend</t>
  </si>
  <si>
    <t xml:space="preserve">Met de pulldownmenu's in kolom H en de gele cellen in kolom I voert u de gegevens van de brandstof in. De berekende verbrandingsparameters staan in I10..I22. </t>
  </si>
  <si>
    <t>samenstelling</t>
  </si>
  <si>
    <t>invoer</t>
  </si>
  <si>
    <t>temperatuur</t>
  </si>
  <si>
    <t>Energy consumption</t>
  </si>
  <si>
    <t>Energieverbruik</t>
  </si>
  <si>
    <t>Eigenschappen gasvormige brandstofcomponenten</t>
  </si>
  <si>
    <t xml:space="preserve">● Use the scroll bar to adapt the reference oxygen concentration.
</t>
  </si>
  <si>
    <t>En kolom J</t>
  </si>
  <si>
    <t>Nl kolom J</t>
  </si>
  <si>
    <t xml:space="preserve">● Pas met de schuifbalk de referentie zuurstofconcentratie aan. </t>
  </si>
  <si>
    <t>● Pas de modus in cel K2 aan om deze parameter(s) te wijzigen.</t>
  </si>
  <si>
    <t xml:space="preserve">● Adapt the mode in cel K2 in order to change the parameter(s). </t>
  </si>
  <si>
    <t>mg/m³</t>
  </si>
  <si>
    <t>● Voer met de pulldownmenu's en de gele cellen in kolom I de informatie over de installatie, brandstoffen en emissies in.</t>
  </si>
  <si>
    <t>● Enter the information about the combustion plant, the fuel and the emission using the pull down menu's and the yellow cells in column I.</t>
  </si>
  <si>
    <r>
      <t>MJ/Nm</t>
    </r>
    <r>
      <rPr>
        <sz val="11"/>
        <color indexed="8"/>
        <rFont val="Verdana"/>
        <family val="2"/>
      </rPr>
      <t>³</t>
    </r>
  </si>
  <si>
    <r>
      <t>MJ/Nm</t>
    </r>
    <r>
      <rPr>
        <sz val="11"/>
        <rFont val="Verdana"/>
        <family val="2"/>
      </rPr>
      <t>³</t>
    </r>
  </si>
  <si>
    <r>
      <t>Nm</t>
    </r>
    <r>
      <rPr>
        <sz val="11"/>
        <rFont val="Verdana"/>
        <family val="2"/>
      </rPr>
      <t>³</t>
    </r>
    <r>
      <rPr>
        <sz val="11"/>
        <rFont val="Times New Roman"/>
        <family val="1"/>
      </rPr>
      <t>/MJ</t>
    </r>
  </si>
  <si>
    <r>
      <t>Nm</t>
    </r>
    <r>
      <rPr>
        <sz val="11"/>
        <rFont val="Verdana"/>
        <family val="2"/>
      </rPr>
      <t>³</t>
    </r>
    <r>
      <rPr>
        <sz val="11"/>
        <rFont val="Times New Roman"/>
        <family val="1"/>
      </rPr>
      <t>/Nm</t>
    </r>
    <r>
      <rPr>
        <sz val="11"/>
        <rFont val="Verdana"/>
        <family val="2"/>
      </rPr>
      <t>³</t>
    </r>
  </si>
  <si>
    <r>
      <t>Nm</t>
    </r>
    <r>
      <rPr>
        <sz val="11"/>
        <rFont val="Verdana"/>
        <family val="2"/>
      </rPr>
      <t>³</t>
    </r>
    <r>
      <rPr>
        <sz val="11"/>
        <rFont val="Times New Roman"/>
        <family val="1"/>
      </rPr>
      <t>/kg</t>
    </r>
  </si>
  <si>
    <r>
      <t>kJ/Nm</t>
    </r>
    <r>
      <rPr>
        <sz val="11"/>
        <rFont val="Verdana"/>
        <family val="2"/>
      </rPr>
      <t>³</t>
    </r>
  </si>
  <si>
    <t>Nm³/kg</t>
  </si>
  <si>
    <t>MJ/Nm³</t>
  </si>
  <si>
    <t>zichtbaar</t>
  </si>
  <si>
    <t>kleur</t>
  </si>
  <si>
    <t>Format</t>
  </si>
  <si>
    <t>Flue gas flow (dry)</t>
  </si>
  <si>
    <t>% (op basis van energie)</t>
  </si>
  <si>
    <t>% (based upon energy)</t>
  </si>
  <si>
    <t>Met het werkblad &lt;Fuel1&gt; kunnen de verbrandingsparameters van een eigen brandstof 1 worden berekenend die noodzakelijk zijn voor de emissieberekeningen in het werkblad &lt;Combustion Emissions&gt;.</t>
  </si>
  <si>
    <t>The worksheet &lt;Fuel1&gt; calculates the combustion parameter of a specified fuel 1 required for the emission calculations in worksheet &lt;Combustion Emissions&gt;.</t>
  </si>
  <si>
    <t>The worksheet &lt;Fuel2&gt; calculates the combustion parameter of a specified fuel 2 required for the emission calculations in worksheet &lt;Combustion Emissions&gt;.</t>
  </si>
  <si>
    <t>Met het werkblad &lt;Fuel2&gt; kunnen de verbrandingsparameters van een eigen brandstof 2 worden berekenend die noodzakelijk zijn voor de emissieberekeningen in het werkblad &lt;Combustion Emissions&gt;.</t>
  </si>
  <si>
    <t>Secundaire brandstof</t>
  </si>
  <si>
    <t>Secondary fuel</t>
  </si>
  <si>
    <t>Brandstof</t>
  </si>
  <si>
    <t>Fuel</t>
  </si>
  <si>
    <t>Percentage secondary fuel</t>
  </si>
  <si>
    <t>Aandeel secundaire brandstof</t>
  </si>
  <si>
    <t>g/GJ</t>
  </si>
  <si>
    <t xml:space="preserve">Met dit werkblad kunnen emissieberekeningen aan stookinstallaties worden uitgevoerd. Naast het omrekenen van meetresultaten naar standaard condities is het ook mogelijk om de emissievracht en de warmte-emissie te berekenen. De berekende waarden kunnen als invoer worden gebruikt voor depositieberekeningen met Aerius.  Het aantal standaard waarden dat aangepast kan worden en het aantal berekende waarden dat wordt gepresenteerd, is afhankelijk van de modus. De modus kan worden aangepast in cel K2. De eenvoudige modus is bedoeld voor de beginnende gebruiker. De uitgebreide modus geeft de ervaren gebruiker de mogelijkheid om alle standaard waarden in te stellen voor een specifieke situatie. </t>
  </si>
  <si>
    <t>This worksheet can be used to perform emission calculations, e.g. converting measured data to concentrations at standard conditions, the calculation of hourly and yearly emissions of pollutants and the heat emission. These data are needed for deposition calculations with Aerius.  The number of standard values that can be adapted and the presented calculated data, depend on the chosen mode. The mode can be selected in cell K2. The simple mode is meant for the starting user. In the extended mode the experienced user can change all standard values for a specific situation.</t>
  </si>
  <si>
    <t>Type</t>
  </si>
  <si>
    <t>Fuel1</t>
  </si>
  <si>
    <t>Fuel2</t>
  </si>
  <si>
    <t>Keuze</t>
  </si>
  <si>
    <t>keuze</t>
  </si>
  <si>
    <t>kolom</t>
  </si>
  <si>
    <t/>
  </si>
  <si>
    <t>● Select the type of fuel and enter the description.</t>
  </si>
  <si>
    <t>lbs/mmscf</t>
  </si>
  <si>
    <t>x</t>
  </si>
  <si>
    <t>Selecteer voorbeeld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</si>
</sst>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000"/>
    <numFmt numFmtId="168" formatCode=";;;"/>
  </numFmts>
  <fonts count="23" x14ac:knownFonts="1">
    <font>
      <sz val="11"/>
      <color theme="1"/>
      <name val="Calibri"/>
      <family val="2"/>
      <scheme val="minor"/>
    </font>
    <font>
      <sz val="9"/>
      <color indexed="8"/>
      <name val="Times New Roman"/>
      <family val="1"/>
    </font>
    <font>
      <sz val="11"/>
      <name val="Times New Roman"/>
      <family val="1"/>
    </font>
    <font>
      <sz val="11"/>
      <name val="Courier"/>
      <family val="3"/>
    </font>
    <font>
      <sz val="11"/>
      <color indexed="8"/>
      <name val="Verdana"/>
      <family val="2"/>
    </font>
    <font>
      <sz val="11"/>
      <name val="Verdana"/>
      <family val="2"/>
    </font>
    <font>
      <sz val="11"/>
      <color theme="1"/>
      <name val="Calibri"/>
      <family val="2"/>
      <scheme val="minor"/>
    </font>
    <font>
      <sz val="11"/>
      <color theme="1"/>
      <name val="Times New Roman"/>
      <family val="1"/>
    </font>
    <font>
      <b/>
      <sz val="11"/>
      <color rgb="FF000080"/>
      <name val="Times New Roman"/>
      <family val="1"/>
    </font>
    <font>
      <b/>
      <sz val="11"/>
      <color rgb="FFFFFF00"/>
      <name val="Times New Roman"/>
      <family val="1"/>
    </font>
    <font>
      <sz val="9"/>
      <color rgb="FF003399"/>
      <name val="Times New Roman"/>
      <family val="1"/>
    </font>
    <font>
      <sz val="11"/>
      <color rgb="FF003399"/>
      <name val="Times New Roman"/>
      <family val="1"/>
    </font>
    <font>
      <b/>
      <sz val="11"/>
      <color rgb="FF003399"/>
      <name val="Times New Roman"/>
      <family val="1"/>
    </font>
    <font>
      <b/>
      <sz val="24"/>
      <color rgb="FF000080"/>
      <name val="Times New Roman"/>
      <family val="1"/>
    </font>
    <font>
      <b/>
      <sz val="11"/>
      <color theme="0"/>
      <name val="Times New Roman"/>
      <family val="1"/>
    </font>
    <font>
      <sz val="11"/>
      <color theme="1"/>
      <name val="Verdana"/>
      <family val="2"/>
    </font>
    <font>
      <sz val="9"/>
      <color rgb="FFFF0000"/>
      <name val="Times New Roman"/>
      <family val="1"/>
    </font>
    <font>
      <b/>
      <sz val="9"/>
      <color theme="0"/>
      <name val="Times New Roman"/>
      <family val="1"/>
    </font>
    <font>
      <sz val="8"/>
      <color theme="1"/>
      <name val="Times New Roman"/>
      <family val="1"/>
    </font>
    <font>
      <sz val="11"/>
      <color rgb="FFC00000"/>
      <name val="Times New Roman"/>
      <family val="1"/>
    </font>
    <font>
      <sz val="9"/>
      <color rgb="FFFFFF00"/>
      <name val="Times New Roman"/>
      <family val="1"/>
    </font>
    <font>
      <sz val="11"/>
      <color rgb="FF000080"/>
      <name val="Times New Roman"/>
      <family val="1"/>
    </font>
    <font>
      <sz val="9"/>
      <color rgb="FF000080"/>
      <name val="Times New Roman"/>
      <family val="1"/>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006699"/>
        <bgColor indexed="64"/>
      </patternFill>
    </fill>
    <fill>
      <patternFill patternType="solid">
        <fgColor rgb="FFB7DEE8"/>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tint="-0.14999847407452621"/>
        <bgColor indexed="64"/>
      </patternFill>
    </fill>
  </fills>
  <borders count="98">
    <border>
      <left/>
      <right/>
      <top/>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top style="dashed">
        <color indexed="64"/>
      </top>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dashed">
        <color indexed="64"/>
      </top>
      <bottom/>
      <diagonal/>
    </border>
    <border>
      <left style="medium">
        <color indexed="64"/>
      </left>
      <right/>
      <top/>
      <bottom style="dashed">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ashed">
        <color indexed="64"/>
      </top>
      <bottom/>
      <diagonal/>
    </border>
    <border>
      <left style="thin">
        <color indexed="64"/>
      </left>
      <right style="medium">
        <color indexed="64"/>
      </right>
      <top/>
      <bottom style="dashed">
        <color indexed="64"/>
      </bottom>
      <diagonal/>
    </border>
    <border>
      <left/>
      <right style="medium">
        <color indexed="64"/>
      </right>
      <top/>
      <bottom style="dotted">
        <color indexed="64"/>
      </bottom>
      <diagonal/>
    </border>
    <border>
      <left/>
      <right/>
      <top style="medium">
        <color indexed="64"/>
      </top>
      <bottom style="medium">
        <color indexed="64"/>
      </bottom>
      <diagonal/>
    </border>
    <border>
      <left/>
      <right style="thin">
        <color indexed="64"/>
      </right>
      <top/>
      <bottom style="dotted">
        <color indexed="64"/>
      </bottom>
      <diagonal/>
    </border>
    <border>
      <left/>
      <right/>
      <top/>
      <bottom style="medium">
        <color rgb="FF003399"/>
      </bottom>
      <diagonal/>
    </border>
    <border>
      <left/>
      <right/>
      <top/>
      <bottom style="medium">
        <color rgb="FF000080"/>
      </bottom>
      <diagonal/>
    </border>
    <border>
      <left/>
      <right/>
      <top style="dashed">
        <color rgb="FF000080"/>
      </top>
      <bottom/>
      <diagonal/>
    </border>
    <border>
      <left/>
      <right/>
      <top style="dashed">
        <color rgb="FF000080"/>
      </top>
      <bottom style="medium">
        <color rgb="FF000080"/>
      </bottom>
      <diagonal/>
    </border>
    <border>
      <left/>
      <right/>
      <top/>
      <bottom style="dashed">
        <color rgb="FF000080"/>
      </bottom>
      <diagonal/>
    </border>
    <border>
      <left/>
      <right/>
      <top style="medium">
        <color rgb="FF000080"/>
      </top>
      <bottom style="medium">
        <color indexed="64"/>
      </bottom>
      <diagonal/>
    </border>
    <border>
      <left/>
      <right/>
      <top style="medium">
        <color rgb="FF000080"/>
      </top>
      <bottom style="medium">
        <color rgb="FF000080"/>
      </bottom>
      <diagonal/>
    </border>
    <border>
      <left style="thin">
        <color rgb="FF000080"/>
      </left>
      <right/>
      <top/>
      <bottom/>
      <diagonal/>
    </border>
    <border>
      <left/>
      <right/>
      <top style="medium">
        <color rgb="FF000080"/>
      </top>
      <bottom style="thin">
        <color rgb="FF000080"/>
      </bottom>
      <diagonal/>
    </border>
    <border>
      <left/>
      <right/>
      <top/>
      <bottom style="dotted">
        <color rgb="FF000080"/>
      </bottom>
      <diagonal/>
    </border>
    <border>
      <left/>
      <right/>
      <top style="dotted">
        <color rgb="FF000080"/>
      </top>
      <bottom/>
      <diagonal/>
    </border>
    <border>
      <left/>
      <right/>
      <top style="thin">
        <color rgb="FF000080"/>
      </top>
      <bottom style="medium">
        <color rgb="FF000080"/>
      </bottom>
      <diagonal/>
    </border>
    <border>
      <left/>
      <right style="medium">
        <color rgb="FF000080"/>
      </right>
      <top/>
      <bottom/>
      <diagonal/>
    </border>
    <border>
      <left/>
      <right style="medium">
        <color rgb="FF000080"/>
      </right>
      <top/>
      <bottom style="medium">
        <color rgb="FF000080"/>
      </bottom>
      <diagonal/>
    </border>
    <border>
      <left/>
      <right style="thin">
        <color rgb="FF000080"/>
      </right>
      <top/>
      <bottom/>
      <diagonal/>
    </border>
    <border>
      <left/>
      <right style="thin">
        <color rgb="FF000080"/>
      </right>
      <top/>
      <bottom style="dashed">
        <color rgb="FF000080"/>
      </bottom>
      <diagonal/>
    </border>
    <border>
      <left/>
      <right style="thin">
        <color rgb="FF000080"/>
      </right>
      <top style="dashed">
        <color rgb="FF000080"/>
      </top>
      <bottom/>
      <diagonal/>
    </border>
    <border>
      <left/>
      <right style="thin">
        <color rgb="FF000080"/>
      </right>
      <top/>
      <bottom style="medium">
        <color rgb="FF003399"/>
      </bottom>
      <diagonal/>
    </border>
    <border>
      <left style="thin">
        <color rgb="FF000080"/>
      </left>
      <right/>
      <top/>
      <bottom style="medium">
        <color rgb="FF000080"/>
      </bottom>
      <diagonal/>
    </border>
    <border>
      <left/>
      <right style="thin">
        <color rgb="FF000080"/>
      </right>
      <top/>
      <bottom style="medium">
        <color rgb="FF000080"/>
      </bottom>
      <diagonal/>
    </border>
    <border>
      <left/>
      <right style="thin">
        <color rgb="FF000080"/>
      </right>
      <top style="dashed">
        <color rgb="FF000080"/>
      </top>
      <bottom style="medium">
        <color rgb="FF000080"/>
      </bottom>
      <diagonal/>
    </border>
    <border>
      <left style="thin">
        <color rgb="FF000080"/>
      </left>
      <right/>
      <top/>
      <bottom style="dotted">
        <color rgb="FF000080"/>
      </bottom>
      <diagonal/>
    </border>
    <border>
      <left/>
      <right style="thin">
        <color rgb="FF000080"/>
      </right>
      <top/>
      <bottom style="dotted">
        <color rgb="FF000080"/>
      </bottom>
      <diagonal/>
    </border>
    <border>
      <left style="thin">
        <color rgb="FF000080"/>
      </left>
      <right/>
      <top style="dotted">
        <color rgb="FF000080"/>
      </top>
      <bottom/>
      <diagonal/>
    </border>
    <border>
      <left/>
      <right style="thin">
        <color rgb="FF000080"/>
      </right>
      <top style="dotted">
        <color rgb="FF000080"/>
      </top>
      <bottom/>
      <diagonal/>
    </border>
    <border>
      <left style="thin">
        <color rgb="FF000080"/>
      </left>
      <right/>
      <top/>
      <bottom style="dotted">
        <color indexed="64"/>
      </bottom>
      <diagonal/>
    </border>
    <border>
      <left style="thin">
        <color rgb="FF000080"/>
      </left>
      <right/>
      <top style="dotted">
        <color indexed="64"/>
      </top>
      <bottom/>
      <diagonal/>
    </border>
    <border>
      <left style="thin">
        <color rgb="FF000080"/>
      </left>
      <right/>
      <top style="thin">
        <color rgb="FF000080"/>
      </top>
      <bottom style="medium">
        <color rgb="FF000080"/>
      </bottom>
      <diagonal/>
    </border>
    <border>
      <left/>
      <right style="thin">
        <color rgb="FF000080"/>
      </right>
      <top style="thin">
        <color rgb="FF000080"/>
      </top>
      <bottom style="medium">
        <color rgb="FF000080"/>
      </bottom>
      <diagonal/>
    </border>
    <border>
      <left style="thin">
        <color rgb="FF000080"/>
      </left>
      <right/>
      <top style="medium">
        <color rgb="FF000080"/>
      </top>
      <bottom/>
      <diagonal/>
    </border>
    <border>
      <left/>
      <right/>
      <top style="medium">
        <color rgb="FF000080"/>
      </top>
      <bottom/>
      <diagonal/>
    </border>
    <border>
      <left/>
      <right style="thin">
        <color rgb="FF000080"/>
      </right>
      <top style="medium">
        <color rgb="FF000080"/>
      </top>
      <bottom/>
      <diagonal/>
    </border>
    <border>
      <left style="thin">
        <color rgb="FF000080"/>
      </left>
      <right style="thin">
        <color rgb="FF000080"/>
      </right>
      <top/>
      <bottom/>
      <diagonal/>
    </border>
    <border>
      <left style="thin">
        <color rgb="FF000080"/>
      </left>
      <right style="thin">
        <color rgb="FF000080"/>
      </right>
      <top/>
      <bottom style="dashed">
        <color indexed="64"/>
      </bottom>
      <diagonal/>
    </border>
    <border>
      <left style="thin">
        <color rgb="FF000080"/>
      </left>
      <right style="thin">
        <color rgb="FF000080"/>
      </right>
      <top style="thin">
        <color rgb="FF000080"/>
      </top>
      <bottom style="medium">
        <color rgb="FF000080"/>
      </bottom>
      <diagonal/>
    </border>
    <border>
      <left style="thin">
        <color rgb="FF000080"/>
      </left>
      <right style="thin">
        <color rgb="FF000080"/>
      </right>
      <top style="medium">
        <color rgb="FF000080"/>
      </top>
      <bottom style="thin">
        <color rgb="FF000080"/>
      </bottom>
      <diagonal/>
    </border>
    <border>
      <left style="thin">
        <color rgb="FF000080"/>
      </left>
      <right/>
      <top style="medium">
        <color rgb="FF000080"/>
      </top>
      <bottom style="medium">
        <color rgb="FF000080"/>
      </bottom>
      <diagonal/>
    </border>
    <border>
      <left/>
      <right style="medium">
        <color rgb="FF000080"/>
      </right>
      <top style="medium">
        <color rgb="FF000080"/>
      </top>
      <bottom/>
      <diagonal/>
    </border>
    <border>
      <left style="thin">
        <color rgb="FF000080"/>
      </left>
      <right/>
      <top style="medium">
        <color rgb="FF000080"/>
      </top>
      <bottom style="thin">
        <color rgb="FF000080"/>
      </bottom>
      <diagonal/>
    </border>
    <border>
      <left/>
      <right style="thin">
        <color rgb="FF000080"/>
      </right>
      <top style="medium">
        <color rgb="FF000080"/>
      </top>
      <bottom style="thin">
        <color rgb="FF000080"/>
      </bottom>
      <diagonal/>
    </border>
    <border>
      <left style="thin">
        <color rgb="FF000080"/>
      </left>
      <right style="thin">
        <color rgb="FF000080"/>
      </right>
      <top/>
      <bottom style="medium">
        <color rgb="FF000080"/>
      </bottom>
      <diagonal/>
    </border>
    <border>
      <left/>
      <right/>
      <top style="thin">
        <color rgb="FF000080"/>
      </top>
      <bottom/>
      <diagonal/>
    </border>
    <border>
      <left/>
      <right style="thin">
        <color auto="1"/>
      </right>
      <top/>
      <bottom/>
      <diagonal/>
    </border>
    <border>
      <left style="thin">
        <color auto="1"/>
      </left>
      <right/>
      <top/>
      <bottom/>
      <diagonal/>
    </border>
    <border>
      <left style="medium">
        <color rgb="FF000080"/>
      </left>
      <right/>
      <top style="medium">
        <color rgb="FF000080"/>
      </top>
      <bottom style="thin">
        <color rgb="FF000080"/>
      </bottom>
      <diagonal/>
    </border>
    <border>
      <left style="medium">
        <color rgb="FF000080"/>
      </left>
      <right/>
      <top/>
      <bottom/>
      <diagonal/>
    </border>
    <border>
      <left style="medium">
        <color rgb="FF000080"/>
      </left>
      <right/>
      <top/>
      <bottom style="medium">
        <color rgb="FF000080"/>
      </bottom>
      <diagonal/>
    </border>
    <border>
      <left style="thin">
        <color rgb="FF000080"/>
      </left>
      <right style="medium">
        <color rgb="FF000080"/>
      </right>
      <top style="medium">
        <color rgb="FF000080"/>
      </top>
      <bottom style="thin">
        <color rgb="FF000080"/>
      </bottom>
      <diagonal/>
    </border>
    <border>
      <left style="thin">
        <color rgb="FF000080"/>
      </left>
      <right style="medium">
        <color rgb="FF000080"/>
      </right>
      <top style="medium">
        <color rgb="FF000080"/>
      </top>
      <bottom/>
      <diagonal/>
    </border>
    <border>
      <left style="thin">
        <color rgb="FF000080"/>
      </left>
      <right style="medium">
        <color rgb="FF000080"/>
      </right>
      <top/>
      <bottom style="medium">
        <color rgb="FF000080"/>
      </bottom>
      <diagonal/>
    </border>
    <border>
      <left style="thin">
        <color rgb="FF000080"/>
      </left>
      <right style="medium">
        <color rgb="FF000080"/>
      </right>
      <top/>
      <bottom/>
      <diagonal/>
    </border>
    <border>
      <left style="thin">
        <color rgb="FF000080"/>
      </left>
      <right style="medium">
        <color rgb="FF000080"/>
      </right>
      <top/>
      <bottom style="dashed">
        <color rgb="FF000080"/>
      </bottom>
      <diagonal/>
    </border>
    <border>
      <left style="thin">
        <color rgb="FF000080"/>
      </left>
      <right style="medium">
        <color rgb="FF000080"/>
      </right>
      <top style="dashed">
        <color rgb="FF000080"/>
      </top>
      <bottom style="medium">
        <color rgb="FF000080"/>
      </bottom>
      <diagonal/>
    </border>
    <border>
      <left style="medium">
        <color rgb="FF000080"/>
      </left>
      <right/>
      <top style="medium">
        <color rgb="FF000080"/>
      </top>
      <bottom/>
      <diagonal/>
    </border>
    <border>
      <left style="medium">
        <color rgb="FF000080"/>
      </left>
      <right/>
      <top/>
      <bottom style="dashed">
        <color rgb="FF000080"/>
      </bottom>
      <diagonal/>
    </border>
    <border>
      <left style="medium">
        <color rgb="FF000080"/>
      </left>
      <right/>
      <top/>
      <bottom style="medium">
        <color rgb="FF003399"/>
      </bottom>
      <diagonal/>
    </border>
    <border>
      <left style="medium">
        <color rgb="FF000080"/>
      </left>
      <right/>
      <top style="dashed">
        <color rgb="FF000080"/>
      </top>
      <bottom/>
      <diagonal/>
    </border>
    <border>
      <left style="medium">
        <color rgb="FF000080"/>
      </left>
      <right/>
      <top style="dashed">
        <color rgb="FF000080"/>
      </top>
      <bottom style="medium">
        <color rgb="FF000080"/>
      </bottom>
      <diagonal/>
    </border>
    <border>
      <left/>
      <right style="thin">
        <color rgb="FF000080"/>
      </right>
      <top style="medium">
        <color rgb="FF000080"/>
      </top>
      <bottom style="medium">
        <color rgb="FF000080"/>
      </bottom>
      <diagonal/>
    </border>
    <border>
      <left style="thin">
        <color rgb="FF000080"/>
      </left>
      <right style="thin">
        <color rgb="FF000080"/>
      </right>
      <top/>
      <bottom style="dotted">
        <color rgb="FF000080"/>
      </bottom>
      <diagonal/>
    </border>
    <border>
      <left style="thin">
        <color rgb="FF000080"/>
      </left>
      <right style="thin">
        <color rgb="FF000080"/>
      </right>
      <top style="dotted">
        <color rgb="FF000080"/>
      </top>
      <bottom/>
      <diagonal/>
    </border>
    <border>
      <left style="thin">
        <color rgb="FF000080"/>
      </left>
      <right style="thin">
        <color rgb="FF000080"/>
      </right>
      <top/>
      <bottom style="dashed">
        <color rgb="FF000080"/>
      </bottom>
      <diagonal/>
    </border>
    <border>
      <left style="thin">
        <color rgb="FF000080"/>
      </left>
      <right style="medium">
        <color rgb="FF000080"/>
      </right>
      <top style="dashed">
        <color rgb="FF000080"/>
      </top>
      <bottom/>
      <diagonal/>
    </border>
  </borders>
  <cellStyleXfs count="2">
    <xf numFmtId="0" fontId="0" fillId="0" borderId="0"/>
    <xf numFmtId="9" fontId="6" fillId="0" borderId="0" applyFont="0" applyFill="0" applyBorder="0" applyAlignment="0" applyProtection="0"/>
  </cellStyleXfs>
  <cellXfs count="345">
    <xf numFmtId="0" fontId="0" fillId="0" borderId="0" xfId="0"/>
    <xf numFmtId="0" fontId="7" fillId="3" borderId="0" xfId="0" applyFont="1" applyFill="1"/>
    <xf numFmtId="0" fontId="7" fillId="0" borderId="0" xfId="0" applyFont="1"/>
    <xf numFmtId="0" fontId="7" fillId="4" borderId="0" xfId="0" applyFont="1" applyFill="1" applyBorder="1" applyProtection="1">
      <protection locked="0"/>
    </xf>
    <xf numFmtId="0" fontId="7" fillId="3" borderId="0" xfId="0" applyFont="1" applyFill="1" applyBorder="1"/>
    <xf numFmtId="11" fontId="7" fillId="3" borderId="0" xfId="0" applyNumberFormat="1" applyFont="1" applyFill="1" applyBorder="1"/>
    <xf numFmtId="2" fontId="7" fillId="3" borderId="0" xfId="0" applyNumberFormat="1" applyFont="1" applyFill="1" applyBorder="1"/>
    <xf numFmtId="168" fontId="2" fillId="3" borderId="0" xfId="0" applyNumberFormat="1" applyFont="1" applyFill="1" applyAlignment="1">
      <alignment vertical="center"/>
    </xf>
    <xf numFmtId="0" fontId="2" fillId="3" borderId="0" xfId="0" applyFont="1" applyFill="1"/>
    <xf numFmtId="0" fontId="2" fillId="3" borderId="0" xfId="0" applyFont="1" applyFill="1" applyAlignment="1">
      <alignment horizontal="right"/>
    </xf>
    <xf numFmtId="0" fontId="2" fillId="3" borderId="0" xfId="0" applyFont="1" applyFill="1" applyProtection="1"/>
    <xf numFmtId="0" fontId="2" fillId="2" borderId="0" xfId="0" applyFont="1" applyFill="1"/>
    <xf numFmtId="0" fontId="2" fillId="3" borderId="1" xfId="0" applyFont="1" applyFill="1" applyBorder="1" applyAlignment="1">
      <alignment horizontal="right"/>
    </xf>
    <xf numFmtId="0" fontId="2" fillId="3" borderId="0" xfId="0" applyFont="1" applyFill="1" applyBorder="1" applyAlignment="1">
      <alignment horizontal="right"/>
    </xf>
    <xf numFmtId="0" fontId="2" fillId="3" borderId="0" xfId="0" applyFont="1" applyFill="1" applyBorder="1" applyAlignment="1" applyProtection="1">
      <alignment horizontal="right"/>
    </xf>
    <xf numFmtId="0" fontId="2" fillId="2" borderId="0" xfId="0" applyFont="1" applyFill="1" applyProtection="1"/>
    <xf numFmtId="0" fontId="2" fillId="3" borderId="0" xfId="0" applyFont="1" applyFill="1" applyBorder="1"/>
    <xf numFmtId="0" fontId="2" fillId="3" borderId="1" xfId="0" applyFont="1" applyFill="1" applyBorder="1" applyAlignment="1" applyProtection="1">
      <alignment horizontal="right"/>
    </xf>
    <xf numFmtId="164" fontId="2" fillId="3" borderId="0" xfId="0" applyNumberFormat="1" applyFont="1" applyFill="1" applyBorder="1" applyAlignment="1">
      <alignment horizontal="right"/>
    </xf>
    <xf numFmtId="0" fontId="2" fillId="3" borderId="2" xfId="0" applyFont="1" applyFill="1" applyBorder="1" applyAlignment="1">
      <alignment horizontal="right"/>
    </xf>
    <xf numFmtId="0" fontId="2" fillId="3" borderId="2" xfId="0" applyFont="1" applyFill="1" applyBorder="1" applyAlignment="1" applyProtection="1">
      <alignment horizontal="right"/>
    </xf>
    <xf numFmtId="164" fontId="2" fillId="3" borderId="0" xfId="0" applyNumberFormat="1" applyFont="1" applyFill="1"/>
    <xf numFmtId="166" fontId="2" fillId="3" borderId="0" xfId="0" applyNumberFormat="1" applyFont="1" applyFill="1"/>
    <xf numFmtId="0" fontId="2" fillId="3" borderId="3" xfId="0" applyFont="1" applyFill="1" applyBorder="1" applyAlignment="1">
      <alignment horizontal="right"/>
    </xf>
    <xf numFmtId="0" fontId="2" fillId="2" borderId="0" xfId="0" applyFont="1" applyFill="1" applyAlignment="1" applyProtection="1">
      <alignment horizontal="right"/>
    </xf>
    <xf numFmtId="0" fontId="2" fillId="3" borderId="4" xfId="0" applyFont="1" applyFill="1" applyBorder="1" applyAlignment="1">
      <alignment horizontal="right"/>
    </xf>
    <xf numFmtId="0" fontId="2" fillId="3" borderId="5" xfId="0" applyFont="1" applyFill="1" applyBorder="1" applyAlignment="1">
      <alignment horizontal="right"/>
    </xf>
    <xf numFmtId="0" fontId="2" fillId="3" borderId="6" xfId="0" applyFont="1" applyFill="1" applyBorder="1" applyAlignment="1">
      <alignment horizontal="right"/>
    </xf>
    <xf numFmtId="2" fontId="2" fillId="3" borderId="0" xfId="0" applyNumberFormat="1" applyFont="1" applyFill="1"/>
    <xf numFmtId="0" fontId="2" fillId="2" borderId="0" xfId="0" applyFont="1" applyFill="1" applyAlignment="1">
      <alignment horizontal="right"/>
    </xf>
    <xf numFmtId="0" fontId="2" fillId="3" borderId="0" xfId="0" applyFont="1" applyFill="1" applyBorder="1" applyProtection="1"/>
    <xf numFmtId="0" fontId="2" fillId="3" borderId="0" xfId="0" applyFont="1" applyFill="1" applyBorder="1" applyProtection="1">
      <protection locked="0"/>
    </xf>
    <xf numFmtId="10" fontId="2" fillId="3" borderId="0" xfId="0" applyNumberFormat="1" applyFont="1" applyFill="1" applyBorder="1"/>
    <xf numFmtId="166" fontId="2" fillId="3" borderId="0" xfId="0" applyNumberFormat="1" applyFont="1" applyFill="1" applyBorder="1"/>
    <xf numFmtId="0" fontId="3" fillId="3" borderId="0" xfId="0" applyFont="1" applyFill="1" applyBorder="1"/>
    <xf numFmtId="164" fontId="2" fillId="3" borderId="0" xfId="0" applyNumberFormat="1" applyFont="1" applyFill="1" applyBorder="1" applyProtection="1"/>
    <xf numFmtId="166" fontId="2" fillId="3" borderId="0" xfId="0" applyNumberFormat="1" applyFont="1" applyFill="1" applyBorder="1" applyProtection="1"/>
    <xf numFmtId="0" fontId="2" fillId="3" borderId="7" xfId="0" applyFont="1" applyFill="1" applyBorder="1"/>
    <xf numFmtId="0" fontId="2" fillId="3" borderId="8" xfId="0" applyFont="1" applyFill="1" applyBorder="1" applyAlignment="1">
      <alignment horizontal="right"/>
    </xf>
    <xf numFmtId="0" fontId="2" fillId="3" borderId="9" xfId="0" applyFont="1" applyFill="1" applyBorder="1"/>
    <xf numFmtId="0" fontId="2" fillId="3" borderId="10" xfId="0" applyFont="1" applyFill="1" applyBorder="1"/>
    <xf numFmtId="2" fontId="2" fillId="3" borderId="11" xfId="0" applyNumberFormat="1" applyFont="1" applyFill="1" applyBorder="1" applyAlignment="1" applyProtection="1">
      <alignment horizontal="right"/>
    </xf>
    <xf numFmtId="165" fontId="2" fillId="3" borderId="12" xfId="0" applyNumberFormat="1" applyFont="1" applyFill="1" applyBorder="1" applyProtection="1"/>
    <xf numFmtId="164" fontId="2" fillId="3" borderId="12" xfId="0" applyNumberFormat="1" applyFont="1" applyFill="1" applyBorder="1" applyAlignment="1" applyProtection="1">
      <alignment horizontal="right"/>
    </xf>
    <xf numFmtId="0" fontId="2" fillId="3" borderId="9" xfId="0" applyFont="1" applyFill="1" applyBorder="1" applyProtection="1"/>
    <xf numFmtId="0" fontId="2" fillId="3" borderId="13" xfId="0" applyFont="1" applyFill="1" applyBorder="1"/>
    <xf numFmtId="0" fontId="2" fillId="3" borderId="14" xfId="0" applyFont="1" applyFill="1" applyBorder="1"/>
    <xf numFmtId="0" fontId="2" fillId="3" borderId="15" xfId="0" applyFont="1" applyFill="1" applyBorder="1"/>
    <xf numFmtId="0" fontId="2" fillId="3" borderId="16" xfId="0" applyFont="1" applyFill="1" applyBorder="1"/>
    <xf numFmtId="0" fontId="2" fillId="3" borderId="17" xfId="0" applyFont="1" applyFill="1" applyBorder="1"/>
    <xf numFmtId="166" fontId="2" fillId="3" borderId="18" xfId="0" applyNumberFormat="1" applyFont="1" applyFill="1" applyBorder="1"/>
    <xf numFmtId="166" fontId="2" fillId="3" borderId="12" xfId="0" applyNumberFormat="1" applyFont="1" applyFill="1" applyBorder="1"/>
    <xf numFmtId="166" fontId="2" fillId="3" borderId="12" xfId="0" applyNumberFormat="1" applyFont="1" applyFill="1" applyBorder="1" applyProtection="1"/>
    <xf numFmtId="166" fontId="2" fillId="3" borderId="11" xfId="0" applyNumberFormat="1" applyFont="1" applyFill="1" applyBorder="1"/>
    <xf numFmtId="0" fontId="2" fillId="3" borderId="19" xfId="0" applyFont="1" applyFill="1" applyBorder="1"/>
    <xf numFmtId="2" fontId="2" fillId="3" borderId="12" xfId="0" applyNumberFormat="1" applyFont="1" applyFill="1" applyBorder="1"/>
    <xf numFmtId="0" fontId="2" fillId="3" borderId="20" xfId="0" applyFont="1" applyFill="1" applyBorder="1"/>
    <xf numFmtId="0" fontId="2" fillId="3" borderId="21" xfId="0" applyFont="1" applyFill="1" applyBorder="1" applyAlignment="1">
      <alignment horizontal="right"/>
    </xf>
    <xf numFmtId="166" fontId="2" fillId="3" borderId="22" xfId="0" applyNumberFormat="1" applyFont="1" applyFill="1" applyBorder="1"/>
    <xf numFmtId="165" fontId="2" fillId="3" borderId="12" xfId="0" applyNumberFormat="1" applyFont="1" applyFill="1" applyBorder="1" applyAlignment="1" applyProtection="1">
      <alignment horizontal="right"/>
    </xf>
    <xf numFmtId="0" fontId="2" fillId="3" borderId="13" xfId="0" applyFont="1" applyFill="1" applyBorder="1" applyProtection="1"/>
    <xf numFmtId="0" fontId="2" fillId="3" borderId="20" xfId="0" applyFont="1" applyFill="1" applyBorder="1" applyProtection="1"/>
    <xf numFmtId="0" fontId="2" fillId="3" borderId="21" xfId="0" applyFont="1" applyFill="1" applyBorder="1" applyAlignment="1" applyProtection="1">
      <alignment horizontal="right"/>
    </xf>
    <xf numFmtId="0" fontId="2" fillId="3" borderId="8" xfId="0" applyFont="1" applyFill="1" applyBorder="1" applyAlignment="1" applyProtection="1">
      <alignment horizontal="right"/>
    </xf>
    <xf numFmtId="166" fontId="2" fillId="3" borderId="23" xfId="0" applyNumberFormat="1" applyFont="1" applyFill="1" applyBorder="1" applyProtection="1"/>
    <xf numFmtId="164" fontId="2" fillId="3" borderId="12" xfId="0" applyNumberFormat="1" applyFont="1" applyFill="1" applyBorder="1" applyProtection="1"/>
    <xf numFmtId="164" fontId="2" fillId="3" borderId="18" xfId="0" applyNumberFormat="1" applyFont="1" applyFill="1" applyBorder="1" applyProtection="1"/>
    <xf numFmtId="164" fontId="2" fillId="3" borderId="12" xfId="0" applyNumberFormat="1" applyFont="1" applyFill="1" applyBorder="1" applyAlignment="1">
      <alignment horizontal="right"/>
    </xf>
    <xf numFmtId="10" fontId="2" fillId="3" borderId="12" xfId="0" applyNumberFormat="1" applyFont="1" applyFill="1" applyBorder="1" applyProtection="1"/>
    <xf numFmtId="166" fontId="2" fillId="3" borderId="18" xfId="0" applyNumberFormat="1" applyFont="1" applyFill="1" applyBorder="1" applyProtection="1"/>
    <xf numFmtId="0" fontId="2" fillId="3" borderId="19" xfId="0" applyFont="1" applyFill="1" applyBorder="1" applyProtection="1"/>
    <xf numFmtId="10" fontId="2" fillId="3" borderId="20" xfId="0" applyNumberFormat="1" applyFont="1" applyFill="1" applyBorder="1"/>
    <xf numFmtId="10" fontId="2" fillId="3" borderId="21" xfId="0" applyNumberFormat="1" applyFont="1" applyFill="1" applyBorder="1"/>
    <xf numFmtId="10" fontId="2" fillId="3" borderId="24" xfId="0" applyNumberFormat="1" applyFont="1" applyFill="1" applyBorder="1"/>
    <xf numFmtId="164" fontId="2" fillId="3" borderId="0" xfId="0" applyNumberFormat="1" applyFont="1" applyFill="1" applyBorder="1" applyAlignment="1" applyProtection="1">
      <alignment horizontal="right"/>
    </xf>
    <xf numFmtId="2" fontId="2" fillId="3" borderId="0" xfId="0" applyNumberFormat="1" applyFont="1" applyFill="1" applyBorder="1" applyAlignment="1" applyProtection="1">
      <alignment horizontal="right"/>
    </xf>
    <xf numFmtId="164" fontId="2" fillId="3" borderId="22" xfId="0" applyNumberFormat="1" applyFont="1" applyFill="1" applyBorder="1" applyAlignment="1" applyProtection="1">
      <alignment horizontal="right"/>
    </xf>
    <xf numFmtId="0" fontId="2" fillId="3" borderId="25" xfId="0" applyFont="1" applyFill="1" applyBorder="1"/>
    <xf numFmtId="0" fontId="2" fillId="3" borderId="26" xfId="0" applyFont="1" applyFill="1" applyBorder="1" applyAlignment="1">
      <alignment horizontal="right"/>
    </xf>
    <xf numFmtId="0" fontId="2" fillId="3" borderId="27" xfId="0" applyFont="1" applyFill="1" applyBorder="1" applyAlignment="1" applyProtection="1">
      <alignment horizontal="right"/>
    </xf>
    <xf numFmtId="10" fontId="2" fillId="3" borderId="22" xfId="0" applyNumberFormat="1" applyFont="1" applyFill="1" applyBorder="1"/>
    <xf numFmtId="164" fontId="2" fillId="3" borderId="28" xfId="0" applyNumberFormat="1" applyFont="1" applyFill="1" applyBorder="1" applyAlignment="1" applyProtection="1">
      <alignment horizontal="right"/>
    </xf>
    <xf numFmtId="0" fontId="2" fillId="3" borderId="14" xfId="0" applyFont="1" applyFill="1" applyBorder="1" applyProtection="1"/>
    <xf numFmtId="0" fontId="2" fillId="3" borderId="3" xfId="0" applyFont="1" applyFill="1" applyBorder="1" applyAlignment="1" applyProtection="1">
      <alignment horizontal="right"/>
    </xf>
    <xf numFmtId="0" fontId="2" fillId="4" borderId="0" xfId="0" applyFont="1" applyFill="1" applyProtection="1">
      <protection locked="0"/>
    </xf>
    <xf numFmtId="10" fontId="2" fillId="3" borderId="0" xfId="0" applyNumberFormat="1" applyFont="1" applyFill="1" applyBorder="1" applyProtection="1"/>
    <xf numFmtId="0" fontId="2" fillId="3" borderId="23" xfId="0" applyNumberFormat="1" applyFont="1" applyFill="1" applyBorder="1" applyAlignment="1" applyProtection="1">
      <alignment horizontal="right"/>
    </xf>
    <xf numFmtId="0" fontId="2" fillId="3" borderId="12" xfId="0" applyFont="1" applyFill="1" applyBorder="1" applyProtection="1"/>
    <xf numFmtId="0" fontId="2" fillId="3" borderId="28" xfId="0" applyFont="1" applyFill="1" applyBorder="1" applyProtection="1"/>
    <xf numFmtId="0" fontId="2" fillId="3" borderId="29" xfId="0" applyFont="1" applyFill="1" applyBorder="1" applyProtection="1"/>
    <xf numFmtId="0" fontId="2" fillId="3" borderId="30" xfId="0" applyFont="1" applyFill="1" applyBorder="1" applyProtection="1"/>
    <xf numFmtId="0" fontId="2" fillId="3" borderId="31" xfId="0" applyFont="1" applyFill="1" applyBorder="1" applyProtection="1"/>
    <xf numFmtId="164" fontId="2" fillId="3" borderId="18" xfId="0" applyNumberFormat="1" applyFont="1" applyFill="1" applyBorder="1" applyAlignment="1" applyProtection="1">
      <alignment horizontal="right"/>
    </xf>
    <xf numFmtId="10" fontId="2" fillId="3" borderId="18" xfId="0" applyNumberFormat="1" applyFont="1" applyFill="1" applyBorder="1" applyProtection="1"/>
    <xf numFmtId="1" fontId="2" fillId="3" borderId="12" xfId="0" applyNumberFormat="1" applyFont="1" applyFill="1" applyBorder="1" applyProtection="1"/>
    <xf numFmtId="2" fontId="2" fillId="3" borderId="12" xfId="0" applyNumberFormat="1" applyFont="1" applyFill="1" applyBorder="1" applyAlignment="1" applyProtection="1">
      <alignment horizontal="right"/>
    </xf>
    <xf numFmtId="2" fontId="2" fillId="3" borderId="18" xfId="0" applyNumberFormat="1" applyFont="1" applyFill="1" applyBorder="1" applyAlignment="1" applyProtection="1">
      <alignment horizontal="right"/>
    </xf>
    <xf numFmtId="164" fontId="2" fillId="3" borderId="29" xfId="0" applyNumberFormat="1" applyFont="1" applyFill="1" applyBorder="1" applyAlignment="1" applyProtection="1">
      <alignment horizontal="right"/>
    </xf>
    <xf numFmtId="10" fontId="2" fillId="3" borderId="24" xfId="0" applyNumberFormat="1" applyFont="1" applyFill="1" applyBorder="1" applyProtection="1"/>
    <xf numFmtId="0" fontId="2" fillId="3" borderId="32" xfId="0" applyFont="1" applyFill="1" applyBorder="1" applyProtection="1"/>
    <xf numFmtId="0" fontId="2" fillId="3" borderId="14" xfId="0" applyFont="1" applyFill="1" applyBorder="1" applyProtection="1">
      <protection locked="0"/>
    </xf>
    <xf numFmtId="0" fontId="2" fillId="3" borderId="3" xfId="0" applyFont="1" applyFill="1" applyBorder="1" applyProtection="1">
      <protection locked="0"/>
    </xf>
    <xf numFmtId="0" fontId="2" fillId="3" borderId="32" xfId="0" applyFont="1" applyFill="1" applyBorder="1" applyProtection="1">
      <protection locked="0"/>
    </xf>
    <xf numFmtId="1" fontId="2" fillId="4" borderId="0" xfId="0" applyNumberFormat="1" applyFont="1" applyFill="1" applyBorder="1" applyAlignment="1" applyProtection="1">
      <alignment horizontal="right" vertical="center"/>
      <protection locked="0"/>
    </xf>
    <xf numFmtId="2" fontId="2" fillId="3" borderId="0" xfId="0" applyNumberFormat="1" applyFont="1" applyFill="1" applyBorder="1" applyAlignment="1" applyProtection="1">
      <alignment horizontal="right" vertical="center"/>
    </xf>
    <xf numFmtId="165" fontId="2" fillId="3" borderId="0" xfId="0" applyNumberFormat="1" applyFont="1" applyFill="1" applyBorder="1" applyAlignment="1" applyProtection="1">
      <alignment vertical="center"/>
    </xf>
    <xf numFmtId="164" fontId="2" fillId="3" borderId="0" xfId="0" applyNumberFormat="1" applyFont="1" applyFill="1" applyBorder="1" applyAlignment="1" applyProtection="1">
      <alignment horizontal="right" vertical="center"/>
    </xf>
    <xf numFmtId="0" fontId="2" fillId="4" borderId="0"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0" xfId="0" applyNumberFormat="1" applyFont="1" applyFill="1" applyBorder="1" applyAlignment="1" applyProtection="1">
      <alignment horizontal="right"/>
    </xf>
    <xf numFmtId="1" fontId="2" fillId="3" borderId="0" xfId="0" applyNumberFormat="1" applyFont="1" applyFill="1" applyBorder="1" applyProtection="1"/>
    <xf numFmtId="165" fontId="2" fillId="3" borderId="0" xfId="0" applyNumberFormat="1" applyFont="1" applyFill="1" applyBorder="1" applyProtection="1"/>
    <xf numFmtId="165" fontId="2" fillId="3" borderId="0" xfId="0" applyNumberFormat="1" applyFont="1" applyFill="1" applyBorder="1" applyAlignment="1" applyProtection="1">
      <alignment horizontal="right"/>
    </xf>
    <xf numFmtId="0" fontId="2" fillId="4" borderId="12" xfId="0" applyFont="1" applyFill="1" applyBorder="1" applyProtection="1">
      <protection locked="0"/>
    </xf>
    <xf numFmtId="10" fontId="2" fillId="4" borderId="18" xfId="0" applyNumberFormat="1" applyFont="1" applyFill="1" applyBorder="1" applyProtection="1">
      <protection locked="0"/>
    </xf>
    <xf numFmtId="0" fontId="7" fillId="5" borderId="0" xfId="0" applyFont="1" applyFill="1"/>
    <xf numFmtId="0" fontId="2" fillId="5" borderId="0" xfId="0" applyFont="1" applyFill="1"/>
    <xf numFmtId="0" fontId="2" fillId="5" borderId="0" xfId="0" applyFont="1" applyFill="1" applyAlignment="1">
      <alignment horizontal="right"/>
    </xf>
    <xf numFmtId="0" fontId="2" fillId="5" borderId="0" xfId="0" applyFont="1" applyFill="1" applyProtection="1"/>
    <xf numFmtId="0" fontId="2" fillId="5" borderId="0" xfId="0" applyFont="1" applyFill="1" applyAlignment="1" applyProtection="1">
      <alignment horizontal="right"/>
    </xf>
    <xf numFmtId="0" fontId="2" fillId="5" borderId="0" xfId="0" applyFont="1" applyFill="1" applyBorder="1"/>
    <xf numFmtId="168" fontId="2" fillId="5" borderId="0" xfId="0" applyNumberFormat="1" applyFont="1" applyFill="1" applyAlignment="1">
      <alignment vertical="center"/>
    </xf>
    <xf numFmtId="0" fontId="2" fillId="4" borderId="0" xfId="0" applyNumberFormat="1" applyFont="1" applyFill="1" applyBorder="1" applyAlignment="1" applyProtection="1">
      <alignment horizontal="right" vertical="center"/>
      <protection locked="0"/>
    </xf>
    <xf numFmtId="0" fontId="7" fillId="3" borderId="36" xfId="0" applyFont="1" applyFill="1" applyBorder="1"/>
    <xf numFmtId="164" fontId="7" fillId="3" borderId="36" xfId="0" applyNumberFormat="1" applyFont="1" applyFill="1" applyBorder="1"/>
    <xf numFmtId="0" fontId="8" fillId="6" borderId="40" xfId="0" applyFont="1" applyFill="1" applyBorder="1" applyAlignment="1">
      <alignment horizontal="left" vertical="top" wrapText="1"/>
    </xf>
    <xf numFmtId="0" fontId="2" fillId="3" borderId="12" xfId="0" applyFont="1" applyFill="1" applyBorder="1"/>
    <xf numFmtId="0" fontId="8" fillId="6" borderId="41" xfId="0" applyFont="1" applyFill="1" applyBorder="1" applyAlignment="1">
      <alignment vertical="top" wrapText="1"/>
    </xf>
    <xf numFmtId="0" fontId="7" fillId="6" borderId="43" xfId="0" applyFont="1" applyFill="1" applyBorder="1"/>
    <xf numFmtId="0" fontId="2" fillId="3" borderId="44" xfId="0" applyFont="1" applyFill="1" applyBorder="1" applyAlignment="1">
      <alignment vertical="center"/>
    </xf>
    <xf numFmtId="164" fontId="2" fillId="3" borderId="45" xfId="0" applyNumberFormat="1" applyFont="1" applyFill="1" applyBorder="1" applyAlignment="1" applyProtection="1">
      <alignment horizontal="right" vertical="center"/>
    </xf>
    <xf numFmtId="11" fontId="2" fillId="3" borderId="44" xfId="0" applyNumberFormat="1"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4" borderId="45" xfId="0" applyFont="1" applyFill="1" applyBorder="1" applyAlignment="1" applyProtection="1">
      <alignment vertical="center"/>
      <protection locked="0"/>
    </xf>
    <xf numFmtId="0" fontId="2" fillId="4" borderId="44" xfId="0" applyFont="1" applyFill="1" applyBorder="1" applyAlignment="1" applyProtection="1">
      <alignment vertical="center"/>
      <protection locked="0"/>
    </xf>
    <xf numFmtId="10" fontId="2" fillId="3" borderId="46" xfId="0" applyNumberFormat="1" applyFont="1" applyFill="1" applyBorder="1" applyAlignment="1">
      <alignment vertical="center"/>
    </xf>
    <xf numFmtId="0" fontId="7" fillId="7" borderId="0" xfId="0" applyFont="1" applyFill="1"/>
    <xf numFmtId="0" fontId="7" fillId="7" borderId="0" xfId="0" applyFont="1" applyFill="1" applyAlignment="1">
      <alignment wrapText="1"/>
    </xf>
    <xf numFmtId="0" fontId="7" fillId="7" borderId="36" xfId="0" applyFont="1" applyFill="1" applyBorder="1"/>
    <xf numFmtId="164" fontId="7" fillId="3" borderId="0" xfId="0" applyNumberFormat="1" applyFont="1" applyFill="1"/>
    <xf numFmtId="2" fontId="7" fillId="3" borderId="0" xfId="0" applyNumberFormat="1" applyFont="1" applyFill="1"/>
    <xf numFmtId="164" fontId="7" fillId="3" borderId="0" xfId="0" applyNumberFormat="1" applyFont="1" applyFill="1" applyBorder="1"/>
    <xf numFmtId="0" fontId="7" fillId="3" borderId="0" xfId="0" applyFont="1" applyFill="1" applyBorder="1" applyAlignment="1">
      <alignment horizontal="right"/>
    </xf>
    <xf numFmtId="0" fontId="7" fillId="3" borderId="0" xfId="0" applyFont="1" applyFill="1" applyAlignment="1">
      <alignment horizontal="right"/>
    </xf>
    <xf numFmtId="167" fontId="7" fillId="3" borderId="47" xfId="0" applyNumberFormat="1" applyFont="1" applyFill="1" applyBorder="1"/>
    <xf numFmtId="0" fontId="7" fillId="3" borderId="47" xfId="0" applyFont="1" applyFill="1" applyBorder="1"/>
    <xf numFmtId="0" fontId="7" fillId="3" borderId="48" xfId="0" applyFont="1" applyFill="1" applyBorder="1"/>
    <xf numFmtId="0" fontId="7" fillId="7" borderId="0" xfId="0" applyFont="1" applyFill="1" applyProtection="1">
      <protection locked="0"/>
    </xf>
    <xf numFmtId="0" fontId="7" fillId="7" borderId="0" xfId="0" applyFont="1" applyFill="1" applyAlignment="1" applyProtection="1">
      <alignment wrapText="1"/>
      <protection locked="0"/>
    </xf>
    <xf numFmtId="0" fontId="7" fillId="7" borderId="36" xfId="0" applyFont="1" applyFill="1" applyBorder="1" applyProtection="1">
      <protection locked="0"/>
    </xf>
    <xf numFmtId="0" fontId="7" fillId="7" borderId="0" xfId="0" applyFont="1" applyFill="1" applyProtection="1"/>
    <xf numFmtId="0" fontId="7" fillId="7" borderId="0" xfId="0" applyFont="1" applyFill="1" applyAlignment="1" applyProtection="1">
      <alignment wrapText="1"/>
    </xf>
    <xf numFmtId="0" fontId="7" fillId="7" borderId="36" xfId="0" applyFont="1" applyFill="1" applyBorder="1" applyProtection="1"/>
    <xf numFmtId="0" fontId="8" fillId="6" borderId="40" xfId="0" applyFont="1" applyFill="1" applyBorder="1" applyAlignment="1">
      <alignment horizontal="left" vertical="top" wrapText="1"/>
    </xf>
    <xf numFmtId="167" fontId="7" fillId="3" borderId="0" xfId="0" applyNumberFormat="1" applyFont="1" applyFill="1" applyBorder="1"/>
    <xf numFmtId="1" fontId="7" fillId="3" borderId="47" xfId="0" applyNumberFormat="1" applyFont="1" applyFill="1" applyBorder="1"/>
    <xf numFmtId="0" fontId="7" fillId="4" borderId="49" xfId="0" applyFont="1" applyFill="1" applyBorder="1" applyAlignment="1" applyProtection="1">
      <alignment vertical="center"/>
      <protection locked="0"/>
    </xf>
    <xf numFmtId="0" fontId="2" fillId="3" borderId="8" xfId="0" applyFont="1" applyFill="1" applyBorder="1"/>
    <xf numFmtId="0" fontId="2" fillId="3" borderId="3" xfId="0" applyFont="1" applyFill="1" applyBorder="1"/>
    <xf numFmtId="0" fontId="2" fillId="3" borderId="1" xfId="0" applyFont="1" applyFill="1" applyBorder="1"/>
    <xf numFmtId="0" fontId="2" fillId="3" borderId="4" xfId="0" applyFont="1" applyFill="1" applyBorder="1"/>
    <xf numFmtId="0" fontId="2" fillId="3" borderId="3" xfId="0" applyFont="1" applyFill="1" applyBorder="1" applyProtection="1"/>
    <xf numFmtId="0" fontId="2" fillId="3" borderId="21" xfId="0" applyFont="1" applyFill="1" applyBorder="1" applyProtection="1"/>
    <xf numFmtId="0" fontId="2" fillId="3" borderId="26" xfId="0" applyFont="1" applyFill="1" applyBorder="1"/>
    <xf numFmtId="0" fontId="2" fillId="3" borderId="5" xfId="0" applyFont="1" applyFill="1" applyBorder="1"/>
    <xf numFmtId="0" fontId="2" fillId="3" borderId="6" xfId="0" applyFont="1" applyFill="1" applyBorder="1"/>
    <xf numFmtId="0" fontId="2" fillId="3" borderId="21" xfId="0" applyFont="1" applyFill="1" applyBorder="1"/>
    <xf numFmtId="0" fontId="2" fillId="3" borderId="2" xfId="0" applyFont="1" applyFill="1" applyBorder="1"/>
    <xf numFmtId="0" fontId="2" fillId="3" borderId="42" xfId="0" applyFont="1" applyFill="1" applyBorder="1" applyAlignment="1">
      <alignment vertical="center"/>
    </xf>
    <xf numFmtId="0" fontId="2" fillId="3" borderId="56" xfId="0" applyFont="1" applyFill="1" applyBorder="1" applyAlignment="1">
      <alignment vertical="center"/>
    </xf>
    <xf numFmtId="0" fontId="2" fillId="3" borderId="58" xfId="0" applyFont="1" applyFill="1" applyBorder="1" applyAlignment="1">
      <alignment vertical="center"/>
    </xf>
    <xf numFmtId="0" fontId="2" fillId="3" borderId="42" xfId="0" applyFont="1" applyFill="1" applyBorder="1" applyAlignment="1" applyProtection="1">
      <alignment vertical="center"/>
    </xf>
    <xf numFmtId="0" fontId="2" fillId="3" borderId="56" xfId="0" applyFont="1" applyFill="1" applyBorder="1" applyAlignment="1" applyProtection="1">
      <alignment vertical="center"/>
    </xf>
    <xf numFmtId="0" fontId="2" fillId="3" borderId="60" xfId="0" applyFont="1" applyFill="1" applyBorder="1" applyAlignment="1">
      <alignment vertical="center"/>
    </xf>
    <xf numFmtId="0" fontId="2" fillId="3" borderId="61" xfId="0" applyFont="1" applyFill="1" applyBorder="1" applyAlignment="1">
      <alignment vertical="center"/>
    </xf>
    <xf numFmtId="0" fontId="2" fillId="3" borderId="62" xfId="0" applyFont="1" applyFill="1" applyBorder="1" applyAlignment="1">
      <alignment vertical="center"/>
    </xf>
    <xf numFmtId="0" fontId="2" fillId="3" borderId="63" xfId="0" applyFont="1" applyFill="1" applyBorder="1" applyAlignment="1">
      <alignment horizontal="left" vertical="center"/>
    </xf>
    <xf numFmtId="0" fontId="9" fillId="8" borderId="64" xfId="0" applyFont="1" applyFill="1" applyBorder="1" applyAlignment="1">
      <alignment vertical="top" wrapText="1"/>
    </xf>
    <xf numFmtId="0" fontId="10" fillId="9" borderId="67" xfId="0" applyFont="1" applyFill="1" applyBorder="1" applyAlignment="1">
      <alignment vertical="top" wrapText="1"/>
    </xf>
    <xf numFmtId="0" fontId="10" fillId="9" borderId="68" xfId="0" applyFont="1" applyFill="1" applyBorder="1" applyAlignment="1">
      <alignment vertical="top" wrapText="1"/>
    </xf>
    <xf numFmtId="0" fontId="11" fillId="9" borderId="69" xfId="0" applyFont="1" applyFill="1" applyBorder="1" applyAlignment="1">
      <alignment horizontal="left" vertical="center"/>
    </xf>
    <xf numFmtId="0" fontId="12" fillId="3" borderId="70" xfId="0" applyFont="1" applyFill="1" applyBorder="1" applyAlignment="1">
      <alignment vertical="center" wrapText="1"/>
    </xf>
    <xf numFmtId="0" fontId="7" fillId="3" borderId="0" xfId="0" applyFont="1" applyFill="1" applyBorder="1" applyAlignment="1">
      <alignment horizontal="left"/>
    </xf>
    <xf numFmtId="0" fontId="7" fillId="3" borderId="47" xfId="0" applyFont="1" applyFill="1" applyBorder="1" applyAlignment="1">
      <alignment horizontal="left"/>
    </xf>
    <xf numFmtId="0" fontId="2" fillId="0" borderId="0" xfId="0" applyFont="1" applyFill="1"/>
    <xf numFmtId="0" fontId="9" fillId="8" borderId="65" xfId="0" applyFont="1" applyFill="1" applyBorder="1" applyAlignment="1">
      <alignment vertical="top" wrapText="1"/>
    </xf>
    <xf numFmtId="0" fontId="9" fillId="8" borderId="66" xfId="0" applyFont="1" applyFill="1" applyBorder="1" applyAlignment="1">
      <alignment vertical="top" wrapText="1"/>
    </xf>
    <xf numFmtId="0" fontId="10" fillId="9" borderId="67" xfId="0" applyFont="1" applyFill="1" applyBorder="1" applyAlignment="1">
      <alignment vertical="center" wrapText="1"/>
    </xf>
    <xf numFmtId="0" fontId="7" fillId="10" borderId="0" xfId="0" applyFont="1" applyFill="1" applyBorder="1" applyProtection="1"/>
    <xf numFmtId="0" fontId="7" fillId="3" borderId="0" xfId="0" applyFont="1" applyFill="1" applyAlignment="1">
      <alignment horizontal="left"/>
    </xf>
    <xf numFmtId="0" fontId="7" fillId="10" borderId="0" xfId="0" applyFont="1" applyFill="1" applyBorder="1" applyProtection="1">
      <protection locked="0"/>
    </xf>
    <xf numFmtId="0" fontId="2" fillId="3" borderId="34" xfId="0" applyFont="1" applyFill="1" applyBorder="1" applyAlignment="1">
      <alignment horizontal="right"/>
    </xf>
    <xf numFmtId="0" fontId="7" fillId="3" borderId="42" xfId="0" applyFont="1" applyFill="1" applyBorder="1" applyAlignment="1">
      <alignment vertical="center"/>
    </xf>
    <xf numFmtId="0" fontId="7" fillId="4" borderId="0" xfId="0" applyNumberFormat="1" applyFont="1" applyFill="1" applyBorder="1" applyAlignment="1" applyProtection="1">
      <alignment vertical="center"/>
      <protection locked="0"/>
    </xf>
    <xf numFmtId="0" fontId="7" fillId="3" borderId="49" xfId="0" applyFont="1" applyFill="1" applyBorder="1" applyAlignment="1">
      <alignment vertical="center"/>
    </xf>
    <xf numFmtId="0" fontId="7" fillId="3" borderId="0" xfId="0" applyFont="1" applyFill="1" applyBorder="1" applyAlignment="1" applyProtection="1">
      <alignment vertical="center"/>
    </xf>
    <xf numFmtId="0" fontId="7" fillId="3" borderId="39" xfId="0" applyFont="1" applyFill="1" applyBorder="1" applyAlignment="1" applyProtection="1">
      <alignment vertical="center"/>
    </xf>
    <xf numFmtId="0" fontId="7" fillId="3" borderId="50" xfId="0" applyFont="1" applyFill="1" applyBorder="1" applyAlignment="1">
      <alignment vertical="center"/>
    </xf>
    <xf numFmtId="0" fontId="7" fillId="4" borderId="0" xfId="0" applyFont="1" applyFill="1" applyBorder="1" applyAlignment="1" applyProtection="1">
      <alignment vertical="center"/>
      <protection locked="0"/>
    </xf>
    <xf numFmtId="0" fontId="7" fillId="3" borderId="51" xfId="0" applyFont="1" applyFill="1" applyBorder="1" applyAlignment="1">
      <alignment vertical="center"/>
    </xf>
    <xf numFmtId="0" fontId="7" fillId="4" borderId="35" xfId="0" applyFont="1" applyFill="1" applyBorder="1" applyAlignment="1" applyProtection="1">
      <alignment vertical="center"/>
      <protection locked="0"/>
    </xf>
    <xf numFmtId="0" fontId="7" fillId="3" borderId="52" xfId="0" applyFont="1" applyFill="1" applyBorder="1" applyAlignment="1">
      <alignment vertical="center"/>
    </xf>
    <xf numFmtId="0" fontId="7" fillId="4" borderId="36" xfId="0" applyFont="1" applyFill="1" applyBorder="1" applyAlignment="1" applyProtection="1">
      <alignment vertical="center"/>
      <protection locked="0"/>
    </xf>
    <xf numFmtId="0" fontId="7" fillId="3" borderId="54" xfId="0" applyFont="1" applyFill="1" applyBorder="1" applyAlignment="1">
      <alignment vertical="center"/>
    </xf>
    <xf numFmtId="0" fontId="7" fillId="3" borderId="0" xfId="0" applyFont="1" applyFill="1" applyBorder="1" applyAlignment="1">
      <alignment vertical="center"/>
    </xf>
    <xf numFmtId="11" fontId="2" fillId="3" borderId="37" xfId="0" applyNumberFormat="1" applyFont="1" applyFill="1" applyBorder="1" applyAlignment="1">
      <alignment vertical="center"/>
    </xf>
    <xf numFmtId="11" fontId="2" fillId="3" borderId="0" xfId="0" applyNumberFormat="1" applyFont="1" applyFill="1" applyBorder="1" applyAlignment="1">
      <alignment horizontal="right" vertical="center"/>
    </xf>
    <xf numFmtId="11" fontId="7" fillId="3" borderId="0" xfId="0" applyNumberFormat="1" applyFont="1" applyFill="1" applyBorder="1" applyAlignment="1">
      <alignment vertical="center"/>
    </xf>
    <xf numFmtId="165" fontId="7" fillId="3" borderId="0" xfId="0" applyNumberFormat="1" applyFont="1" applyFill="1" applyBorder="1" applyAlignment="1">
      <alignment vertical="center"/>
    </xf>
    <xf numFmtId="165" fontId="7" fillId="3" borderId="39" xfId="0" applyNumberFormat="1" applyFont="1" applyFill="1" applyBorder="1" applyAlignment="1">
      <alignment vertical="center"/>
    </xf>
    <xf numFmtId="2" fontId="7" fillId="3" borderId="0" xfId="0" applyNumberFormat="1" applyFont="1" applyFill="1" applyBorder="1" applyAlignment="1">
      <alignment vertical="center"/>
    </xf>
    <xf numFmtId="2" fontId="7" fillId="3" borderId="38" xfId="0" applyNumberFormat="1" applyFont="1" applyFill="1" applyBorder="1" applyAlignment="1">
      <alignment vertical="center"/>
    </xf>
    <xf numFmtId="0" fontId="7" fillId="3" borderId="55" xfId="0" applyFont="1" applyFill="1" applyBorder="1" applyAlignment="1">
      <alignment vertical="center"/>
    </xf>
    <xf numFmtId="0" fontId="8" fillId="6" borderId="41" xfId="0" applyFont="1" applyFill="1" applyBorder="1" applyAlignment="1">
      <alignment vertical="center" wrapText="1"/>
    </xf>
    <xf numFmtId="14" fontId="7" fillId="4" borderId="0" xfId="0" applyNumberFormat="1" applyFont="1" applyFill="1" applyBorder="1" applyAlignment="1">
      <alignment vertical="center"/>
    </xf>
    <xf numFmtId="0" fontId="7" fillId="3" borderId="0" xfId="0" applyFont="1" applyFill="1" applyAlignment="1">
      <alignment horizontal="right" vertical="center"/>
    </xf>
    <xf numFmtId="0" fontId="7" fillId="3" borderId="0" xfId="0" applyFont="1" applyFill="1" applyBorder="1" applyAlignment="1">
      <alignment horizontal="right" vertical="center"/>
    </xf>
    <xf numFmtId="164" fontId="7" fillId="3" borderId="0" xfId="0" applyNumberFormat="1" applyFont="1" applyFill="1" applyBorder="1" applyAlignment="1">
      <alignment vertical="center"/>
    </xf>
    <xf numFmtId="0" fontId="7" fillId="3" borderId="0" xfId="0" applyFont="1" applyFill="1" applyAlignment="1">
      <alignment vertical="center"/>
    </xf>
    <xf numFmtId="9" fontId="7" fillId="3" borderId="0" xfId="1" applyFont="1" applyFill="1" applyBorder="1" applyAlignment="1">
      <alignment horizontal="left" vertical="center"/>
    </xf>
    <xf numFmtId="0" fontId="7" fillId="3" borderId="36" xfId="0" applyFont="1" applyFill="1" applyBorder="1" applyAlignment="1">
      <alignment vertical="center"/>
    </xf>
    <xf numFmtId="0" fontId="7" fillId="4" borderId="42" xfId="0" applyFont="1" applyFill="1" applyBorder="1" applyAlignment="1" applyProtection="1">
      <alignment vertical="center"/>
      <protection locked="0"/>
    </xf>
    <xf numFmtId="0" fontId="7" fillId="0" borderId="0" xfId="0" applyFont="1" applyBorder="1" applyAlignment="1">
      <alignment horizontal="right" vertical="center"/>
    </xf>
    <xf numFmtId="0" fontId="7" fillId="0" borderId="0" xfId="0" applyFont="1" applyAlignment="1">
      <alignment vertical="center"/>
    </xf>
    <xf numFmtId="0" fontId="7" fillId="4" borderId="0" xfId="0" applyFont="1" applyFill="1" applyBorder="1" applyAlignment="1" applyProtection="1">
      <alignment horizontal="right" vertical="center"/>
      <protection locked="0"/>
    </xf>
    <xf numFmtId="0" fontId="15" fillId="3" borderId="0" xfId="0" applyFont="1" applyFill="1" applyBorder="1"/>
    <xf numFmtId="0" fontId="7" fillId="3" borderId="36" xfId="0" applyFont="1" applyFill="1" applyBorder="1" applyAlignment="1" applyProtection="1">
      <alignment vertical="center"/>
    </xf>
    <xf numFmtId="164" fontId="7" fillId="3" borderId="0" xfId="0" applyNumberFormat="1" applyFont="1" applyFill="1" applyBorder="1" applyAlignment="1" applyProtection="1">
      <alignment vertical="center"/>
    </xf>
    <xf numFmtId="166" fontId="7" fillId="3" borderId="0" xfId="0" applyNumberFormat="1" applyFont="1" applyFill="1" applyBorder="1" applyAlignment="1">
      <alignment vertical="center"/>
    </xf>
    <xf numFmtId="166" fontId="7" fillId="3" borderId="39" xfId="0" applyNumberFormat="1" applyFont="1" applyFill="1" applyBorder="1" applyAlignment="1">
      <alignment vertical="center"/>
    </xf>
    <xf numFmtId="165" fontId="7" fillId="3" borderId="0" xfId="0" applyNumberFormat="1" applyFont="1" applyFill="1" applyBorder="1" applyAlignment="1" applyProtection="1">
      <alignment vertical="center"/>
    </xf>
    <xf numFmtId="165" fontId="7" fillId="3" borderId="39" xfId="0" applyNumberFormat="1" applyFont="1" applyFill="1" applyBorder="1" applyAlignment="1" applyProtection="1">
      <alignment vertical="center"/>
    </xf>
    <xf numFmtId="2" fontId="7" fillId="3" borderId="36" xfId="0" applyNumberFormat="1" applyFont="1" applyFill="1" applyBorder="1" applyAlignment="1">
      <alignment vertical="center"/>
    </xf>
    <xf numFmtId="165" fontId="7" fillId="3" borderId="38" xfId="0" applyNumberFormat="1" applyFont="1" applyFill="1" applyBorder="1" applyAlignment="1">
      <alignment vertical="center"/>
    </xf>
    <xf numFmtId="0" fontId="7" fillId="4" borderId="0" xfId="0" applyFont="1" applyFill="1"/>
    <xf numFmtId="0" fontId="7" fillId="0" borderId="0" xfId="0" applyFont="1" applyFill="1"/>
    <xf numFmtId="11" fontId="7" fillId="0" borderId="0" xfId="0" applyNumberFormat="1" applyFont="1"/>
    <xf numFmtId="0" fontId="7" fillId="3" borderId="78" xfId="0" applyFont="1" applyFill="1" applyBorder="1"/>
    <xf numFmtId="0" fontId="7" fillId="6" borderId="79" xfId="0" applyFont="1" applyFill="1" applyBorder="1"/>
    <xf numFmtId="0" fontId="7" fillId="7" borderId="80" xfId="0" applyFont="1" applyFill="1" applyBorder="1" applyAlignment="1" applyProtection="1">
      <alignment wrapText="1"/>
    </xf>
    <xf numFmtId="0" fontId="7" fillId="7" borderId="80" xfId="0" applyFont="1" applyFill="1" applyBorder="1" applyProtection="1"/>
    <xf numFmtId="0" fontId="7" fillId="7" borderId="81" xfId="0" applyFont="1" applyFill="1" applyBorder="1" applyProtection="1"/>
    <xf numFmtId="0" fontId="14" fillId="3" borderId="82" xfId="0" applyFont="1" applyFill="1" applyBorder="1" applyAlignment="1">
      <alignment horizontal="left" vertical="center" wrapText="1"/>
    </xf>
    <xf numFmtId="0" fontId="8" fillId="8" borderId="83" xfId="0" applyFont="1" applyFill="1" applyBorder="1" applyAlignment="1">
      <alignment vertical="center" wrapText="1"/>
    </xf>
    <xf numFmtId="0" fontId="10" fillId="9" borderId="84" xfId="0" applyFont="1" applyFill="1" applyBorder="1" applyAlignment="1">
      <alignment vertical="top" wrapText="1"/>
    </xf>
    <xf numFmtId="0" fontId="8" fillId="8" borderId="83" xfId="0" applyFont="1" applyFill="1" applyBorder="1" applyAlignment="1">
      <alignment vertical="top" wrapText="1"/>
    </xf>
    <xf numFmtId="0" fontId="10" fillId="9" borderId="85" xfId="0" applyFont="1" applyFill="1" applyBorder="1" applyAlignment="1">
      <alignment vertical="top" wrapText="1"/>
    </xf>
    <xf numFmtId="0" fontId="10" fillId="9" borderId="86" xfId="0" applyFont="1" applyFill="1" applyBorder="1" applyAlignment="1">
      <alignment vertical="top" wrapText="1"/>
    </xf>
    <xf numFmtId="0" fontId="8" fillId="8" borderId="85" xfId="0" applyFont="1" applyFill="1" applyBorder="1" applyAlignment="1">
      <alignment vertical="top" wrapText="1"/>
    </xf>
    <xf numFmtId="0" fontId="11" fillId="9" borderId="85" xfId="0" applyFont="1" applyFill="1" applyBorder="1" applyAlignment="1">
      <alignment vertical="top"/>
    </xf>
    <xf numFmtId="0" fontId="16" fillId="9" borderId="87" xfId="0" applyFont="1" applyFill="1" applyBorder="1" applyAlignment="1">
      <alignment vertical="top"/>
    </xf>
    <xf numFmtId="0" fontId="7" fillId="3" borderId="80" xfId="0" applyFont="1" applyFill="1" applyBorder="1" applyAlignment="1">
      <alignment vertical="center"/>
    </xf>
    <xf numFmtId="0" fontId="7" fillId="3" borderId="89" xfId="0" applyFont="1" applyFill="1" applyBorder="1" applyAlignment="1">
      <alignment vertical="center"/>
    </xf>
    <xf numFmtId="0" fontId="7" fillId="3" borderId="90" xfId="0" applyFont="1" applyFill="1" applyBorder="1" applyAlignment="1">
      <alignment vertical="center"/>
    </xf>
    <xf numFmtId="0" fontId="7" fillId="3" borderId="81" xfId="0" applyFont="1" applyFill="1" applyBorder="1" applyAlignment="1">
      <alignment vertical="center"/>
    </xf>
    <xf numFmtId="0" fontId="7" fillId="3" borderId="91" xfId="0" applyFont="1" applyFill="1" applyBorder="1" applyAlignment="1">
      <alignment vertical="center"/>
    </xf>
    <xf numFmtId="0" fontId="7" fillId="3" borderId="92" xfId="0" applyFont="1" applyFill="1" applyBorder="1" applyAlignment="1">
      <alignment vertical="center"/>
    </xf>
    <xf numFmtId="0" fontId="7" fillId="12" borderId="0" xfId="0" applyFont="1" applyFill="1" applyBorder="1"/>
    <xf numFmtId="0" fontId="7" fillId="12" borderId="77" xfId="0" applyFont="1" applyFill="1" applyBorder="1"/>
    <xf numFmtId="0" fontId="7" fillId="12" borderId="0" xfId="0" applyFont="1" applyFill="1"/>
    <xf numFmtId="0" fontId="7" fillId="12" borderId="36" xfId="0" applyFont="1" applyFill="1" applyBorder="1"/>
    <xf numFmtId="0" fontId="7" fillId="12" borderId="0" xfId="0" applyFont="1" applyFill="1" applyBorder="1" applyAlignment="1">
      <alignment vertical="center"/>
    </xf>
    <xf numFmtId="0" fontId="7" fillId="12" borderId="0" xfId="0" applyFont="1" applyFill="1" applyAlignment="1">
      <alignment vertical="center"/>
    </xf>
    <xf numFmtId="0" fontId="9" fillId="8" borderId="66" xfId="0" applyFont="1" applyFill="1" applyBorder="1" applyAlignment="1">
      <alignment horizontal="left" vertical="top" wrapText="1"/>
    </xf>
    <xf numFmtId="2" fontId="15" fillId="3" borderId="49" xfId="0" applyNumberFormat="1" applyFont="1" applyFill="1" applyBorder="1" applyAlignment="1" applyProtection="1">
      <alignment vertical="center"/>
    </xf>
    <xf numFmtId="0" fontId="13" fillId="3" borderId="93" xfId="0" applyFont="1" applyFill="1" applyBorder="1" applyAlignment="1">
      <alignment horizontal="center" vertical="top" wrapText="1"/>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2" fillId="3" borderId="45" xfId="0" applyFont="1" applyFill="1" applyBorder="1" applyAlignment="1">
      <alignment horizontal="left" vertical="center"/>
    </xf>
    <xf numFmtId="0" fontId="2" fillId="3" borderId="44"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46" xfId="0" applyFont="1" applyFill="1" applyBorder="1" applyAlignment="1">
      <alignment horizontal="left" vertical="center"/>
    </xf>
    <xf numFmtId="0" fontId="2" fillId="5" borderId="0" xfId="0" applyFont="1" applyFill="1" applyBorder="1" applyAlignment="1">
      <alignment horizontal="right"/>
    </xf>
    <xf numFmtId="0" fontId="0" fillId="4" borderId="0" xfId="0" applyFill="1"/>
    <xf numFmtId="0" fontId="0" fillId="0" borderId="0" xfId="0" applyFill="1"/>
    <xf numFmtId="0" fontId="2" fillId="0" borderId="0" xfId="0" applyFont="1" applyFill="1" applyBorder="1" applyAlignment="1">
      <alignment vertical="center"/>
    </xf>
    <xf numFmtId="0" fontId="19" fillId="3" borderId="60" xfId="0" applyFont="1" applyFill="1" applyBorder="1" applyAlignment="1">
      <alignment vertical="center"/>
    </xf>
    <xf numFmtId="0" fontId="19" fillId="3" borderId="42" xfId="0" applyFont="1" applyFill="1" applyBorder="1" applyAlignment="1">
      <alignment vertical="center"/>
    </xf>
    <xf numFmtId="0" fontId="19" fillId="3" borderId="61" xfId="0" applyFont="1" applyFill="1" applyBorder="1" applyAlignment="1">
      <alignment vertical="center"/>
    </xf>
    <xf numFmtId="0" fontId="10" fillId="9" borderId="94" xfId="0" applyFont="1" applyFill="1" applyBorder="1" applyAlignment="1">
      <alignment vertical="top" wrapText="1"/>
    </xf>
    <xf numFmtId="0" fontId="10" fillId="9" borderId="94" xfId="0" applyFont="1" applyFill="1" applyBorder="1" applyAlignment="1">
      <alignment vertical="center" wrapText="1"/>
    </xf>
    <xf numFmtId="0" fontId="10" fillId="9" borderId="96" xfId="0" applyFont="1" applyFill="1" applyBorder="1" applyAlignment="1">
      <alignment vertical="top" wrapText="1"/>
    </xf>
    <xf numFmtId="0" fontId="21" fillId="3" borderId="57" xfId="0" applyFont="1" applyFill="1" applyBorder="1" applyAlignment="1">
      <alignment horizontal="left" vertical="center"/>
    </xf>
    <xf numFmtId="0" fontId="22" fillId="3" borderId="59" xfId="0" applyFont="1" applyFill="1" applyBorder="1" applyAlignment="1">
      <alignment horizontal="right" vertical="center"/>
    </xf>
    <xf numFmtId="0" fontId="22" fillId="3" borderId="49" xfId="0" applyFont="1" applyFill="1" applyBorder="1" applyAlignment="1">
      <alignment horizontal="right" vertical="center"/>
    </xf>
    <xf numFmtId="0" fontId="22" fillId="3" borderId="57" xfId="0" applyFont="1" applyFill="1" applyBorder="1" applyAlignment="1">
      <alignment horizontal="right" vertical="center"/>
    </xf>
    <xf numFmtId="0" fontId="22" fillId="3" borderId="50" xfId="0" applyFont="1" applyFill="1" applyBorder="1" applyAlignment="1">
      <alignment horizontal="right" vertical="center"/>
    </xf>
    <xf numFmtId="0" fontId="22" fillId="3" borderId="63" xfId="0" applyFont="1" applyFill="1" applyBorder="1" applyAlignment="1">
      <alignment horizontal="right" vertical="center"/>
    </xf>
    <xf numFmtId="0" fontId="22" fillId="3" borderId="49" xfId="0" applyFont="1" applyFill="1" applyBorder="1" applyAlignment="1" applyProtection="1">
      <alignment horizontal="right" vertical="center"/>
      <protection locked="0"/>
    </xf>
    <xf numFmtId="0" fontId="22" fillId="3" borderId="49" xfId="0" applyFont="1" applyFill="1" applyBorder="1" applyAlignment="1">
      <alignment vertical="center"/>
    </xf>
    <xf numFmtId="0" fontId="21" fillId="3" borderId="49" xfId="0" applyFont="1" applyFill="1" applyBorder="1" applyAlignment="1">
      <alignment horizontal="left" vertical="center"/>
    </xf>
    <xf numFmtId="0" fontId="21" fillId="3" borderId="49" xfId="0" applyFont="1" applyFill="1" applyBorder="1" applyAlignment="1">
      <alignment vertical="center"/>
    </xf>
    <xf numFmtId="0" fontId="10" fillId="9" borderId="95" xfId="0" applyFont="1" applyFill="1" applyBorder="1" applyAlignment="1">
      <alignment vertical="top" wrapText="1"/>
    </xf>
    <xf numFmtId="0" fontId="10" fillId="9" borderId="75" xfId="0" applyFont="1" applyFill="1" applyBorder="1" applyAlignment="1">
      <alignment vertical="top" wrapText="1"/>
    </xf>
    <xf numFmtId="0" fontId="9" fillId="8" borderId="80" xfId="0" applyFont="1" applyFill="1" applyBorder="1" applyAlignment="1">
      <alignment vertical="center" wrapText="1"/>
    </xf>
    <xf numFmtId="0" fontId="8" fillId="8" borderId="0" xfId="0" applyFont="1" applyFill="1" applyBorder="1" applyAlignment="1">
      <alignment vertical="center" wrapText="1"/>
    </xf>
    <xf numFmtId="0" fontId="8" fillId="8" borderId="49" xfId="0" applyFont="1" applyFill="1" applyBorder="1" applyAlignment="1">
      <alignment vertical="center" wrapText="1"/>
    </xf>
    <xf numFmtId="0" fontId="15" fillId="7" borderId="0" xfId="0" applyFont="1" applyFill="1" applyProtection="1">
      <protection locked="0"/>
    </xf>
    <xf numFmtId="0" fontId="17" fillId="3" borderId="79"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7" fillId="3" borderId="74" xfId="0" applyFont="1" applyFill="1" applyBorder="1" applyAlignment="1">
      <alignment horizontal="center" vertical="center" wrapText="1"/>
    </xf>
    <xf numFmtId="0" fontId="7" fillId="6" borderId="43" xfId="0" applyFont="1" applyFill="1" applyBorder="1" applyAlignment="1">
      <alignment horizontal="center"/>
    </xf>
    <xf numFmtId="0" fontId="10" fillId="9" borderId="85" xfId="0" applyFont="1" applyFill="1" applyBorder="1" applyAlignment="1">
      <alignment horizontal="left" vertical="top" wrapText="1"/>
    </xf>
    <xf numFmtId="0" fontId="10" fillId="9" borderId="86" xfId="0" applyFont="1" applyFill="1" applyBorder="1" applyAlignment="1">
      <alignment horizontal="left" vertical="top" wrapText="1"/>
    </xf>
    <xf numFmtId="0" fontId="8" fillId="6" borderId="41" xfId="0" applyFont="1" applyFill="1" applyBorder="1" applyAlignment="1">
      <alignment horizontal="left" vertical="center" wrapText="1"/>
    </xf>
    <xf numFmtId="0" fontId="8" fillId="6" borderId="65" xfId="0" applyFont="1" applyFill="1" applyBorder="1" applyAlignment="1">
      <alignment horizontal="left" vertical="top" wrapText="1"/>
    </xf>
    <xf numFmtId="0" fontId="8" fillId="6" borderId="72" xfId="0" applyFont="1" applyFill="1" applyBorder="1" applyAlignment="1">
      <alignment horizontal="left" vertical="top" wrapText="1"/>
    </xf>
    <xf numFmtId="0" fontId="9" fillId="8" borderId="80" xfId="0" applyFont="1" applyFill="1" applyBorder="1" applyAlignment="1">
      <alignment horizontal="left" vertical="center" wrapText="1"/>
    </xf>
    <xf numFmtId="0" fontId="9" fillId="8" borderId="0" xfId="0" applyFont="1" applyFill="1" applyBorder="1" applyAlignment="1">
      <alignment horizontal="left" vertical="center" wrapText="1"/>
    </xf>
    <xf numFmtId="0" fontId="9" fillId="8" borderId="49" xfId="0" applyFont="1" applyFill="1" applyBorder="1" applyAlignment="1">
      <alignment horizontal="left" vertical="center" wrapText="1"/>
    </xf>
    <xf numFmtId="0" fontId="10" fillId="9" borderId="97" xfId="0" applyFont="1" applyFill="1" applyBorder="1" applyAlignment="1">
      <alignment horizontal="left" wrapText="1"/>
    </xf>
    <xf numFmtId="0" fontId="10" fillId="9" borderId="86" xfId="0" applyFont="1" applyFill="1" applyBorder="1" applyAlignment="1">
      <alignment horizontal="left" wrapText="1"/>
    </xf>
    <xf numFmtId="0" fontId="8" fillId="6" borderId="71" xfId="0" applyFont="1" applyFill="1" applyBorder="1" applyAlignment="1">
      <alignment horizontal="left" vertical="center" wrapText="1"/>
    </xf>
    <xf numFmtId="0" fontId="9" fillId="8" borderId="88" xfId="0" applyFont="1" applyFill="1" applyBorder="1" applyAlignment="1">
      <alignment horizontal="left" vertical="center" wrapText="1"/>
    </xf>
    <xf numFmtId="0" fontId="9" fillId="8" borderId="65" xfId="0" applyFont="1" applyFill="1" applyBorder="1" applyAlignment="1">
      <alignment horizontal="left" vertical="center" wrapText="1"/>
    </xf>
    <xf numFmtId="0" fontId="9" fillId="8" borderId="66" xfId="0" applyFont="1" applyFill="1" applyBorder="1" applyAlignment="1">
      <alignment horizontal="left" vertical="center" wrapText="1"/>
    </xf>
    <xf numFmtId="0" fontId="7" fillId="3" borderId="0" xfId="0" applyFont="1" applyFill="1" applyAlignment="1">
      <alignment horizontal="center"/>
    </xf>
    <xf numFmtId="0" fontId="10" fillId="9" borderId="81" xfId="0" applyFont="1" applyFill="1" applyBorder="1" applyAlignment="1">
      <alignment horizontal="left" vertical="top" wrapText="1"/>
    </xf>
    <xf numFmtId="0" fontId="10" fillId="9" borderId="36" xfId="0" applyFont="1" applyFill="1" applyBorder="1" applyAlignment="1">
      <alignment horizontal="left" vertical="top" wrapText="1"/>
    </xf>
    <xf numFmtId="0" fontId="10" fillId="9" borderId="54" xfId="0" applyFont="1" applyFill="1" applyBorder="1" applyAlignment="1">
      <alignment horizontal="left" vertical="top" wrapText="1"/>
    </xf>
    <xf numFmtId="0" fontId="10" fillId="9" borderId="84" xfId="0" applyFont="1" applyFill="1" applyBorder="1" applyAlignment="1">
      <alignment horizontal="left" vertical="top" wrapText="1"/>
    </xf>
    <xf numFmtId="0" fontId="18" fillId="3" borderId="76" xfId="0" applyFont="1" applyFill="1" applyBorder="1" applyAlignment="1">
      <alignment horizontal="left" vertical="top" wrapText="1"/>
    </xf>
    <xf numFmtId="0" fontId="18" fillId="3" borderId="36" xfId="0" applyFont="1" applyFill="1" applyBorder="1" applyAlignment="1">
      <alignment horizontal="left" vertical="top" wrapText="1"/>
    </xf>
    <xf numFmtId="0" fontId="8" fillId="6" borderId="33" xfId="0" applyFont="1" applyFill="1" applyBorder="1" applyAlignment="1">
      <alignment horizontal="left" vertical="top" wrapText="1"/>
    </xf>
    <xf numFmtId="0" fontId="13" fillId="3" borderId="73" xfId="0" applyFont="1" applyFill="1" applyBorder="1" applyAlignment="1">
      <alignment horizontal="center" vertical="top" wrapText="1"/>
    </xf>
    <xf numFmtId="0" fontId="13" fillId="3" borderId="43" xfId="0" applyFont="1" applyFill="1" applyBorder="1" applyAlignment="1">
      <alignment horizontal="center" vertical="top" wrapText="1"/>
    </xf>
    <xf numFmtId="0" fontId="9" fillId="8" borderId="64" xfId="0" applyFont="1" applyFill="1" applyBorder="1" applyAlignment="1">
      <alignment horizontal="left" vertical="top" wrapText="1"/>
    </xf>
    <xf numFmtId="0" fontId="9" fillId="8" borderId="65" xfId="0" applyFont="1" applyFill="1" applyBorder="1" applyAlignment="1">
      <alignment horizontal="left" vertical="top" wrapText="1"/>
    </xf>
    <xf numFmtId="0" fontId="1" fillId="3" borderId="36" xfId="0" applyFont="1" applyFill="1" applyBorder="1" applyAlignment="1">
      <alignment horizontal="center" vertical="top" wrapText="1"/>
    </xf>
    <xf numFmtId="0" fontId="1" fillId="3" borderId="0" xfId="0" applyFont="1" applyFill="1" applyBorder="1" applyAlignment="1">
      <alignment horizontal="left" vertical="top" wrapText="1"/>
    </xf>
    <xf numFmtId="0" fontId="10" fillId="9" borderId="95" xfId="0" applyFont="1" applyFill="1" applyBorder="1" applyAlignment="1">
      <alignment horizontal="left" vertical="top" wrapText="1"/>
    </xf>
    <xf numFmtId="0" fontId="10" fillId="9" borderId="67" xfId="0" applyFont="1" applyFill="1" applyBorder="1" applyAlignment="1">
      <alignment horizontal="left" vertical="top" wrapText="1"/>
    </xf>
    <xf numFmtId="0" fontId="10" fillId="9" borderId="94" xfId="0" applyFont="1" applyFill="1" applyBorder="1" applyAlignment="1">
      <alignment horizontal="left" vertical="top" wrapText="1"/>
    </xf>
    <xf numFmtId="0" fontId="10" fillId="11" borderId="42" xfId="0" applyFont="1" applyFill="1" applyBorder="1" applyAlignment="1">
      <alignment horizontal="left" vertical="top" wrapText="1"/>
    </xf>
    <xf numFmtId="0" fontId="10" fillId="11" borderId="0" xfId="0" applyFont="1" applyFill="1" applyBorder="1" applyAlignment="1">
      <alignment horizontal="left" vertical="top" wrapText="1"/>
    </xf>
    <xf numFmtId="0" fontId="10" fillId="11" borderId="49" xfId="0" applyFont="1" applyFill="1" applyBorder="1" applyAlignment="1">
      <alignment horizontal="left" vertical="top" wrapText="1"/>
    </xf>
    <xf numFmtId="0" fontId="10" fillId="11" borderId="53" xfId="0" applyFont="1" applyFill="1" applyBorder="1" applyAlignment="1">
      <alignment horizontal="left" vertical="top" wrapText="1"/>
    </xf>
    <xf numFmtId="0" fontId="10" fillId="11" borderId="36" xfId="0" applyFont="1" applyFill="1" applyBorder="1" applyAlignment="1">
      <alignment horizontal="left" vertical="top" wrapText="1"/>
    </xf>
    <xf numFmtId="0" fontId="10" fillId="11" borderId="54" xfId="0" applyFont="1" applyFill="1" applyBorder="1" applyAlignment="1">
      <alignment horizontal="left" vertical="top" wrapText="1"/>
    </xf>
    <xf numFmtId="0" fontId="20" fillId="8" borderId="65" xfId="0" applyFont="1" applyFill="1" applyBorder="1" applyAlignment="1">
      <alignment horizontal="right" vertical="top" wrapText="1"/>
    </xf>
    <xf numFmtId="0" fontId="20" fillId="8" borderId="66" xfId="0" applyFont="1" applyFill="1" applyBorder="1" applyAlignment="1">
      <alignment horizontal="right" vertical="top" wrapText="1"/>
    </xf>
    <xf numFmtId="0" fontId="8" fillId="6" borderId="40" xfId="0" applyFont="1" applyFill="1" applyBorder="1" applyAlignment="1">
      <alignment horizontal="left" vertical="top" wrapText="1"/>
    </xf>
    <xf numFmtId="0" fontId="1" fillId="3" borderId="0" xfId="0" applyFont="1" applyFill="1" applyBorder="1" applyAlignment="1">
      <alignment horizontal="center" vertical="top" wrapText="1"/>
    </xf>
  </cellXfs>
  <cellStyles count="2">
    <cellStyle name="Procent" xfId="1" builtinId="5"/>
    <cellStyle name="Standaard" xfId="0" builtinId="0"/>
  </cellStyles>
  <dxfs count="66">
    <dxf>
      <font>
        <color theme="0"/>
      </font>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ill>
        <patternFill>
          <bgColor theme="0"/>
        </patternFill>
      </fill>
    </dxf>
    <dxf>
      <font>
        <color theme="0"/>
      </font>
      <fill>
        <patternFill>
          <bgColor theme="0"/>
        </patternFill>
      </fill>
    </dxf>
    <dxf>
      <font>
        <color theme="8" tint="0.59996337778862885"/>
      </font>
    </dxf>
    <dxf>
      <font>
        <color theme="8" tint="0.59996337778862885"/>
      </font>
    </dxf>
    <dxf>
      <font>
        <color theme="8" tint="0.59996337778862885"/>
      </font>
    </dxf>
    <dxf>
      <font>
        <color theme="0"/>
      </font>
      <fill>
        <patternFill>
          <bgColor theme="0"/>
        </patternFill>
      </fill>
    </dxf>
    <dxf>
      <font>
        <color theme="0"/>
      </font>
    </dxf>
    <dxf>
      <font>
        <color theme="0"/>
      </font>
    </dxf>
    <dxf>
      <font>
        <color theme="8" tint="0.59996337778862885"/>
      </font>
    </dxf>
    <dxf>
      <font>
        <color theme="8" tint="0.59996337778862885"/>
      </font>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8" tint="0.59996337778862885"/>
      </font>
    </dxf>
    <dxf>
      <font>
        <color theme="8" tint="0.59996337778862885"/>
      </font>
    </dxf>
    <dxf>
      <font>
        <color theme="0"/>
      </font>
    </dxf>
    <dxf>
      <font>
        <color theme="0"/>
      </font>
    </dxf>
    <dxf>
      <font>
        <color rgb="FFFF0000"/>
      </font>
    </dxf>
    <dxf>
      <font>
        <color theme="0"/>
      </font>
    </dxf>
    <dxf>
      <font>
        <color theme="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fill>
        <patternFill>
          <bgColor theme="0"/>
        </patternFill>
      </fill>
    </dxf>
    <dxf>
      <font>
        <color theme="0"/>
      </font>
    </dxf>
    <dxf>
      <font>
        <color theme="0"/>
      </font>
    </dxf>
    <dxf>
      <font>
        <color theme="0"/>
      </font>
    </dxf>
    <dxf>
      <font>
        <color theme="0"/>
      </font>
    </dxf>
    <dxf>
      <font>
        <color theme="0"/>
      </font>
    </dxf>
    <dxf>
      <font>
        <color rgb="FFFF0000"/>
      </font>
    </dxf>
  </dxfs>
  <tableStyles count="0" defaultTableStyle="TableStyleMedium2" defaultPivotStyle="PivotStyleLight16"/>
  <colors>
    <mruColors>
      <color rgb="FFF8F8F8"/>
      <color rgb="FFB7DFE8"/>
      <color rgb="FF000080"/>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16" fmlaLink="$L$33" horiz="1" max="601" page="10" val="0"/>
</file>

<file path=xl/ctrlProps/ctrlProp10.xml><?xml version="1.0" encoding="utf-8"?>
<formControlPr xmlns="http://schemas.microsoft.com/office/spreadsheetml/2009/9/main" objectType="Drop" dropStyle="combo" dx="22" fmlaLink="$H$63" fmlaRange="$H$64:$H$71" noThreeD="1" sel="1" val="0"/>
</file>

<file path=xl/ctrlProps/ctrlProp11.xml><?xml version="1.0" encoding="utf-8"?>
<formControlPr xmlns="http://schemas.microsoft.com/office/spreadsheetml/2009/9/main" objectType="Drop" dropLines="13" dropStyle="combo" dx="22" fmlaLink="$H$96" fmlaRange="$H$97:$H$111" noThreeD="1" sel="1" val="0"/>
</file>

<file path=xl/ctrlProps/ctrlProp12.xml><?xml version="1.0" encoding="utf-8"?>
<formControlPr xmlns="http://schemas.microsoft.com/office/spreadsheetml/2009/9/main" objectType="Drop" dropStyle="combo" dx="22" fmlaLink="$H$73" fmlaRange="$H$74:$H$81" noThreeD="1" sel="1" val="0"/>
</file>

<file path=xl/ctrlProps/ctrlProp13.xml><?xml version="1.0" encoding="utf-8"?>
<formControlPr xmlns="http://schemas.microsoft.com/office/spreadsheetml/2009/9/main" objectType="Drop" dropLines="2" dropStyle="combo" dx="22" fmlaLink="$J$54" fmlaRange="$J$55:$J$56" noThreeD="1" sel="1" val="0"/>
</file>

<file path=xl/ctrlProps/ctrlProp14.xml><?xml version="1.0" encoding="utf-8"?>
<formControlPr xmlns="http://schemas.microsoft.com/office/spreadsheetml/2009/9/main" objectType="Drop" dropLines="3" dropStyle="combo" dx="22" fmlaLink="$K$54" fmlaRange="$K$55:$K$57" noThreeD="1" sel="1" val="0"/>
</file>

<file path=xl/ctrlProps/ctrlProp15.xml><?xml version="1.0" encoding="utf-8"?>
<formControlPr xmlns="http://schemas.microsoft.com/office/spreadsheetml/2009/9/main" objectType="Drop" dropLines="3" dropStyle="combo" dx="22" fmlaLink="$AK$7" fmlaRange="$AJ$8:$AJ$10" noThreeD="1" sel="1" val="0"/>
</file>

<file path=xl/ctrlProps/ctrlProp16.xml><?xml version="1.0" encoding="utf-8"?>
<formControlPr xmlns="http://schemas.microsoft.com/office/spreadsheetml/2009/9/main" objectType="Drop" dropLines="2" dropStyle="combo" dx="22" fmlaLink="$AM$7" fmlaRange="$AL$8:$AL$9" noThreeD="1" sel="2" val="0"/>
</file>

<file path=xl/ctrlProps/ctrlProp17.xml><?xml version="1.0" encoding="utf-8"?>
<formControlPr xmlns="http://schemas.microsoft.com/office/spreadsheetml/2009/9/main" objectType="Drop" dropLines="3" dropStyle="combo" dx="22" fmlaLink="$AK$7" fmlaRange="$AJ$8:$AJ$10" noThreeD="1" sel="1" val="0"/>
</file>

<file path=xl/ctrlProps/ctrlProp18.xml><?xml version="1.0" encoding="utf-8"?>
<formControlPr xmlns="http://schemas.microsoft.com/office/spreadsheetml/2009/9/main" objectType="Drop" dropLines="2" dropStyle="combo" dx="22" fmlaLink="$AM$7" fmlaRange="$AL$8:$AL$9" noThreeD="1" sel="2" val="0"/>
</file>

<file path=xl/ctrlProps/ctrlProp19.xml><?xml version="1.0" encoding="utf-8"?>
<formControlPr xmlns="http://schemas.microsoft.com/office/spreadsheetml/2009/9/main" objectType="Drop" dropLines="2" dropStyle="combo" dx="22" fmlaLink="$AN$13" fmlaRange="$AM$14:$AM$16" noThreeD="1" sel="0" val="0"/>
</file>

<file path=xl/ctrlProps/ctrlProp2.xml><?xml version="1.0" encoding="utf-8"?>
<formControlPr xmlns="http://schemas.microsoft.com/office/spreadsheetml/2009/9/main" objectType="Scroll" dx="16" fmlaLink="$L$34" horiz="1" max="401" page="10" val="0"/>
</file>

<file path=xl/ctrlProps/ctrlProp3.xml><?xml version="1.0" encoding="utf-8"?>
<formControlPr xmlns="http://schemas.microsoft.com/office/spreadsheetml/2009/9/main" objectType="Scroll" dx="16" fmlaLink="$L$21" horiz="1" max="20" page="0" val="0"/>
</file>

<file path=xl/ctrlProps/ctrlProp4.xml><?xml version="1.0" encoding="utf-8"?>
<formControlPr xmlns="http://schemas.microsoft.com/office/spreadsheetml/2009/9/main" objectType="Scroll" dx="16" fmlaLink="$L$22" horiz="1" max="26" page="5" val="0"/>
</file>

<file path=xl/ctrlProps/ctrlProp5.xml><?xml version="1.0" encoding="utf-8"?>
<formControlPr xmlns="http://schemas.microsoft.com/office/spreadsheetml/2009/9/main" objectType="Scroll" dx="16" fmlaLink="$L$25" horiz="1" max="101" page="10" val="0"/>
</file>

<file path=xl/ctrlProps/ctrlProp6.xml><?xml version="1.0" encoding="utf-8"?>
<formControlPr xmlns="http://schemas.microsoft.com/office/spreadsheetml/2009/9/main" objectType="Scroll" dx="16" fmlaLink="$L$8" horiz="1" max="87" page="5" val="0"/>
</file>

<file path=xl/ctrlProps/ctrlProp7.xml><?xml version="1.0" encoding="utf-8"?>
<formControlPr xmlns="http://schemas.microsoft.com/office/spreadsheetml/2009/9/main" objectType="Scroll" dx="16" fmlaLink="$L$9" horiz="1" max="90" page="5" val="0"/>
</file>

<file path=xl/ctrlProps/ctrlProp8.xml><?xml version="1.0" encoding="utf-8"?>
<formControlPr xmlns="http://schemas.microsoft.com/office/spreadsheetml/2009/9/main" objectType="Scroll" dx="16" fmlaLink="$L$13" horiz="1" max="51" page="10" val="0"/>
</file>

<file path=xl/ctrlProps/ctrlProp9.xml><?xml version="1.0" encoding="utf-8"?>
<formControlPr xmlns="http://schemas.microsoft.com/office/spreadsheetml/2009/9/main" objectType="Scroll" dx="16" fmlaLink="$L$15" horiz="1" max="51" page="10"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xdr:colOff>
      <xdr:row>1</xdr:row>
      <xdr:rowOff>19050</xdr:rowOff>
    </xdr:from>
    <xdr:to>
      <xdr:col>11</xdr:col>
      <xdr:colOff>0</xdr:colOff>
      <xdr:row>1</xdr:row>
      <xdr:rowOff>1089660</xdr:rowOff>
    </xdr:to>
    <xdr:pic>
      <xdr:nvPicPr>
        <xdr:cNvPr id="16576" name="Afbeelding 18"/>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2300" y="114300"/>
          <a:ext cx="3419475" cy="107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1819275</xdr:colOff>
          <xdr:row>32</xdr:row>
          <xdr:rowOff>19050</xdr:rowOff>
        </xdr:from>
        <xdr:to>
          <xdr:col>9</xdr:col>
          <xdr:colOff>2286000</xdr:colOff>
          <xdr:row>32</xdr:row>
          <xdr:rowOff>180975</xdr:rowOff>
        </xdr:to>
        <xdr:sp macro="" textlink="">
          <xdr:nvSpPr>
            <xdr:cNvPr id="7450" name="Scroll Bar 2330" hidden="1">
              <a:extLst>
                <a:ext uri="{63B3BB69-23CF-44E3-9099-C40C66FF867C}">
                  <a14:compatExt spid="_x0000_s74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33</xdr:row>
          <xdr:rowOff>28575</xdr:rowOff>
        </xdr:from>
        <xdr:to>
          <xdr:col>9</xdr:col>
          <xdr:colOff>2286000</xdr:colOff>
          <xdr:row>33</xdr:row>
          <xdr:rowOff>190500</xdr:rowOff>
        </xdr:to>
        <xdr:sp macro="" textlink="">
          <xdr:nvSpPr>
            <xdr:cNvPr id="7451" name="Scroll Bar 2331" hidden="1">
              <a:extLst>
                <a:ext uri="{63B3BB69-23CF-44E3-9099-C40C66FF867C}">
                  <a14:compatExt spid="_x0000_s74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20</xdr:row>
          <xdr:rowOff>19050</xdr:rowOff>
        </xdr:from>
        <xdr:to>
          <xdr:col>9</xdr:col>
          <xdr:colOff>2286000</xdr:colOff>
          <xdr:row>20</xdr:row>
          <xdr:rowOff>180975</xdr:rowOff>
        </xdr:to>
        <xdr:sp macro="" textlink="">
          <xdr:nvSpPr>
            <xdr:cNvPr id="7452" name="Scroll Bar 2332" hidden="1">
              <a:extLst>
                <a:ext uri="{63B3BB69-23CF-44E3-9099-C40C66FF867C}">
                  <a14:compatExt spid="_x0000_s74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21</xdr:row>
          <xdr:rowOff>9525</xdr:rowOff>
        </xdr:from>
        <xdr:to>
          <xdr:col>9</xdr:col>
          <xdr:colOff>2286000</xdr:colOff>
          <xdr:row>21</xdr:row>
          <xdr:rowOff>171450</xdr:rowOff>
        </xdr:to>
        <xdr:sp macro="" textlink="">
          <xdr:nvSpPr>
            <xdr:cNvPr id="7453" name="Scroll Bar 2333" hidden="1">
              <a:extLst>
                <a:ext uri="{63B3BB69-23CF-44E3-9099-C40C66FF867C}">
                  <a14:compatExt spid="_x0000_s745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24</xdr:row>
          <xdr:rowOff>19050</xdr:rowOff>
        </xdr:from>
        <xdr:to>
          <xdr:col>9</xdr:col>
          <xdr:colOff>2286000</xdr:colOff>
          <xdr:row>24</xdr:row>
          <xdr:rowOff>180975</xdr:rowOff>
        </xdr:to>
        <xdr:sp macro="" textlink="">
          <xdr:nvSpPr>
            <xdr:cNvPr id="7454" name="Scroll Bar 2334" hidden="1">
              <a:extLst>
                <a:ext uri="{63B3BB69-23CF-44E3-9099-C40C66FF867C}">
                  <a14:compatExt spid="_x0000_s745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7</xdr:row>
          <xdr:rowOff>28575</xdr:rowOff>
        </xdr:from>
        <xdr:to>
          <xdr:col>9</xdr:col>
          <xdr:colOff>2286000</xdr:colOff>
          <xdr:row>7</xdr:row>
          <xdr:rowOff>190500</xdr:rowOff>
        </xdr:to>
        <xdr:sp macro="" textlink="">
          <xdr:nvSpPr>
            <xdr:cNvPr id="7455" name="Scroll Bar 2335" hidden="1">
              <a:extLst>
                <a:ext uri="{63B3BB69-23CF-44E3-9099-C40C66FF867C}">
                  <a14:compatExt spid="_x0000_s745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8</xdr:row>
          <xdr:rowOff>19050</xdr:rowOff>
        </xdr:from>
        <xdr:to>
          <xdr:col>9</xdr:col>
          <xdr:colOff>2286000</xdr:colOff>
          <xdr:row>8</xdr:row>
          <xdr:rowOff>180975</xdr:rowOff>
        </xdr:to>
        <xdr:sp macro="" textlink="">
          <xdr:nvSpPr>
            <xdr:cNvPr id="7456" name="Scroll Bar 2336" hidden="1">
              <a:extLst>
                <a:ext uri="{63B3BB69-23CF-44E3-9099-C40C66FF867C}">
                  <a14:compatExt spid="_x0000_s745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12</xdr:row>
          <xdr:rowOff>9525</xdr:rowOff>
        </xdr:from>
        <xdr:to>
          <xdr:col>9</xdr:col>
          <xdr:colOff>2286000</xdr:colOff>
          <xdr:row>12</xdr:row>
          <xdr:rowOff>171450</xdr:rowOff>
        </xdr:to>
        <xdr:sp macro="" textlink="">
          <xdr:nvSpPr>
            <xdr:cNvPr id="7457" name="Scroll Bar 2337" hidden="1">
              <a:extLst>
                <a:ext uri="{63B3BB69-23CF-44E3-9099-C40C66FF867C}">
                  <a14:compatExt spid="_x0000_s745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14</xdr:row>
          <xdr:rowOff>28575</xdr:rowOff>
        </xdr:from>
        <xdr:to>
          <xdr:col>9</xdr:col>
          <xdr:colOff>2286000</xdr:colOff>
          <xdr:row>14</xdr:row>
          <xdr:rowOff>190500</xdr:rowOff>
        </xdr:to>
        <xdr:sp macro="" textlink="">
          <xdr:nvSpPr>
            <xdr:cNvPr id="7458" name="Scroll Bar 2338" hidden="1">
              <a:extLst>
                <a:ext uri="{63B3BB69-23CF-44E3-9099-C40C66FF867C}">
                  <a14:compatExt spid="_x0000_s745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1819275</xdr:colOff>
          <xdr:row>12</xdr:row>
          <xdr:rowOff>0</xdr:rowOff>
        </xdr:from>
        <xdr:to>
          <xdr:col>9</xdr:col>
          <xdr:colOff>0</xdr:colOff>
          <xdr:row>12</xdr:row>
          <xdr:rowOff>200025</xdr:rowOff>
        </xdr:to>
        <xdr:sp macro="" textlink="">
          <xdr:nvSpPr>
            <xdr:cNvPr id="7459" name="Drop Down 2339" hidden="1">
              <a:extLst>
                <a:ext uri="{63B3BB69-23CF-44E3-9099-C40C66FF867C}">
                  <a14:compatExt spid="_x0000_s7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1819275</xdr:colOff>
          <xdr:row>16</xdr:row>
          <xdr:rowOff>0</xdr:rowOff>
        </xdr:from>
        <xdr:to>
          <xdr:col>9</xdr:col>
          <xdr:colOff>0</xdr:colOff>
          <xdr:row>16</xdr:row>
          <xdr:rowOff>200025</xdr:rowOff>
        </xdr:to>
        <xdr:sp macro="" textlink="">
          <xdr:nvSpPr>
            <xdr:cNvPr id="7460" name="Drop Down 2340" hidden="1">
              <a:extLst>
                <a:ext uri="{63B3BB69-23CF-44E3-9099-C40C66FF867C}">
                  <a14:compatExt spid="_x0000_s7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1819275</xdr:colOff>
          <xdr:row>14</xdr:row>
          <xdr:rowOff>0</xdr:rowOff>
        </xdr:from>
        <xdr:to>
          <xdr:col>9</xdr:col>
          <xdr:colOff>0</xdr:colOff>
          <xdr:row>14</xdr:row>
          <xdr:rowOff>190500</xdr:rowOff>
        </xdr:to>
        <xdr:sp macro="" textlink="">
          <xdr:nvSpPr>
            <xdr:cNvPr id="7461" name="Drop Down 2341" hidden="1">
              <a:extLst>
                <a:ext uri="{63B3BB69-23CF-44E3-9099-C40C66FF867C}">
                  <a14:compatExt spid="_x0000_s7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xdr:row>
          <xdr:rowOff>38100</xdr:rowOff>
        </xdr:from>
        <xdr:to>
          <xdr:col>10</xdr:col>
          <xdr:colOff>1733550</xdr:colOff>
          <xdr:row>1</xdr:row>
          <xdr:rowOff>238125</xdr:rowOff>
        </xdr:to>
        <xdr:sp macro="" textlink="">
          <xdr:nvSpPr>
            <xdr:cNvPr id="7462" name="Drop Down 2342" hidden="1">
              <a:extLst>
                <a:ext uri="{63B3BB69-23CF-44E3-9099-C40C66FF867C}">
                  <a14:compatExt spid="_x0000_s74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9526</xdr:colOff>
      <xdr:row>1</xdr:row>
      <xdr:rowOff>19049</xdr:rowOff>
    </xdr:from>
    <xdr:to>
      <xdr:col>9</xdr:col>
      <xdr:colOff>2305050</xdr:colOff>
      <xdr:row>1</xdr:row>
      <xdr:rowOff>1085848</xdr:rowOff>
    </xdr:to>
    <xdr:grpSp>
      <xdr:nvGrpSpPr>
        <xdr:cNvPr id="16577" name="Groep 7"/>
        <xdr:cNvGrpSpPr>
          <a:grpSpLocks/>
        </xdr:cNvGrpSpPr>
      </xdr:nvGrpSpPr>
      <xdr:grpSpPr bwMode="auto">
        <a:xfrm>
          <a:off x="104776" y="114299"/>
          <a:ext cx="6829424" cy="1066799"/>
          <a:chOff x="105626" y="1047750"/>
          <a:chExt cx="6219712" cy="1069929"/>
        </a:xfrm>
      </xdr:grpSpPr>
      <xdr:pic>
        <xdr:nvPicPr>
          <xdr:cNvPr id="16580" name="Afbeelding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047750"/>
            <a:ext cx="6211038" cy="1069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kstvak 6"/>
          <xdr:cNvSpPr txBox="1"/>
        </xdr:nvSpPr>
        <xdr:spPr>
          <a:xfrm>
            <a:off x="105626" y="1047750"/>
            <a:ext cx="6219712" cy="420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NL" sz="1800" b="1">
                <a:solidFill>
                  <a:srgbClr val="FFFF00"/>
                </a:solidFill>
                <a:latin typeface="Times New Roman" panose="02020603050405020304" pitchFamily="18" charset="0"/>
                <a:cs typeface="Times New Roman" panose="02020603050405020304" pitchFamily="18" charset="0"/>
              </a:rPr>
              <a:t>Cal</a:t>
            </a:r>
            <a:r>
              <a:rPr lang="nl-NL" sz="1800">
                <a:solidFill>
                  <a:schemeClr val="bg1"/>
                </a:solidFill>
                <a:latin typeface="Times New Roman" panose="02020603050405020304" pitchFamily="18" charset="0"/>
                <a:cs typeface="Times New Roman" panose="02020603050405020304" pitchFamily="18" charset="0"/>
              </a:rPr>
              <a:t>culation </a:t>
            </a:r>
            <a:r>
              <a:rPr lang="nl-NL" sz="1800" b="1">
                <a:solidFill>
                  <a:srgbClr val="FFFF00"/>
                </a:solidFill>
                <a:latin typeface="Times New Roman" panose="02020603050405020304" pitchFamily="18" charset="0"/>
                <a:cs typeface="Times New Roman" panose="02020603050405020304" pitchFamily="18" charset="0"/>
              </a:rPr>
              <a:t>Com</a:t>
            </a:r>
            <a:r>
              <a:rPr lang="nl-NL" sz="1800">
                <a:solidFill>
                  <a:schemeClr val="bg1"/>
                </a:solidFill>
                <a:latin typeface="Times New Roman" panose="02020603050405020304" pitchFamily="18" charset="0"/>
                <a:cs typeface="Times New Roman" panose="02020603050405020304" pitchFamily="18" charset="0"/>
              </a:rPr>
              <a:t>bustion </a:t>
            </a:r>
            <a:r>
              <a:rPr lang="nl-NL" sz="1800" b="1">
                <a:solidFill>
                  <a:srgbClr val="FFFF00"/>
                </a:solidFill>
                <a:latin typeface="Times New Roman" panose="02020603050405020304" pitchFamily="18" charset="0"/>
                <a:cs typeface="Times New Roman" panose="02020603050405020304" pitchFamily="18" charset="0"/>
              </a:rPr>
              <a:t>Emis</a:t>
            </a:r>
            <a:r>
              <a:rPr lang="nl-NL" sz="1800">
                <a:solidFill>
                  <a:schemeClr val="bg1"/>
                </a:solidFill>
                <a:latin typeface="Times New Roman" panose="02020603050405020304" pitchFamily="18" charset="0"/>
                <a:cs typeface="Times New Roman" panose="02020603050405020304" pitchFamily="18" charset="0"/>
              </a:rPr>
              <a:t>sions</a:t>
            </a:r>
            <a:endParaRPr lang="nl-NL" sz="1400">
              <a:solidFill>
                <a:srgbClr val="FFFF00"/>
              </a:solidFill>
              <a:effectLst/>
              <a:latin typeface="Times New Roman" panose="02020603050405020304" pitchFamily="18" charset="0"/>
              <a:cs typeface="Times New Roman" panose="02020603050405020304" pitchFamily="18" charset="0"/>
            </a:endParaRPr>
          </a:p>
          <a:p>
            <a:pPr algn="ctr"/>
            <a:endParaRPr lang="nl-NL" sz="1100">
              <a:solidFill>
                <a:schemeClr val="bg1"/>
              </a:solidFill>
              <a:latin typeface="Times New Roman" panose="02020603050405020304" pitchFamily="18" charset="0"/>
              <a:cs typeface="Times New Roman" panose="02020603050405020304" pitchFamily="18" charset="0"/>
            </a:endParaRPr>
          </a:p>
        </xdr:txBody>
      </xdr:sp>
    </xdr:grpSp>
    <xdr:clientData/>
  </xdr:twoCellAnchor>
  <xdr:twoCellAnchor>
    <xdr:from>
      <xdr:col>9</xdr:col>
      <xdr:colOff>2346960</xdr:colOff>
      <xdr:row>1</xdr:row>
      <xdr:rowOff>274320</xdr:rowOff>
    </xdr:from>
    <xdr:to>
      <xdr:col>10</xdr:col>
      <xdr:colOff>3512820</xdr:colOff>
      <xdr:row>1</xdr:row>
      <xdr:rowOff>967740</xdr:rowOff>
    </xdr:to>
    <xdr:sp macro="" textlink="$K$2">
      <xdr:nvSpPr>
        <xdr:cNvPr id="21" name="Tekstvak 20"/>
        <xdr:cNvSpPr txBox="1"/>
      </xdr:nvSpPr>
      <xdr:spPr bwMode="auto">
        <a:xfrm>
          <a:off x="6659880" y="365760"/>
          <a:ext cx="3535680" cy="69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AFF219-3133-4A7F-A2D4-AE2047D2A2B3}" type="TxLink">
            <a:rPr lang="en-US" sz="1050" b="1" i="0" u="none" strike="noStrike">
              <a:solidFill>
                <a:srgbClr val="FFFF00"/>
              </a:solidFill>
              <a:latin typeface="Times New Roman"/>
              <a:cs typeface="Times New Roman"/>
            </a:rPr>
            <a:pPr algn="ctr"/>
            <a:t>Aanwijzingen voor gebruik van dit werkblad</a:t>
          </a:fld>
          <a:endParaRPr lang="nl-NL" sz="1050" b="1">
            <a:solidFill>
              <a:srgbClr val="FFFF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10</xdr:col>
          <xdr:colOff>1762125</xdr:colOff>
          <xdr:row>1</xdr:row>
          <xdr:rowOff>38100</xdr:rowOff>
        </xdr:from>
        <xdr:to>
          <xdr:col>10</xdr:col>
          <xdr:colOff>3419475</xdr:colOff>
          <xdr:row>1</xdr:row>
          <xdr:rowOff>238125</xdr:rowOff>
        </xdr:to>
        <xdr:sp macro="" textlink="">
          <xdr:nvSpPr>
            <xdr:cNvPr id="9509" name="Drop Down 3365" hidden="1">
              <a:extLst>
                <a:ext uri="{63B3BB69-23CF-44E3-9099-C40C66FF867C}">
                  <a14:compatExt spid="_x0000_s95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9525</xdr:colOff>
      <xdr:row>1</xdr:row>
      <xdr:rowOff>400049</xdr:rowOff>
    </xdr:from>
    <xdr:to>
      <xdr:col>9</xdr:col>
      <xdr:colOff>2305050</xdr:colOff>
      <xdr:row>1</xdr:row>
      <xdr:rowOff>1076324</xdr:rowOff>
    </xdr:to>
    <xdr:sp macro="" textlink="$H$2">
      <xdr:nvSpPr>
        <xdr:cNvPr id="2" name="Tekstvak 1"/>
        <xdr:cNvSpPr txBox="1"/>
      </xdr:nvSpPr>
      <xdr:spPr>
        <a:xfrm>
          <a:off x="6391275" y="495299"/>
          <a:ext cx="682942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530B258-D845-4867-BFAB-285250BC1013}" type="TxLink">
            <a:rPr lang="en-US" sz="900" b="0" i="0" u="none" strike="noStrike">
              <a:solidFill>
                <a:schemeClr val="bg1"/>
              </a:solidFill>
              <a:latin typeface="Times New Roman"/>
              <a:cs typeface="Times New Roman"/>
            </a:rPr>
            <a:pPr algn="ctr"/>
            <a:t>Deze versie van CalComEmis.xlsx (4-7) is te gebruiken tot 01-01-2025.
Ondanks de zorgvuldigheid waarmee dit spreadsheet is opgesteld, kunnen fouten niet worden uitgesloten. 
Suggesties voor aanpassingen naar wim.burgers@rws.nl.</a:t>
          </a:fld>
          <a:endParaRPr lang="nl-NL" sz="900" b="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28575</xdr:colOff>
      <xdr:row>1</xdr:row>
      <xdr:rowOff>28575</xdr:rowOff>
    </xdr:from>
    <xdr:to>
      <xdr:col>11</xdr:col>
      <xdr:colOff>3438525</xdr:colOff>
      <xdr:row>1</xdr:row>
      <xdr:rowOff>1095375</xdr:rowOff>
    </xdr:to>
    <xdr:pic>
      <xdr:nvPicPr>
        <xdr:cNvPr id="14901" name="Afbeelding 8"/>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0" y="123825"/>
          <a:ext cx="34099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104775</xdr:colOff>
      <xdr:row>1</xdr:row>
      <xdr:rowOff>552450</xdr:rowOff>
    </xdr:from>
    <xdr:to>
      <xdr:col>11</xdr:col>
      <xdr:colOff>3377641</xdr:colOff>
      <xdr:row>1</xdr:row>
      <xdr:rowOff>828675</xdr:rowOff>
    </xdr:to>
    <xdr:sp macro="" textlink="$L$2">
      <xdr:nvSpPr>
        <xdr:cNvPr id="10" name="Tekstvak 9"/>
        <xdr:cNvSpPr txBox="1"/>
      </xdr:nvSpPr>
      <xdr:spPr bwMode="auto">
        <a:xfrm>
          <a:off x="6477000" y="647700"/>
          <a:ext cx="32766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5C8303C-AC1D-4276-89A0-E0097F2424FD}" type="TxLink">
            <a:rPr lang="en-US" sz="1050" b="1" i="0" u="none" strike="noStrike">
              <a:solidFill>
                <a:srgbClr val="FFFF00"/>
              </a:solidFill>
              <a:latin typeface="Times New Roman"/>
              <a:cs typeface="Times New Roman"/>
            </a:rPr>
            <a:pPr algn="ctr"/>
            <a:t>Aanwijzingen voor gebruik van dit werkblad</a:t>
          </a:fld>
          <a:endParaRPr lang="nl-NL" sz="1050" b="1">
            <a:solidFill>
              <a:srgbClr val="FFFF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1038225</xdr:colOff>
          <xdr:row>6</xdr:row>
          <xdr:rowOff>9525</xdr:rowOff>
        </xdr:from>
        <xdr:to>
          <xdr:col>7</xdr:col>
          <xdr:colOff>2476500</xdr:colOff>
          <xdr:row>6</xdr:row>
          <xdr:rowOff>209550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1038225</xdr:colOff>
          <xdr:row>23</xdr:row>
          <xdr:rowOff>9525</xdr:rowOff>
        </xdr:from>
        <xdr:to>
          <xdr:col>7</xdr:col>
          <xdr:colOff>2476500</xdr:colOff>
          <xdr:row>23</xdr:row>
          <xdr:rowOff>209550</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2733674</xdr:colOff>
      <xdr:row>6</xdr:row>
      <xdr:rowOff>9525</xdr:rowOff>
    </xdr:from>
    <xdr:to>
      <xdr:col>7</xdr:col>
      <xdr:colOff>3823538</xdr:colOff>
      <xdr:row>6</xdr:row>
      <xdr:rowOff>180975</xdr:rowOff>
    </xdr:to>
    <xdr:sp macro="" textlink="$D$7">
      <xdr:nvSpPr>
        <xdr:cNvPr id="2" name="Tekstvak 1"/>
        <xdr:cNvSpPr txBox="1"/>
      </xdr:nvSpPr>
      <xdr:spPr>
        <a:xfrm>
          <a:off x="2828924" y="3181350"/>
          <a:ext cx="10800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43D6E7ED-6738-4835-97CA-9E0E886B5491}" type="TxLink">
            <a:rPr lang="en-US" sz="1100" b="0" i="0" u="none" strike="noStrike">
              <a:solidFill>
                <a:srgbClr val="000000"/>
              </a:solidFill>
              <a:latin typeface="Times New Roman"/>
              <a:cs typeface="Times New Roman"/>
            </a:rPr>
            <a:pPr algn="r"/>
            <a:t>Omschrijving</a:t>
          </a:fld>
          <a:endParaRPr lang="nl-NL" sz="1100">
            <a:latin typeface="Times New Roman" panose="02020603050405020304" pitchFamily="18" charset="0"/>
            <a:cs typeface="Times New Roman" panose="02020603050405020304" pitchFamily="18" charset="0"/>
          </a:endParaRPr>
        </a:p>
      </xdr:txBody>
    </xdr:sp>
    <xdr:clientData/>
  </xdr:twoCellAnchor>
  <xdr:twoCellAnchor>
    <xdr:from>
      <xdr:col>7</xdr:col>
      <xdr:colOff>19050</xdr:colOff>
      <xdr:row>1</xdr:row>
      <xdr:rowOff>28575</xdr:rowOff>
    </xdr:from>
    <xdr:to>
      <xdr:col>10</xdr:col>
      <xdr:colOff>1600199</xdr:colOff>
      <xdr:row>1</xdr:row>
      <xdr:rowOff>1076325</xdr:rowOff>
    </xdr:to>
    <xdr:pic>
      <xdr:nvPicPr>
        <xdr:cNvPr id="14905" name="Afbeelding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23825"/>
          <a:ext cx="6819899"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28575</xdr:colOff>
      <xdr:row>1</xdr:row>
      <xdr:rowOff>9525</xdr:rowOff>
    </xdr:from>
    <xdr:to>
      <xdr:col>11</xdr:col>
      <xdr:colOff>0</xdr:colOff>
      <xdr:row>1</xdr:row>
      <xdr:rowOff>466725</xdr:rowOff>
    </xdr:to>
    <xdr:sp macro="" textlink="">
      <xdr:nvSpPr>
        <xdr:cNvPr id="11" name="Tekstvak 10"/>
        <xdr:cNvSpPr txBox="1"/>
      </xdr:nvSpPr>
      <xdr:spPr bwMode="auto">
        <a:xfrm>
          <a:off x="123825" y="104775"/>
          <a:ext cx="6819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800" b="1">
              <a:solidFill>
                <a:srgbClr val="FFFF00"/>
              </a:solidFill>
              <a:latin typeface="Times New Roman" panose="02020603050405020304" pitchFamily="18" charset="0"/>
              <a:cs typeface="Times New Roman" panose="02020603050405020304" pitchFamily="18" charset="0"/>
            </a:rPr>
            <a:t>Cal</a:t>
          </a:r>
          <a:r>
            <a:rPr lang="nl-NL" sz="1800">
              <a:solidFill>
                <a:schemeClr val="bg1"/>
              </a:solidFill>
              <a:latin typeface="Times New Roman" panose="02020603050405020304" pitchFamily="18" charset="0"/>
              <a:cs typeface="Times New Roman" panose="02020603050405020304" pitchFamily="18" charset="0"/>
            </a:rPr>
            <a:t>culation </a:t>
          </a:r>
          <a:r>
            <a:rPr lang="nl-NL" sz="1800" b="1">
              <a:solidFill>
                <a:srgbClr val="FFFF00"/>
              </a:solidFill>
              <a:latin typeface="Times New Roman" panose="02020603050405020304" pitchFamily="18" charset="0"/>
              <a:cs typeface="Times New Roman" panose="02020603050405020304" pitchFamily="18" charset="0"/>
            </a:rPr>
            <a:t>Com</a:t>
          </a:r>
          <a:r>
            <a:rPr lang="nl-NL" sz="1800">
              <a:solidFill>
                <a:schemeClr val="bg1"/>
              </a:solidFill>
              <a:latin typeface="Times New Roman" panose="02020603050405020304" pitchFamily="18" charset="0"/>
              <a:cs typeface="Times New Roman" panose="02020603050405020304" pitchFamily="18" charset="0"/>
            </a:rPr>
            <a:t>bustion </a:t>
          </a:r>
          <a:r>
            <a:rPr lang="nl-NL" sz="1800" b="1">
              <a:solidFill>
                <a:srgbClr val="FFFF00"/>
              </a:solidFill>
              <a:latin typeface="Times New Roman" panose="02020603050405020304" pitchFamily="18" charset="0"/>
              <a:cs typeface="Times New Roman" panose="02020603050405020304" pitchFamily="18" charset="0"/>
            </a:rPr>
            <a:t>Emis</a:t>
          </a:r>
          <a:r>
            <a:rPr lang="nl-NL" sz="1800">
              <a:solidFill>
                <a:schemeClr val="bg1"/>
              </a:solidFill>
              <a:latin typeface="Times New Roman" panose="02020603050405020304" pitchFamily="18" charset="0"/>
              <a:cs typeface="Times New Roman" panose="02020603050405020304" pitchFamily="18" charset="0"/>
            </a:rPr>
            <a:t>sions</a:t>
          </a:r>
        </a:p>
      </xdr:txBody>
    </xdr:sp>
    <xdr:clientData/>
  </xdr:twoCellAnchor>
  <xdr:twoCellAnchor>
    <xdr:from>
      <xdr:col>7</xdr:col>
      <xdr:colOff>19050</xdr:colOff>
      <xdr:row>1</xdr:row>
      <xdr:rowOff>428625</xdr:rowOff>
    </xdr:from>
    <xdr:to>
      <xdr:col>11</xdr:col>
      <xdr:colOff>9525</xdr:colOff>
      <xdr:row>1</xdr:row>
      <xdr:rowOff>962025</xdr:rowOff>
    </xdr:to>
    <xdr:sp macro="" textlink="'Combustion Emissions'!$H$2">
      <xdr:nvSpPr>
        <xdr:cNvPr id="13" name="Tekstvak 12"/>
        <xdr:cNvSpPr txBox="1"/>
      </xdr:nvSpPr>
      <xdr:spPr>
        <a:xfrm>
          <a:off x="114300" y="523875"/>
          <a:ext cx="6838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ABA4823-3A37-4060-A3B5-9440C9768253}" type="TxLink">
            <a:rPr lang="en-US" sz="900" b="0" i="0" u="none" strike="noStrike">
              <a:solidFill>
                <a:srgbClr val="FFFFFF"/>
              </a:solidFill>
              <a:latin typeface="Times New Roman"/>
              <a:cs typeface="Times New Roman"/>
            </a:rPr>
            <a:pPr algn="ctr"/>
            <a:t>Deze versie van CalComEmis.xlsx (4-7) is te gebruiken tot 01-01-2025.
Ondanks de zorgvuldigheid waarmee dit spreadsheet is opgesteld, kunnen fouten niet worden uitgesloten. 
Suggesties voor aanpassingen naar wim.burgers@rws.nl.</a:t>
          </a:fld>
          <a:endParaRPr lang="nl-NL" sz="900" b="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22860</xdr:colOff>
      <xdr:row>1</xdr:row>
      <xdr:rowOff>28575</xdr:rowOff>
    </xdr:from>
    <xdr:to>
      <xdr:col>12</xdr:col>
      <xdr:colOff>0</xdr:colOff>
      <xdr:row>1</xdr:row>
      <xdr:rowOff>1095375</xdr:rowOff>
    </xdr:to>
    <xdr:pic>
      <xdr:nvPicPr>
        <xdr:cNvPr id="15601" name="Afbeelding 8"/>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3680" y="120015"/>
          <a:ext cx="35128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104775</xdr:colOff>
      <xdr:row>1</xdr:row>
      <xdr:rowOff>552450</xdr:rowOff>
    </xdr:from>
    <xdr:to>
      <xdr:col>11</xdr:col>
      <xdr:colOff>3377641</xdr:colOff>
      <xdr:row>1</xdr:row>
      <xdr:rowOff>828675</xdr:rowOff>
    </xdr:to>
    <xdr:sp macro="" textlink="$L$2">
      <xdr:nvSpPr>
        <xdr:cNvPr id="10" name="Tekstvak 9"/>
        <xdr:cNvSpPr txBox="1"/>
      </xdr:nvSpPr>
      <xdr:spPr bwMode="auto">
        <a:xfrm>
          <a:off x="6477000" y="647700"/>
          <a:ext cx="32766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10165F3-8F96-43B5-A96A-906A03340800}" type="TxLink">
            <a:rPr lang="en-US" sz="1050" b="1" i="0" u="none" strike="noStrike">
              <a:solidFill>
                <a:srgbClr val="FFFF00"/>
              </a:solidFill>
              <a:latin typeface="Times New Roman"/>
              <a:cs typeface="Times New Roman"/>
            </a:rPr>
            <a:pPr algn="ctr"/>
            <a:t>Aanwijzingen voor gebruik van dit werkblad</a:t>
          </a:fld>
          <a:endParaRPr lang="nl-NL" sz="1050" b="1">
            <a:solidFill>
              <a:srgbClr val="FFFF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1038225</xdr:colOff>
          <xdr:row>6</xdr:row>
          <xdr:rowOff>9525</xdr:rowOff>
        </xdr:from>
        <xdr:to>
          <xdr:col>7</xdr:col>
          <xdr:colOff>2476500</xdr:colOff>
          <xdr:row>6</xdr:row>
          <xdr:rowOff>209550</xdr:rowOff>
        </xdr:to>
        <xdr:sp macro="" textlink="">
          <xdr:nvSpPr>
            <xdr:cNvPr id="6145" name="Drop Down 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1038225</xdr:colOff>
          <xdr:row>23</xdr:row>
          <xdr:rowOff>9525</xdr:rowOff>
        </xdr:from>
        <xdr:to>
          <xdr:col>7</xdr:col>
          <xdr:colOff>2476500</xdr:colOff>
          <xdr:row>23</xdr:row>
          <xdr:rowOff>209550</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2733674</xdr:colOff>
      <xdr:row>6</xdr:row>
      <xdr:rowOff>9525</xdr:rowOff>
    </xdr:from>
    <xdr:to>
      <xdr:col>7</xdr:col>
      <xdr:colOff>3823538</xdr:colOff>
      <xdr:row>6</xdr:row>
      <xdr:rowOff>180975</xdr:rowOff>
    </xdr:to>
    <xdr:sp macro="" textlink="$D$7">
      <xdr:nvSpPr>
        <xdr:cNvPr id="4" name="Tekstvak 3"/>
        <xdr:cNvSpPr txBox="1"/>
      </xdr:nvSpPr>
      <xdr:spPr>
        <a:xfrm>
          <a:off x="2828924" y="3181350"/>
          <a:ext cx="10800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D34E00C-6D88-4D4A-8E15-789FC0F7A719}" type="TxLink">
            <a:rPr lang="en-US" sz="1100" b="0" i="0" u="none" strike="noStrike">
              <a:solidFill>
                <a:srgbClr val="000000"/>
              </a:solidFill>
              <a:latin typeface="Times New Roman"/>
              <a:cs typeface="Times New Roman"/>
            </a:rPr>
            <a:pPr algn="r"/>
            <a:t>Omschrijving</a:t>
          </a:fld>
          <a:endParaRPr lang="nl-NL" sz="1100">
            <a:latin typeface="Times New Roman" panose="02020603050405020304" pitchFamily="18" charset="0"/>
            <a:cs typeface="Times New Roman" panose="02020603050405020304" pitchFamily="18" charset="0"/>
          </a:endParaRPr>
        </a:p>
      </xdr:txBody>
    </xdr:sp>
    <xdr:clientData/>
  </xdr:twoCellAnchor>
  <xdr:twoCellAnchor>
    <xdr:from>
      <xdr:col>7</xdr:col>
      <xdr:colOff>19050</xdr:colOff>
      <xdr:row>1</xdr:row>
      <xdr:rowOff>28575</xdr:rowOff>
    </xdr:from>
    <xdr:to>
      <xdr:col>10</xdr:col>
      <xdr:colOff>1600200</xdr:colOff>
      <xdr:row>1</xdr:row>
      <xdr:rowOff>1076325</xdr:rowOff>
    </xdr:to>
    <xdr:pic>
      <xdr:nvPicPr>
        <xdr:cNvPr id="15605" name="Afbeelding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23825"/>
          <a:ext cx="68199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xdr:colOff>
      <xdr:row>1</xdr:row>
      <xdr:rowOff>438150</xdr:rowOff>
    </xdr:from>
    <xdr:to>
      <xdr:col>11</xdr:col>
      <xdr:colOff>9525</xdr:colOff>
      <xdr:row>1</xdr:row>
      <xdr:rowOff>971550</xdr:rowOff>
    </xdr:to>
    <xdr:sp macro="" textlink="'Combustion Emissions'!$H$2">
      <xdr:nvSpPr>
        <xdr:cNvPr id="13" name="Tekstvak 12"/>
        <xdr:cNvSpPr txBox="1"/>
      </xdr:nvSpPr>
      <xdr:spPr>
        <a:xfrm>
          <a:off x="104775" y="533400"/>
          <a:ext cx="68484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ABA4823-3A37-4060-A3B5-9440C9768253}" type="TxLink">
            <a:rPr lang="en-US" sz="900" b="0" i="0" u="none" strike="noStrike">
              <a:solidFill>
                <a:srgbClr val="FFFFFF"/>
              </a:solidFill>
              <a:latin typeface="Times New Roman"/>
              <a:cs typeface="Times New Roman"/>
            </a:rPr>
            <a:pPr algn="ctr"/>
            <a:t>Deze versie van CalComEmis.xlsx (4-7) is te gebruiken tot 01-01-2025.
Ondanks de zorgvuldigheid waarmee dit spreadsheet is opgesteld, kunnen fouten niet worden uitgesloten. 
Suggesties voor aanpassingen naar wim.burgers@rws.nl.</a:t>
          </a:fld>
          <a:endParaRPr lang="nl-NL" sz="900" b="0">
            <a:solidFill>
              <a:schemeClr val="bg1"/>
            </a:solidFill>
          </a:endParaRPr>
        </a:p>
      </xdr:txBody>
    </xdr:sp>
    <xdr:clientData/>
  </xdr:twoCellAnchor>
  <xdr:twoCellAnchor>
    <xdr:from>
      <xdr:col>7</xdr:col>
      <xdr:colOff>19050</xdr:colOff>
      <xdr:row>1</xdr:row>
      <xdr:rowOff>28575</xdr:rowOff>
    </xdr:from>
    <xdr:to>
      <xdr:col>10</xdr:col>
      <xdr:colOff>1600200</xdr:colOff>
      <xdr:row>1</xdr:row>
      <xdr:rowOff>466725</xdr:rowOff>
    </xdr:to>
    <xdr:sp macro="" textlink="">
      <xdr:nvSpPr>
        <xdr:cNvPr id="11" name="Tekstvak 10"/>
        <xdr:cNvSpPr txBox="1"/>
      </xdr:nvSpPr>
      <xdr:spPr bwMode="auto">
        <a:xfrm>
          <a:off x="114300" y="123825"/>
          <a:ext cx="68199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800" b="1">
              <a:solidFill>
                <a:srgbClr val="FFFF00"/>
              </a:solidFill>
              <a:latin typeface="Times New Roman" panose="02020603050405020304" pitchFamily="18" charset="0"/>
              <a:cs typeface="Times New Roman" panose="02020603050405020304" pitchFamily="18" charset="0"/>
            </a:rPr>
            <a:t>Cal</a:t>
          </a:r>
          <a:r>
            <a:rPr lang="nl-NL" sz="1800">
              <a:solidFill>
                <a:schemeClr val="bg1"/>
              </a:solidFill>
              <a:latin typeface="Times New Roman" panose="02020603050405020304" pitchFamily="18" charset="0"/>
              <a:cs typeface="Times New Roman" panose="02020603050405020304" pitchFamily="18" charset="0"/>
            </a:rPr>
            <a:t>culation </a:t>
          </a:r>
          <a:r>
            <a:rPr lang="nl-NL" sz="1800" b="1">
              <a:solidFill>
                <a:srgbClr val="FFFF00"/>
              </a:solidFill>
              <a:latin typeface="Times New Roman" panose="02020603050405020304" pitchFamily="18" charset="0"/>
              <a:cs typeface="Times New Roman" panose="02020603050405020304" pitchFamily="18" charset="0"/>
            </a:rPr>
            <a:t>Com</a:t>
          </a:r>
          <a:r>
            <a:rPr lang="nl-NL" sz="1800">
              <a:solidFill>
                <a:schemeClr val="bg1"/>
              </a:solidFill>
              <a:latin typeface="Times New Roman" panose="02020603050405020304" pitchFamily="18" charset="0"/>
              <a:cs typeface="Times New Roman" panose="02020603050405020304" pitchFamily="18" charset="0"/>
            </a:rPr>
            <a:t>bustion </a:t>
          </a:r>
          <a:r>
            <a:rPr lang="nl-NL" sz="1800" b="1">
              <a:solidFill>
                <a:srgbClr val="FFFF00"/>
              </a:solidFill>
              <a:latin typeface="Times New Roman" panose="02020603050405020304" pitchFamily="18" charset="0"/>
              <a:cs typeface="Times New Roman" panose="02020603050405020304" pitchFamily="18" charset="0"/>
            </a:rPr>
            <a:t>Emis</a:t>
          </a:r>
          <a:r>
            <a:rPr lang="nl-NL" sz="1800">
              <a:solidFill>
                <a:schemeClr val="bg1"/>
              </a:solidFill>
              <a:latin typeface="Times New Roman" panose="02020603050405020304" pitchFamily="18" charset="0"/>
              <a:cs typeface="Times New Roman" panose="02020603050405020304" pitchFamily="18" charset="0"/>
            </a:rPr>
            <a:t>sions</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1038225</xdr:colOff>
          <xdr:row>21</xdr:row>
          <xdr:rowOff>9525</xdr:rowOff>
        </xdr:from>
        <xdr:to>
          <xdr:col>2</xdr:col>
          <xdr:colOff>1038225</xdr:colOff>
          <xdr:row>22</xdr:row>
          <xdr:rowOff>0</xdr:rowOff>
        </xdr:to>
        <xdr:sp macro="" textlink="">
          <xdr:nvSpPr>
            <xdr:cNvPr id="12290" name="Drop Down 2"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customProperty" Target="../customProperty1.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V113"/>
  <sheetViews>
    <sheetView tabSelected="1" zoomScaleNormal="100" workbookViewId="0">
      <pane xSplit="7" ySplit="4" topLeftCell="H5" activePane="bottomRight" state="frozen"/>
      <selection pane="topRight" activeCell="H1" sqref="H1"/>
      <selection pane="bottomLeft" activeCell="A5" sqref="A5"/>
      <selection pane="bottomRight" activeCell="I6" sqref="I6"/>
    </sheetView>
  </sheetViews>
  <sheetFormatPr defaultColWidth="0" defaultRowHeight="15" zeroHeight="1" x14ac:dyDescent="0.25"/>
  <cols>
    <col min="1" max="1" width="1.42578125" style="260" customWidth="1"/>
    <col min="2" max="7" width="15.7109375" style="2" hidden="1" customWidth="1"/>
    <col min="8" max="8" width="52.28515625" style="224" customWidth="1"/>
    <col min="9" max="9" width="15.7109375" style="224" bestFit="1" customWidth="1"/>
    <col min="10" max="10" width="34.7109375" style="224" customWidth="1"/>
    <col min="11" max="11" width="51.7109375" style="2" customWidth="1"/>
    <col min="12" max="12" width="9.140625" style="2" hidden="1" customWidth="1"/>
    <col min="13" max="13" width="18.28515625" style="2" hidden="1" customWidth="1"/>
    <col min="14" max="14" width="26.42578125" style="2" hidden="1" customWidth="1"/>
    <col min="15" max="16" width="18.28515625" style="2" hidden="1" customWidth="1"/>
    <col min="17" max="17" width="14" style="2" hidden="1" customWidth="1"/>
    <col min="18" max="18" width="4.42578125" style="2" hidden="1" customWidth="1"/>
    <col min="19" max="21" width="12.42578125" style="2" hidden="1" customWidth="1"/>
    <col min="22" max="22" width="1.42578125" style="116" customWidth="1"/>
    <col min="23" max="16384" width="9.140625" style="116" hidden="1"/>
  </cols>
  <sheetData>
    <row r="1" spans="1:22" s="2" customFormat="1" ht="7.5" customHeight="1" thickBot="1" x14ac:dyDescent="0.3">
      <c r="A1" s="258"/>
      <c r="B1" s="261"/>
      <c r="C1" s="260"/>
      <c r="D1" s="260"/>
      <c r="E1" s="260"/>
      <c r="F1" s="260"/>
      <c r="G1" s="260"/>
      <c r="H1" s="260"/>
      <c r="I1" s="260"/>
      <c r="J1" s="260"/>
      <c r="K1" s="260"/>
      <c r="L1" s="260"/>
      <c r="M1" s="260"/>
      <c r="N1" s="260"/>
      <c r="O1" s="260"/>
      <c r="P1" s="260"/>
      <c r="Q1" s="260"/>
      <c r="R1" s="260"/>
      <c r="S1" s="260"/>
      <c r="T1" s="260"/>
      <c r="U1" s="260"/>
      <c r="V1" s="260"/>
    </row>
    <row r="2" spans="1:22" ht="87" customHeight="1" thickBot="1" x14ac:dyDescent="0.3">
      <c r="A2" s="258"/>
      <c r="B2" s="239" t="s">
        <v>229</v>
      </c>
      <c r="C2" s="129" t="s">
        <v>230</v>
      </c>
      <c r="D2" s="129" t="s">
        <v>272</v>
      </c>
      <c r="E2" s="129" t="s">
        <v>271</v>
      </c>
      <c r="F2" s="129" t="s">
        <v>245</v>
      </c>
      <c r="G2" s="129" t="s">
        <v>246</v>
      </c>
      <c r="H2" s="300" t="str">
        <f ca="1">INDEX(B4:C4,$J$54)</f>
        <v>Deze versie van CalComEmis.xlsx (4-7) is te gebruiken tot 01-01-2025.
Ondanks de zorgvuldigheid waarmee dit spreadsheet is opgesteld, kunnen fouten niet worden uitgesloten. 
Suggesties voor aanpassingen naar wim.burgers@rws.nl.</v>
      </c>
      <c r="I2" s="301"/>
      <c r="J2" s="302"/>
      <c r="K2" s="243" t="str">
        <f>INDEX(F3:G3,$J$54)</f>
        <v>Aanwijzingen voor gebruik van dit werkblad</v>
      </c>
      <c r="L2" s="303"/>
      <c r="M2" s="303"/>
      <c r="N2" s="303"/>
      <c r="O2" s="303"/>
      <c r="P2" s="303"/>
      <c r="Q2" s="1"/>
      <c r="R2" s="1"/>
      <c r="S2" s="1"/>
      <c r="T2" s="1"/>
      <c r="U2" s="1"/>
      <c r="V2" s="258"/>
    </row>
    <row r="3" spans="1:22" ht="16.5" customHeight="1" x14ac:dyDescent="0.25">
      <c r="A3" s="258"/>
      <c r="B3" s="240" t="s">
        <v>304</v>
      </c>
      <c r="C3" s="148" t="s">
        <v>305</v>
      </c>
      <c r="D3" s="151"/>
      <c r="E3" s="148"/>
      <c r="F3" s="151" t="s">
        <v>247</v>
      </c>
      <c r="G3" s="148" t="s">
        <v>251</v>
      </c>
      <c r="H3" s="315" t="str">
        <f>IF(AND(I7="",I18="",I19=""),IF($J$54=2,"Short description","Korte beschrijving"),IF($J$54=2,"Short extract of entered and calculated data","Korte samenvatting ingevoerde en berekende gegevens"))</f>
        <v>Korte beschrijving</v>
      </c>
      <c r="I3" s="316"/>
      <c r="J3" s="317"/>
      <c r="K3" s="244"/>
      <c r="L3" s="323"/>
      <c r="M3" s="323"/>
      <c r="N3" s="323"/>
      <c r="O3" s="323"/>
      <c r="P3" s="323"/>
      <c r="Q3" s="318" t="s">
        <v>289</v>
      </c>
      <c r="R3" s="318"/>
      <c r="S3" s="1"/>
      <c r="T3" s="1"/>
      <c r="U3" s="1"/>
      <c r="V3" s="258"/>
    </row>
    <row r="4" spans="1:22" ht="75" customHeight="1" thickBot="1" x14ac:dyDescent="0.3">
      <c r="A4" s="258"/>
      <c r="B4" s="241" t="str">
        <f ca="1">IF(I55&lt;NOW(),CONCATENATE("Deze versie van CalComEmis",F54," (",I54,") is verlopen. Download de nieuwe versie van www.infomil.nl/CalComEmis of https://iplo.nl/CalComEmis."),CONCATENATE("Deze versie van CalComEmis.",F54," (",I54,") is te gebruiken tot ",TEXT(I55,"dd-mm-jjjj"),".",CHAR(10),"Ondanks de zorgvuldigheid waarmee dit spreadsheet is opgesteld, kunnen fouten niet worden uitgesloten. ",CHAR(10),"Suggesties voor aanpassingen naar wim.burgers@rws.nl."))</f>
        <v>Deze versie van CalComEmis.xlsx (4-7) is te gebruiken tot 01-01-2025.
Ondanks de zorgvuldigheid waarmee dit spreadsheet is opgesteld, kunnen fouten niet worden uitgesloten. 
Suggesties voor aanpassingen naar wim.burgers@rws.nl.</v>
      </c>
      <c r="C4" s="148" t="str">
        <f ca="1">IF(I55&lt;NOW(),CONCATENATE("This version of CalComEmis",F54," (",I54,") is outdated. Download a new version from www.infomil.nl/CalComEmis or https://iplo.nl/CalComEmis."),CONCATENATE("This version of CalComEmis.",F54," (",I54,") can be used until ",TEXT(I55,"dd-mm-jjjj"),".",CHAR(10),"Although this spreadsheet has been carefully developed, mistakes can not be excluded.",CHAR(10),"Proposals for changes to wim.burgers@rws.nl."))</f>
        <v>This version of CalComEmis.xlsx (4-7) can be used until 01-01-2025.
Although this spreadsheet has been carefully developed, mistakes can not be excluded.
Proposals for changes to wim.burgers@rws.nl.</v>
      </c>
      <c r="D4" s="151"/>
      <c r="E4" s="148"/>
      <c r="F4" s="151" t="str">
        <f>CONCATENATE("In de gele cellen en de pulldownmenu's in kolom I voert u de gegevens in."," Met de schuifbalken in kolom J kunt u de standaard waarden aanpassen."," Als een schuifbalk geheel links staat, wordt de standaard waarde voor de berekeningen gebruikt. Aangepaste standaard waarden worden rood.")</f>
        <v>In de gele cellen en de pulldownmenu's in kolom I voert u de gegevens in. Met de schuifbalken in kolom J kunt u de standaard waarden aanpassen. Als een schuifbalk geheel links staat, wordt de standaard waarde voor de berekeningen gebruikt. Aangepaste standaard waarden worden rood.</v>
      </c>
      <c r="G4" s="149" t="str">
        <f>CONCATENATE("The input data for the calculations are entered in the yellow cells and the pull down menu's in column I."," The scroll bars in column J can be used to adapt standard values."," If the scroll bar is in its left position the standard values are used for the calculations. Adapted values will be presented in red.")</f>
        <v>The input data for the calculations are entered in the yellow cells and the pull down menu's in column I. The scroll bars in column J can be used to adapt standard values. If the scroll bar is in its left position the standard values are used for the calculations. Adapted values will be presented in red.</v>
      </c>
      <c r="H4" s="319" t="str">
        <f>IF(AND(I7="",I18="",I19=""),INDEX(B3:C3,J54),IF(I7="",IF(OR(I19="",I18=""),"",CONCATENATE(H40,": ",I18," ","vol% O₂ "," / ",IF(J19=J44,"",CONCATENATE(INDEX(I97:I111,H96),": ",I19," ",J19," / ")),INDEX(I97:I111,H96),": ",ROUND(I44,1)," ",J44," (= ",ROUND(I45,1)," ",J45," @ ",I21," vol% O₂)",CHAR(10),H31,": ",ROUND(I33,1)," vol% H₂O"," / ",ROUND(I35,1)," vol% O₂"," / ",INDEX(I97:I111,H96),": ",ROUND(I37,1)," ",J37)),CONCATENATE(H5,": ",I7," ",J7," / ",I8," ",J8," / ",I9," ",J9,IF(I10="","",CONCATENATE(" / ",I10," ",J10)),IF(I11="","",CONCATENATE(" / ",I11," m²")),IF(I18="","",CONCATENATE(" / ",I18," vol% O₂")),IF(I19="","",CONCATENATE(" / ",INDEX(I97:I111,H96),": ",I19," ",J19)),CHAR(10),H12,": ",INDEX(H64:H71,H63),IF(OR(J13="",I14&lt;&gt;""),"",CONCATENATE(" (",J13,")")),": ",I29," ",J29,IF(I14="","",CONCATENATE(" / ",INDEX(H74:H81,H73),IF(J15="","",CONCATENATE(" (",J15,")")),": ",I30," ",J30)),CHAR(10),IF(I18="","",CONCATENATE(H40,": ",TEXT(I41,"0,00E+00")," ",J41," / ",I18," vol% O₂",IF(I19="","",CONCATENATE(" / ",INDEX(I97:I111,H96),": ",ROUND(I44,1)," mg/Nm³")),CHAR(10))),IF(I18="","",CONCATENATE(H31,": ",TEXT(I32,"0,00E+00")," ",J32," / ",ROUND(I33,1)," vol% H₂O / ",ROUND(I35,1)," vol% O₂",IF(I19="","",CONCATENATE(" / ",INDEX(I97:I111,H96),": ",ROUND(I37,1)," mg/Nm³",IF(OR(Modus=1,I10=""),"",CONCATENATE(" (=",ROUND(I36,1)," mg/m³)")))))),IF(OR(I18="",I19=""),"",CONCATENATE(CHAR(10),H46,": ",INDEX(I97:I111,H96),": ",ROUND(I45,1)," ",J45," @ ",I21," vol% O₂",IF(I49="","",CONCATENATE(" / ",H49,": ",TEXT(I49,"0,00E+00")," ",J49)))),IF(OR(I10="",I18=""),"",CONCATENATE(CHAR(10),IF($J$54=2,"Duct: ","Schoorsteen: "),ROUND(I47,IF(I47&gt;100,0,IF(I47&gt;10,1,IF(I47&gt;1,1,2))))," ",J47,IF(I48="","",CONCATENATE(" / ",H48,": ",ROUND(I48,1)," ",J48)),IF(I51="","",CONCATENATE(" / ",H51,": ",ROUND(I51,IF(I51&gt;100,0,IF(I51&gt;10,1,IF(I51&gt;1,1,1))))," ",J51)))))))</f>
        <v xml:space="preserve">Met dit werkblad kunnen emissieberekeningen aan stookinstallaties worden uitgevoerd. Naast het omrekenen van meetresultaten naar standaard condities is het ook mogelijk om de emissievracht en de warmte-emissie te berekenen. De berekende waarden kunnen als invoer worden gebruikt voor depositieberekeningen met Aerius.  Het aantal standaard waarden dat aangepast kan worden en het aantal berekende waarden dat wordt gepresenteerd, is afhankelijk van de modus. De modus kan worden aangepast in cel K2. De eenvoudige modus is bedoeld voor de beginnende gebruiker. De uitgebreide modus geeft de ervaren gebruiker de mogelijkheid om alle standaard waarden in te stellen voor een specifieke situatie. </v>
      </c>
      <c r="I4" s="320"/>
      <c r="J4" s="321"/>
      <c r="K4" s="245" t="str">
        <f>INDEX(F4:G4,$J$54)</f>
        <v>In de gele cellen en de pulldownmenu's in kolom I voert u de gegevens in. Met de schuifbalken in kolom J kunt u de standaard waarden aanpassen. Als een schuifbalk geheel links staat, wordt de standaard waarde voor de berekeningen gebruikt. Aangepaste standaard waarden worden rood.</v>
      </c>
      <c r="L4" s="324"/>
      <c r="M4" s="324"/>
      <c r="N4" s="324"/>
      <c r="O4" s="324"/>
      <c r="P4" s="324"/>
      <c r="Q4" s="1" t="s">
        <v>287</v>
      </c>
      <c r="R4" s="1" t="s">
        <v>288</v>
      </c>
      <c r="S4" s="1"/>
      <c r="T4" s="1"/>
      <c r="U4" s="1"/>
      <c r="V4" s="258"/>
    </row>
    <row r="5" spans="1:22" ht="17.100000000000001" customHeight="1" x14ac:dyDescent="0.25">
      <c r="A5" s="258"/>
      <c r="B5" s="241" t="s">
        <v>172</v>
      </c>
      <c r="C5" s="148" t="s">
        <v>178</v>
      </c>
      <c r="D5" s="151"/>
      <c r="E5" s="148"/>
      <c r="F5" s="148" t="s">
        <v>274</v>
      </c>
      <c r="G5" s="148" t="s">
        <v>275</v>
      </c>
      <c r="H5" s="296" t="str">
        <f>INDEX(B5:C5,$J$54)</f>
        <v>Gegevens van de stookinstallatie</v>
      </c>
      <c r="I5" s="297"/>
      <c r="J5" s="298"/>
      <c r="K5" s="249"/>
      <c r="L5" s="307" t="s">
        <v>227</v>
      </c>
      <c r="M5" s="307"/>
      <c r="N5" s="307"/>
      <c r="O5" s="307"/>
      <c r="P5" s="308"/>
      <c r="T5" s="4"/>
      <c r="U5" s="4"/>
      <c r="V5" s="258"/>
    </row>
    <row r="6" spans="1:22" ht="17.100000000000001" customHeight="1" x14ac:dyDescent="0.25">
      <c r="A6" s="258"/>
      <c r="B6" s="241" t="s">
        <v>233</v>
      </c>
      <c r="C6" s="148" t="s">
        <v>239</v>
      </c>
      <c r="D6" s="151"/>
      <c r="E6" s="151"/>
      <c r="F6" s="151" t="s">
        <v>277</v>
      </c>
      <c r="G6" s="151" t="s">
        <v>278</v>
      </c>
      <c r="H6" s="252" t="str">
        <f t="shared" ref="H6:H18" si="0">INDEX(B6:C6,$J$54)</f>
        <v>Omschrijving</v>
      </c>
      <c r="I6" s="225"/>
      <c r="J6" s="265"/>
      <c r="K6" s="304" t="str">
        <f>INDEX(F6:G6,$J$54)</f>
        <v>● Voer met de pulldownmenu's en de gele cellen in kolom I de informatie over de installatie, brandstoffen en emissies in.</v>
      </c>
      <c r="M6" s="4"/>
      <c r="N6" s="4"/>
      <c r="O6" s="155"/>
      <c r="P6" s="145"/>
      <c r="T6" s="4"/>
      <c r="U6" s="4"/>
      <c r="V6" s="258"/>
    </row>
    <row r="7" spans="1:22" ht="17.100000000000001" customHeight="1" x14ac:dyDescent="0.25">
      <c r="A7" s="258"/>
      <c r="B7" s="241" t="s">
        <v>0</v>
      </c>
      <c r="C7" s="148" t="s">
        <v>185</v>
      </c>
      <c r="D7" s="151" t="s">
        <v>1</v>
      </c>
      <c r="E7" s="148" t="s">
        <v>1</v>
      </c>
      <c r="F7" s="148"/>
      <c r="G7" s="148"/>
      <c r="H7" s="252" t="str">
        <f t="shared" si="0"/>
        <v>Nominaal thermisch ingangsvermogen</v>
      </c>
      <c r="I7" s="194"/>
      <c r="J7" s="195" t="str">
        <f>INDEX(D7:E7,$J$54)</f>
        <v>MWth</v>
      </c>
      <c r="K7" s="304"/>
      <c r="M7" s="4"/>
      <c r="N7" s="4"/>
      <c r="O7" s="4"/>
      <c r="P7" s="146"/>
      <c r="T7" s="4"/>
      <c r="U7" s="4"/>
      <c r="V7" s="258"/>
    </row>
    <row r="8" spans="1:22" ht="17.100000000000001" customHeight="1" x14ac:dyDescent="0.25">
      <c r="A8" s="258"/>
      <c r="B8" s="241" t="s">
        <v>4</v>
      </c>
      <c r="C8" s="148" t="s">
        <v>186</v>
      </c>
      <c r="D8" s="151" t="s">
        <v>3</v>
      </c>
      <c r="E8" s="148" t="s">
        <v>190</v>
      </c>
      <c r="F8" s="152" t="s">
        <v>242</v>
      </c>
      <c r="G8" s="149" t="s">
        <v>240</v>
      </c>
      <c r="H8" s="252" t="str">
        <f t="shared" si="0"/>
        <v>Bedrijfstijd</v>
      </c>
      <c r="I8" s="196">
        <f>IF(M8=0,8760,8700-(M8-1)*100)</f>
        <v>8760</v>
      </c>
      <c r="J8" s="195" t="str">
        <f>INDEX(D8:E8,$J$54)</f>
        <v>uren/jaar</v>
      </c>
      <c r="K8" s="247" t="str">
        <f>IF(Modus=1,INDEX($F$5:$G$5,$J$54),INDEX(F8:G8,$J$54))</f>
        <v>● Pas de modus in cel K2 aan om deze parameter(s) te wijzigen.</v>
      </c>
      <c r="L8" s="3">
        <v>0</v>
      </c>
      <c r="M8" s="189">
        <f>IF(Modus=1,0,L8)</f>
        <v>0</v>
      </c>
      <c r="N8" s="4"/>
      <c r="O8" s="4"/>
      <c r="P8" s="146"/>
      <c r="Q8" s="2">
        <f>IF($I$7="",0,1)</f>
        <v>0</v>
      </c>
      <c r="R8" s="2">
        <f>IF($M8&lt;&gt;0,1,0)</f>
        <v>0</v>
      </c>
      <c r="T8" s="4"/>
      <c r="U8" s="4"/>
      <c r="V8" s="258"/>
    </row>
    <row r="9" spans="1:22" ht="17.100000000000001" customHeight="1" x14ac:dyDescent="0.25">
      <c r="A9" s="258"/>
      <c r="B9" s="241" t="s">
        <v>2</v>
      </c>
      <c r="C9" s="148" t="s">
        <v>187</v>
      </c>
      <c r="D9" s="151" t="s">
        <v>6</v>
      </c>
      <c r="E9" s="148" t="s">
        <v>6</v>
      </c>
      <c r="F9" s="152" t="s">
        <v>243</v>
      </c>
      <c r="G9" s="148" t="s">
        <v>241</v>
      </c>
      <c r="H9" s="253" t="str">
        <f t="shared" si="0"/>
        <v>Gemiddelde belasting</v>
      </c>
      <c r="I9" s="197">
        <f>IF(M9=0,100,100-M9)</f>
        <v>100</v>
      </c>
      <c r="J9" s="198" t="str">
        <f>INDEX(D9:E9,$J$54)</f>
        <v>%</v>
      </c>
      <c r="K9" s="248" t="str">
        <f>IF(Modus=1,INDEX($F$5:$G$5,$J$54),INDEX(F9:G9,$J$54))</f>
        <v>● Pas de modus in cel K2 aan om deze parameter(s) te wijzigen.</v>
      </c>
      <c r="L9" s="3">
        <v>0</v>
      </c>
      <c r="M9" s="189">
        <f>IF(Modus=1,0,L9)</f>
        <v>0</v>
      </c>
      <c r="N9" s="4"/>
      <c r="O9" s="4"/>
      <c r="P9" s="146"/>
      <c r="Q9" s="2">
        <f>IF($I$7="",0,1)</f>
        <v>0</v>
      </c>
      <c r="R9" s="2">
        <f>IF($M9&lt;&gt;0,1,0)</f>
        <v>0</v>
      </c>
      <c r="T9" s="4"/>
      <c r="U9" s="4"/>
      <c r="V9" s="258"/>
    </row>
    <row r="10" spans="1:22" ht="17.100000000000001" customHeight="1" x14ac:dyDescent="0.25">
      <c r="A10" s="258"/>
      <c r="B10" s="241" t="s">
        <v>29</v>
      </c>
      <c r="C10" s="148" t="s">
        <v>188</v>
      </c>
      <c r="D10" s="151" t="str">
        <f ca="1">CONCATENATE("°C",IF(OR(I33=0,I33="",I10=""),"",IF(ROUND((19513.7/(17.433-LN(1013*I33/100)))^(1/1.27095),0)&gt;I10+273," (let op, lager dan dauwpunt)","")))</f>
        <v>°C</v>
      </c>
      <c r="E10" s="148" t="str">
        <f ca="1">CONCATENATE("°C",IF(OR(I33=0,I33="",I10=""),"",IF(ROUND((19513.7/(17.433-LN(1013*I33/100)))^(1/1.27095),0)&gt;I10+273," (temperature below dewpoint)","")))</f>
        <v>°C</v>
      </c>
      <c r="F10" s="148" t="s">
        <v>244</v>
      </c>
      <c r="G10" s="148" t="s">
        <v>250</v>
      </c>
      <c r="H10" s="252" t="str">
        <f t="shared" si="0"/>
        <v>Gemiddelde rookgastemperatuur</v>
      </c>
      <c r="I10" s="199"/>
      <c r="J10" s="195" t="str">
        <f ca="1">INDEX(D10:E10,$J$54)</f>
        <v>°C</v>
      </c>
      <c r="K10" s="304" t="str">
        <f>IF(Modus=1,"",INDEX(F10:G10,$J$54))</f>
        <v/>
      </c>
      <c r="L10" s="4"/>
      <c r="M10" s="4"/>
      <c r="N10" s="4"/>
      <c r="O10" s="4"/>
      <c r="P10" s="146"/>
      <c r="Q10" s="2">
        <f>IF(AND(Modus=1,I7=""),0,1)</f>
        <v>0</v>
      </c>
      <c r="T10" s="4"/>
      <c r="U10" s="4"/>
      <c r="V10" s="258"/>
    </row>
    <row r="11" spans="1:22" ht="17.100000000000001" customHeight="1" thickBot="1" x14ac:dyDescent="0.3">
      <c r="A11" s="258"/>
      <c r="B11" s="241" t="s">
        <v>47</v>
      </c>
      <c r="C11" s="148" t="s">
        <v>189</v>
      </c>
      <c r="D11" s="151" t="str">
        <f>CONCATENATE("m²",IF(I11="","",CONCATENATE(" (= diameter ",ROUND(SQRT(I11*4/PI()),2)," m)")))</f>
        <v>m²</v>
      </c>
      <c r="E11" s="148" t="str">
        <f>CONCATENATE("m²",IF(I11="","",CONCATENATE(" (= diameter ",ROUND(SQRT(I11*4/PI()),2)," m)")))</f>
        <v>m²</v>
      </c>
      <c r="F11" s="148"/>
      <c r="G11" s="148"/>
      <c r="H11" s="254" t="str">
        <f t="shared" si="0"/>
        <v>Uitstroomoppervlak schoorsteen</v>
      </c>
      <c r="I11" s="201"/>
      <c r="J11" s="202" t="str">
        <f>INDEX(D11:E11,$J$54)</f>
        <v>m²</v>
      </c>
      <c r="K11" s="322"/>
      <c r="L11" s="4"/>
      <c r="M11" s="4"/>
      <c r="N11" s="4"/>
      <c r="O11" s="4"/>
      <c r="P11" s="146"/>
      <c r="Q11" s="2">
        <f>IF($I$7="",0,1)</f>
        <v>0</v>
      </c>
      <c r="T11" s="1"/>
      <c r="U11" s="1"/>
      <c r="V11" s="258"/>
    </row>
    <row r="12" spans="1:22" ht="17.100000000000001" customHeight="1" x14ac:dyDescent="0.25">
      <c r="A12" s="258"/>
      <c r="B12" s="241" t="s">
        <v>237</v>
      </c>
      <c r="C12" s="148" t="s">
        <v>238</v>
      </c>
      <c r="D12" s="151"/>
      <c r="E12" s="148"/>
      <c r="F12" s="148"/>
      <c r="G12" s="148"/>
      <c r="H12" s="309" t="str">
        <f t="shared" si="0"/>
        <v>Brandstof(fen)</v>
      </c>
      <c r="I12" s="310"/>
      <c r="J12" s="311"/>
      <c r="K12" s="246"/>
      <c r="L12" s="4"/>
      <c r="M12" s="4"/>
      <c r="N12" s="4"/>
      <c r="O12" s="4"/>
      <c r="P12" s="146"/>
      <c r="T12" s="4"/>
      <c r="U12" s="4"/>
      <c r="V12" s="258"/>
    </row>
    <row r="13" spans="1:22" ht="17.100000000000001" customHeight="1" x14ac:dyDescent="0.25">
      <c r="A13" s="258"/>
      <c r="B13" s="241" t="s">
        <v>299</v>
      </c>
      <c r="C13" s="148" t="s">
        <v>300</v>
      </c>
      <c r="D13" s="151" t="str">
        <f>IF(INDEX('Combustion Emissions'!H64:H71,'Combustion Emissions'!H63)=Fuel1!AA7,CONCATENATE('Combustion Emissions'!N13,"% CH4/",100-'Combustion Emissions'!N13,"% CO2"),IF(INDEX('Combustion Emissions'!H64:H71,'Combustion Emissions'!H63)=Fuel1!AE7,CONCATENATE(Fuel1!AE35*100,"% vocht"),""))</f>
        <v/>
      </c>
      <c r="E13" s="148" t="str">
        <f>IF(INDEX('Combustion Emissions'!H64:H91,'Combustion Emissions'!H63)=Fuel1!AA7,CONCATENATE('Combustion Emissions'!N13,"% CH4/",100-'Combustion Emissions'!N13,"% CO2"),IF(INDEX('Combustion Emissions'!H64:H91,'Combustion Emissions'!H63)=Fuel1!AE7,CONCATENATE(Fuel1!AE35*100,"% moisture"),""))</f>
        <v/>
      </c>
      <c r="F13" s="152" t="str">
        <f>IF($I$7="","",CONCATENATE("● Selecteer de brandstoffen en voer het aandeel secundaire brandstof in.",CHAR(10),IF(OR(J13&lt;&gt;"",J15&lt;&gt;""),CONCATENATE(IF(Modus=1,"● Pas de modus in cel K2 aan om de brandstofsamenstelling te wijzigen.","● Pas de samenstelling van de brandstof(fen) met de schuifbalk aan."),CHAR(10)),""),"● Selecteer één van de twee laatste brandstoffen in de pulldownmenu's om eigen analyses in het werkblad &lt;Fuel&gt; of &lt;Fuel2&gt; in te voeren."))</f>
        <v/>
      </c>
      <c r="G13" s="148" t="str">
        <f>IF($I$7="","",CONCATENATE("● Select the fuels and enter the share of secondary fuel.",CHAR(10),IF(OR(J13&lt;&gt;"",J15&lt;&gt;""),CONCATENATE(IF(Modus=1,"● Adapt the mode in cell K2 in order to change the fuel composition.","● Adapt the fuel composition(s) with the scroll bar."),CHAR(10)),""),"● Select one of the last two fuels in the pulldownmenu in order to enter fuel analyses in sheet &lt;Fuel1&gt; or &lt;Fuel2&gt;."))</f>
        <v/>
      </c>
      <c r="H13" s="252" t="str">
        <f>INDEX(B13:C13,$J$54)</f>
        <v>Brandstof</v>
      </c>
      <c r="I13" s="196" t="str">
        <f>INDEX(H64:H71,H63)</f>
        <v/>
      </c>
      <c r="J13" s="195" t="str">
        <f>INDEX(D13:E13,$J$54)</f>
        <v/>
      </c>
      <c r="K13" s="304" t="str">
        <f>INDEX(F13:G13,$J$54)</f>
        <v/>
      </c>
      <c r="L13" s="3">
        <v>0</v>
      </c>
      <c r="M13" s="189">
        <f>IF(Modus=1,0,L13)</f>
        <v>0</v>
      </c>
      <c r="N13" s="4">
        <f>IF(H63=3,IF(M13=0,50,M13+34),IF(H63=6,IF(M13=0,15,M13-1),40))</f>
        <v>40</v>
      </c>
      <c r="O13" s="155" t="s">
        <v>46</v>
      </c>
      <c r="P13" s="156">
        <f>IF(AND(M13&lt;&gt;0,J13&lt;&gt;""),1,0)</f>
        <v>0</v>
      </c>
      <c r="Q13" s="2">
        <f t="shared" ref="Q13:Q14" si="1">IF($I$7="",0,1)</f>
        <v>0</v>
      </c>
      <c r="R13" s="2">
        <f>IF($M13&lt;&gt;0,1,0)</f>
        <v>0</v>
      </c>
      <c r="T13" s="4"/>
      <c r="U13" s="4"/>
      <c r="V13" s="258"/>
    </row>
    <row r="14" spans="1:22" ht="17.100000000000001" customHeight="1" x14ac:dyDescent="0.25">
      <c r="A14" s="258"/>
      <c r="B14" s="241" t="s">
        <v>302</v>
      </c>
      <c r="C14" s="148" t="s">
        <v>301</v>
      </c>
      <c r="D14" s="151" t="s">
        <v>291</v>
      </c>
      <c r="E14" s="151" t="s">
        <v>292</v>
      </c>
      <c r="F14" s="151"/>
      <c r="G14" s="151"/>
      <c r="H14" s="252" t="str">
        <f>INDEX(B14:C14,$J$54)</f>
        <v>Aandeel secundaire brandstof</v>
      </c>
      <c r="I14" s="199"/>
      <c r="J14" s="195" t="str">
        <f>IF($I$7="","",INDEX(D14:E14,$J$54))</f>
        <v/>
      </c>
      <c r="K14" s="304"/>
      <c r="L14" s="4"/>
      <c r="N14" s="4">
        <f>IF(I14="",0,I14)</f>
        <v>0</v>
      </c>
      <c r="O14" s="155"/>
      <c r="P14" s="145"/>
      <c r="Q14" s="2">
        <f t="shared" si="1"/>
        <v>0</v>
      </c>
      <c r="T14" s="4"/>
      <c r="U14" s="4"/>
      <c r="V14" s="258"/>
    </row>
    <row r="15" spans="1:22" ht="17.100000000000001" customHeight="1" thickBot="1" x14ac:dyDescent="0.3">
      <c r="A15" s="258"/>
      <c r="B15" s="241" t="s">
        <v>297</v>
      </c>
      <c r="C15" s="148" t="s">
        <v>298</v>
      </c>
      <c r="D15" s="151" t="str">
        <f>IF(INDEX('Combustion Emissions'!H74:H81,'Combustion Emissions'!H73)=Fuel2!AA7,CONCATENATE('Combustion Emissions'!N15,"% CH4/",100-'Combustion Emissions'!N15,"% CO2"),IF(INDEX('Combustion Emissions'!H74:H81,'Combustion Emissions'!H73)=Fuel2!AE7,CONCATENATE(Fuel2!AE35*100,"% vocht"),""))</f>
        <v/>
      </c>
      <c r="E15" s="148" t="str">
        <f>IF(INDEX('Combustion Emissions'!H74:H81,'Combustion Emissions'!H73)=Fuel2!AA7,CONCATENATE('Combustion Emissions'!N15,"% CH4/",100-'Combustion Emissions'!N15,"% CO2"),IF(INDEX('Combustion Emissions'!H74:H81,'Combustion Emissions'!H73)=Fuel2!AE7,CONCATENATE(Fuel2!AE35*100,"% moisture"),""))</f>
        <v/>
      </c>
      <c r="F15" s="148"/>
      <c r="G15" s="148"/>
      <c r="H15" s="255" t="str">
        <f>INDEX(B15:C15,$J$54)</f>
        <v>Secundaire brandstof</v>
      </c>
      <c r="I15" s="227" t="str">
        <f>INDEX(H74:H81,H73)</f>
        <v/>
      </c>
      <c r="J15" s="204" t="str">
        <f>IF(I14=0,"",INDEX(D15:E15,$J$54))</f>
        <v/>
      </c>
      <c r="K15" s="322"/>
      <c r="L15" s="3">
        <v>0</v>
      </c>
      <c r="M15" s="189">
        <f>IF(Modus=1,0,L15)</f>
        <v>0</v>
      </c>
      <c r="N15" s="4">
        <f>IF(H73=3,IF(M15=0,50,M15+34),IF(H73=6,IF(M15=0,15,M15-1),40))</f>
        <v>40</v>
      </c>
      <c r="O15" s="155" t="s">
        <v>46</v>
      </c>
      <c r="P15" s="156">
        <f>IF(AND(M15&lt;&gt;0,J15&lt;&gt;""),1,0)</f>
        <v>0</v>
      </c>
      <c r="Q15" s="2">
        <f>IF(OR($I$7="",I14=""),0,1)</f>
        <v>0</v>
      </c>
      <c r="R15" s="2">
        <f>IF($M15&lt;&gt;0,1,0)</f>
        <v>0</v>
      </c>
      <c r="T15" s="4"/>
      <c r="U15" s="4"/>
      <c r="V15" s="258"/>
    </row>
    <row r="16" spans="1:22" ht="17.100000000000001" customHeight="1" x14ac:dyDescent="0.25">
      <c r="A16" s="258"/>
      <c r="B16" s="241" t="s">
        <v>171</v>
      </c>
      <c r="C16" s="148" t="s">
        <v>179</v>
      </c>
      <c r="D16" s="151"/>
      <c r="E16" s="148"/>
      <c r="F16" s="148"/>
      <c r="G16" s="148"/>
      <c r="H16" s="309" t="str">
        <f t="shared" si="0"/>
        <v>Emissiegegevens van de stookinstallatie</v>
      </c>
      <c r="I16" s="310"/>
      <c r="J16" s="311"/>
      <c r="K16" s="249"/>
      <c r="L16" s="4"/>
      <c r="M16" s="4"/>
      <c r="N16" s="4"/>
      <c r="O16" s="4"/>
      <c r="P16" s="146"/>
      <c r="T16" s="1"/>
      <c r="U16" s="1"/>
      <c r="V16" s="258"/>
    </row>
    <row r="17" spans="1:22" ht="17.100000000000001" customHeight="1" x14ac:dyDescent="0.25">
      <c r="A17" s="258"/>
      <c r="B17" s="241" t="s">
        <v>21</v>
      </c>
      <c r="C17" s="148" t="s">
        <v>191</v>
      </c>
      <c r="D17" s="151"/>
      <c r="E17" s="148"/>
      <c r="F17" s="152" t="str">
        <f>CONCATENATE(IF($H$96&gt;8,"● Specificeer de component in J17","● Selecteer de component en de analyse eenheid van de emissie."),CHAR(10))</f>
        <v xml:space="preserve">● Selecteer de component en de analyse eenheid van de emissie.
</v>
      </c>
      <c r="G17" s="148" t="str">
        <f>CONCATENATE(IF($H$96&lt;=8,"● Select the pollutant and the units of its emission.","● Enter the pollutant in J17."),CHAR(10))</f>
        <v xml:space="preserve">● Select the pollutant and the units of its emission.
</v>
      </c>
      <c r="H17" s="252" t="str">
        <f t="shared" si="0"/>
        <v>Emissie</v>
      </c>
      <c r="I17" s="133" t="str">
        <f>INDEX(I97:I111,H96)</f>
        <v>NOx</v>
      </c>
      <c r="J17" s="157"/>
      <c r="K17" s="304" t="str">
        <f>CONCATENATE(INDEX(F17:G17,$J$54),CHAR(10),INDEX(F18:G18,$J$54))</f>
        <v>● Selecteer de component en de analyse eenheid van de emissie.
● Vul de gemeten concentraties of de emissie-eis in de gele cellen in</v>
      </c>
      <c r="L17" s="4"/>
      <c r="M17" s="4"/>
      <c r="N17" s="4"/>
      <c r="O17" s="4"/>
      <c r="P17" s="146"/>
      <c r="Q17" s="2">
        <f>IF(H96&lt;9,0,1)</f>
        <v>0</v>
      </c>
      <c r="T17" s="1"/>
      <c r="U17" s="1"/>
      <c r="V17" s="258"/>
    </row>
    <row r="18" spans="1:22" ht="17.100000000000001" customHeight="1" x14ac:dyDescent="0.25">
      <c r="A18" s="258"/>
      <c r="B18" s="241" t="s">
        <v>45</v>
      </c>
      <c r="C18" s="148" t="s">
        <v>192</v>
      </c>
      <c r="D18" s="151" t="str">
        <f>CONCATENATE("vol% ",IF(OR(Modus&lt;3,P84="",I7=""),"",CONCATENATE("(luchtfactor: ",ROUND(P84*100,0)/100,")")))</f>
        <v xml:space="preserve">vol% </v>
      </c>
      <c r="E18" s="148" t="str">
        <f>CONCATENATE("vol% ",IF(OR(Modus&lt;3,P84="",I7=""),"",CONCATENATE("(Airfactor: ",ROUND(P84*100,0)/100,")")))</f>
        <v xml:space="preserve">vol% </v>
      </c>
      <c r="F18" s="152" t="s">
        <v>249</v>
      </c>
      <c r="G18" s="148" t="s">
        <v>248</v>
      </c>
      <c r="H18" s="252" t="str">
        <f t="shared" si="0"/>
        <v>Actuele zuurstofconcentratie in droog rookgas</v>
      </c>
      <c r="I18" s="199"/>
      <c r="J18" s="195" t="str">
        <f>INDEX(D18:E18,$J$54)</f>
        <v xml:space="preserve">vol% </v>
      </c>
      <c r="K18" s="304"/>
      <c r="L18" s="4"/>
      <c r="M18" s="143"/>
      <c r="N18" s="183"/>
      <c r="O18" s="4"/>
      <c r="P18" s="146"/>
      <c r="T18" s="1"/>
      <c r="U18" s="1"/>
      <c r="V18" s="258"/>
    </row>
    <row r="19" spans="1:22" ht="17.100000000000001" customHeight="1" thickBot="1" x14ac:dyDescent="0.3">
      <c r="A19" s="258"/>
      <c r="B19" s="241"/>
      <c r="C19" s="148"/>
      <c r="D19" s="151" t="str">
        <f>INDEX($K$97:$K$111,$H$96)</f>
        <v>vppm</v>
      </c>
      <c r="E19" s="148" t="str">
        <f>INDEX($K$97:$K$111,$H$96)</f>
        <v>vppm</v>
      </c>
      <c r="F19" s="148"/>
      <c r="G19" s="148"/>
      <c r="H19" s="255" t="str">
        <f>INDEX(J97:J111,H96)</f>
        <v>NOx-concentratie in droog rookgas</v>
      </c>
      <c r="I19" s="203"/>
      <c r="J19" s="204" t="str">
        <f>INDEX(D19:E19,$J$54)</f>
        <v>vppm</v>
      </c>
      <c r="K19" s="322"/>
      <c r="N19" s="4">
        <f>20/0.276</f>
        <v>72.463768115942017</v>
      </c>
      <c r="O19" s="4">
        <f>20/0.276</f>
        <v>72.463768115942017</v>
      </c>
      <c r="P19" s="4" t="str">
        <f ca="1">IF(ISNUMBER(I19/I24),I19/I24,"")</f>
        <v/>
      </c>
      <c r="T19" s="1"/>
      <c r="U19" s="1"/>
      <c r="V19" s="258"/>
    </row>
    <row r="20" spans="1:22" ht="17.100000000000001" customHeight="1" x14ac:dyDescent="0.25">
      <c r="A20" s="258"/>
      <c r="B20" s="241" t="s">
        <v>170</v>
      </c>
      <c r="C20" s="148" t="s">
        <v>180</v>
      </c>
      <c r="D20" s="151"/>
      <c r="E20" s="148"/>
      <c r="F20" s="148"/>
      <c r="G20" s="148"/>
      <c r="H20" s="309" t="str">
        <f t="shared" ref="H20:H27" si="2">INDEX(B20:C20,$J$54)</f>
        <v>Referentiecondities</v>
      </c>
      <c r="I20" s="310"/>
      <c r="J20" s="311"/>
      <c r="K20" s="246"/>
      <c r="L20" s="4"/>
      <c r="M20" s="4"/>
      <c r="N20" s="4"/>
      <c r="O20" s="4"/>
      <c r="P20" s="146"/>
      <c r="T20" s="1"/>
      <c r="U20" s="1"/>
      <c r="V20" s="258"/>
    </row>
    <row r="21" spans="1:22" ht="17.100000000000001" customHeight="1" x14ac:dyDescent="0.25">
      <c r="A21" s="258"/>
      <c r="B21" s="241" t="s">
        <v>24</v>
      </c>
      <c r="C21" s="148" t="s">
        <v>193</v>
      </c>
      <c r="D21" s="151" t="s">
        <v>194</v>
      </c>
      <c r="E21" s="148" t="s">
        <v>195</v>
      </c>
      <c r="F21" s="152" t="s">
        <v>273</v>
      </c>
      <c r="G21" s="149" t="s">
        <v>270</v>
      </c>
      <c r="H21" s="252" t="str">
        <f t="shared" si="2"/>
        <v>Referentie zuurstofconcentratie</v>
      </c>
      <c r="I21" s="196">
        <f>IF(M21=0,INDEX($S$64:$S$71,$H$63),M21-1)</f>
        <v>3</v>
      </c>
      <c r="J21" s="195" t="str">
        <f>INDEX(D21:E21,$J$54)</f>
        <v>vol% (droog rookgas)</v>
      </c>
      <c r="K21" s="247" t="str">
        <f>INDEX(F21:G21,$J$54)</f>
        <v xml:space="preserve">● Pas met de schuifbalk de referentie zuurstofconcentratie aan. </v>
      </c>
      <c r="L21" s="3">
        <v>0</v>
      </c>
      <c r="M21" s="189">
        <f>L21</f>
        <v>0</v>
      </c>
      <c r="N21" s="4"/>
      <c r="O21" s="4"/>
      <c r="P21" s="146"/>
      <c r="Q21" s="2">
        <f>IF(I18="",0,1)</f>
        <v>0</v>
      </c>
      <c r="R21" s="2">
        <f>IF($M21&lt;&gt;0,1,0)</f>
        <v>0</v>
      </c>
      <c r="T21" s="1"/>
      <c r="U21" s="1"/>
      <c r="V21" s="258"/>
    </row>
    <row r="22" spans="1:22" ht="17.100000000000001" customHeight="1" thickBot="1" x14ac:dyDescent="0.3">
      <c r="A22" s="258"/>
      <c r="B22" s="241" t="s">
        <v>196</v>
      </c>
      <c r="C22" s="148" t="s">
        <v>197</v>
      </c>
      <c r="D22" s="151" t="s">
        <v>14</v>
      </c>
      <c r="E22" s="148" t="s">
        <v>14</v>
      </c>
      <c r="F22" s="152" t="str">
        <f>IF(Modus&lt;&gt;3,CONCATENATE("● Deze parameter kan alleen worden aangepast in de ",LOWER($K$57),"."),"●  Gebruik de schuifbalk om de referentietemperatuur aan te passen.")</f>
        <v>● Deze parameter kan alleen worden aangepast in de uitgebreide modus.</v>
      </c>
      <c r="G22" s="148" t="str">
        <f>IF(Modus&lt;&gt;3,CONCATENATE("● This parameter can only be adapted in the ",LOWER($K$57),"."),"● Adapt the reference temperature using the scroll bar.")</f>
        <v>● This parameter can only be adapted in the uitgebreide modus.</v>
      </c>
      <c r="H22" s="255" t="str">
        <f t="shared" si="2"/>
        <v>Referentietemperatuur voor warmteberekening</v>
      </c>
      <c r="I22" s="227">
        <f>IF(M22=0,12,M22-1)</f>
        <v>12</v>
      </c>
      <c r="J22" s="204" t="str">
        <f>INDEX(D22:E22,$J$54)</f>
        <v>°C</v>
      </c>
      <c r="K22" s="247" t="str">
        <f>IF(Modus=1,"",INDEX(F22:G22,$J$54))</f>
        <v/>
      </c>
      <c r="L22" s="3">
        <v>0</v>
      </c>
      <c r="M22" s="189">
        <f>IF(Modus&lt;3,0,L22)</f>
        <v>0</v>
      </c>
      <c r="N22" s="4"/>
      <c r="O22" s="4"/>
      <c r="P22" s="146"/>
      <c r="Q22" s="2">
        <f>IF($I$7="",0,1)</f>
        <v>0</v>
      </c>
      <c r="R22" s="2">
        <f>IF($M22&lt;&gt;0,1,0)</f>
        <v>0</v>
      </c>
      <c r="T22" s="1"/>
      <c r="U22" s="1"/>
      <c r="V22" s="258"/>
    </row>
    <row r="23" spans="1:22" ht="17.100000000000001" customHeight="1" x14ac:dyDescent="0.25">
      <c r="A23" s="258"/>
      <c r="B23" s="241" t="str">
        <f ca="1">CONCATENATE("Verbrandingsparameters brandstof",IF(I14="","","mix"),IF(I56=0,"",CONCATENATE(" bij ",IF(I18="",0,I18)," vol% O2 in droog rookgas")))</f>
        <v>Verbrandingsparameters brandstof bij 0 vol% O2 in droog rookgas</v>
      </c>
      <c r="C23" s="148" t="str">
        <f ca="1">CONCATENATE("Combustion parameters fuel",IF(I14="","","mix"),IF(I56=0,"",CONCATENATE(" at ",IF(I18="",0,I18)," vol% O2 in dry flue gas")))</f>
        <v>Combustion parameters fuel at 0 vol% O2 in dry flue gas</v>
      </c>
      <c r="D23" s="151"/>
      <c r="E23" s="148"/>
      <c r="F23" s="148"/>
      <c r="G23" s="148"/>
      <c r="H23" s="309" t="str">
        <f t="shared" ca="1" si="2"/>
        <v>Verbrandingsparameters brandstof bij 0 vol% O2 in droog rookgas</v>
      </c>
      <c r="I23" s="310"/>
      <c r="J23" s="311"/>
      <c r="K23" s="246"/>
      <c r="L23" s="5"/>
      <c r="M23" s="5"/>
      <c r="N23" s="4"/>
      <c r="O23" s="4"/>
      <c r="P23" s="146"/>
      <c r="T23" s="1"/>
      <c r="U23" s="1"/>
      <c r="V23" s="258"/>
    </row>
    <row r="24" spans="1:22" ht="17.100000000000001" customHeight="1" x14ac:dyDescent="0.25">
      <c r="A24" s="258"/>
      <c r="B24" s="241" t="s">
        <v>48</v>
      </c>
      <c r="C24" s="148" t="s">
        <v>200</v>
      </c>
      <c r="D24" s="151" t="s">
        <v>199</v>
      </c>
      <c r="E24" s="148" t="s">
        <v>199</v>
      </c>
      <c r="F24" s="148" t="str">
        <f ca="1">IF(ISNUMBER(FIND("MJ",J24)),"● MJ, GJ en TJ betrokken op de calorische onderwaarde","")</f>
        <v/>
      </c>
      <c r="G24" s="148" t="str">
        <f ca="1">IF(ISNUMBER(FIND("MJ",J24)),"● MJ, GJ and TJ based on the lower calorific value","")</f>
        <v/>
      </c>
      <c r="H24" s="252" t="str">
        <f t="shared" si="2"/>
        <v>Droog rookgasdebiet</v>
      </c>
      <c r="I24" s="228" t="str">
        <f ca="1">IF(OR(I56=0,ISNUMBER(20.95/(20.95-I18))=FALSE,AND(I7="",H96&lt;&gt;11)),"",IF(I7="",0.25*20.95/(20.95-I18),IF(ISNUMBER(I84),I84*20.95/(20.95-I18),"")))</f>
        <v/>
      </c>
      <c r="J24" s="195" t="str">
        <f ca="1">IF(I24="","",INDEX(D24:E24,$J$54))</f>
        <v/>
      </c>
      <c r="K24" s="247" t="str">
        <f ca="1">INDEX(F24:G24,$J$54)</f>
        <v/>
      </c>
      <c r="L24" s="5"/>
      <c r="M24" s="5"/>
      <c r="N24" s="4"/>
      <c r="O24" s="4"/>
      <c r="P24" s="146"/>
      <c r="Q24" s="2">
        <f>IF(OR($I$7="",Modus=1),0,1)</f>
        <v>0</v>
      </c>
      <c r="T24" s="1"/>
      <c r="U24" s="1"/>
      <c r="V24" s="258"/>
    </row>
    <row r="25" spans="1:22" ht="17.100000000000001" customHeight="1" x14ac:dyDescent="0.25">
      <c r="A25" s="258"/>
      <c r="B25" s="241" t="str">
        <f>IF(N25=0,"Verbrandingsluchtverbruik (droog)",CONCATENATE("Verbrandingsluchtverbruik (met ",N25," vol% vocht)"))</f>
        <v>Verbrandingsluchtverbruik (met 1 vol% vocht)</v>
      </c>
      <c r="C25" s="148" t="str">
        <f>IF(N25=0,"Combustion air consumption (dry)",CONCATENATE("Combustion air consumption (containing ",N25," vol% moisture)"))</f>
        <v>Combustion air consumption (containing 1 vol% moisture)</v>
      </c>
      <c r="D25" s="151" t="e">
        <f ca="1">CONCATENATE("Nm³/MJ",IF(I28="","",CONCATENATE(" (≡",T25," Nm³/uur)")))</f>
        <v>#VALUE!</v>
      </c>
      <c r="E25" s="148" t="e">
        <f ca="1">CONCATENATE("Nm³/MJ",IF(I28="","",CONCATENATE(" (≡",T25," Nm³/hr)")))</f>
        <v>#VALUE!</v>
      </c>
      <c r="F25" s="152" t="str">
        <f>IF(Modus&lt;&gt;3,CONCATENATE("● Deze parameter kan alleen worden aangepast in de ",LOWER($K$57),". Pas de modus in cel K2 aan om deze parameter te wijzigen."),"●  Pas met de schuifbalk vochtgehalte in de verbrandingslucht aan. ")</f>
        <v>● Deze parameter kan alleen worden aangepast in de uitgebreide modus. Pas de modus in cel K2 aan om deze parameter te wijzigen.</v>
      </c>
      <c r="G25" s="149" t="str">
        <f>IF(Modus&lt;&gt;3,CONCATENATE("● This parameter can only be adapted in the ",LOWER($K$57),". Adapt the mode in cel K2 in order to change thise parameter."),"● Use the scroll bar to adapt water contents of the combustion air")</f>
        <v>● This parameter can only be adapted in the uitgebreide modus. Adapt the mode in cel K2 in order to change thise parameter.</v>
      </c>
      <c r="H25" s="252" t="str">
        <f t="shared" si="2"/>
        <v>Verbrandingsluchtverbruik (met 1 vol% vocht)</v>
      </c>
      <c r="I25" s="228" t="str">
        <f ca="1">IF(OR(I56=0,I7=""),"",IF(ISNUMBER(Q84),Q84,""))</f>
        <v/>
      </c>
      <c r="J25" s="195" t="str">
        <f ca="1">IF(I25="","",INDEX(D25:E25,$J$54))</f>
        <v/>
      </c>
      <c r="K25" s="304" t="str">
        <f>INDEX(F25:G25,$J$54)</f>
        <v>● Deze parameter kan alleen worden aangepast in de uitgebreide modus. Pas de modus in cel K2 aan om deze parameter te wijzigen.</v>
      </c>
      <c r="L25" s="3">
        <v>0</v>
      </c>
      <c r="M25" s="189">
        <f>IF(Modus&lt;3,0,L25)</f>
        <v>0</v>
      </c>
      <c r="N25" s="4">
        <f>IF(M25=0,1,(M25-1)/10)</f>
        <v>1</v>
      </c>
      <c r="O25" s="155" t="s">
        <v>177</v>
      </c>
      <c r="P25" s="145"/>
      <c r="Q25" s="236">
        <f t="shared" ref="Q25:Q30" si="3">IF(OR($I$7="",Modus=1),0,1)</f>
        <v>0</v>
      </c>
      <c r="R25" s="236">
        <f>IF($M25&lt;&gt;0,1,0)</f>
        <v>0</v>
      </c>
      <c r="S25" s="237" t="e">
        <f ca="1">I28*I25</f>
        <v>#VALUE!</v>
      </c>
      <c r="T25" s="2" t="e">
        <f ca="1">CONCATENATE(ROUND(S25/(10^U25),2),"E",IF(U25&lt;0,"-","+"),IF(ABS(U25)&lt;10,"0",""),ABS(U25))</f>
        <v>#VALUE!</v>
      </c>
      <c r="U25" s="1" t="e">
        <f ca="1">ROUND(LOG10(ABS(S25))-IF(S25&lt;=1,0,0.5),0)</f>
        <v>#VALUE!</v>
      </c>
      <c r="V25" s="258"/>
    </row>
    <row r="26" spans="1:22" ht="17.100000000000001" customHeight="1" x14ac:dyDescent="0.25">
      <c r="A26" s="258"/>
      <c r="B26" s="241" t="str">
        <f>CONCATENATE("H2O-debiet ",IF(OR(N25=0,I7=""),"","(uit verbranding en luchtverbruik)"))</f>
        <v xml:space="preserve">H2O-debiet </v>
      </c>
      <c r="C26" s="148" t="str">
        <f>CONCATENATE("H2O-flow ",IF(OR(N25=0,I7=""),"","(from combustion and combustion air)"))</f>
        <v xml:space="preserve">H2O-flow </v>
      </c>
      <c r="D26" s="151" t="s">
        <v>199</v>
      </c>
      <c r="E26" s="148" t="s">
        <v>199</v>
      </c>
      <c r="F26" s="148"/>
      <c r="G26" s="148"/>
      <c r="H26" s="252" t="str">
        <f t="shared" si="2"/>
        <v xml:space="preserve">H2O-debiet </v>
      </c>
      <c r="I26" s="229" t="str">
        <f ca="1">IF(I56=0,"",IF(ISNUMBER(O84+N25/100*I25),O84+N25/100*I25,""))</f>
        <v/>
      </c>
      <c r="J26" s="195" t="str">
        <f ca="1">IF(I26="","",INDEX(D26:E26,$J$54))</f>
        <v/>
      </c>
      <c r="K26" s="304"/>
      <c r="L26" s="4"/>
      <c r="M26" s="4"/>
      <c r="N26" s="4"/>
      <c r="O26" s="155"/>
      <c r="P26" s="145"/>
      <c r="Q26" s="2">
        <f t="shared" si="3"/>
        <v>0</v>
      </c>
      <c r="T26" s="1"/>
      <c r="U26" s="1"/>
      <c r="V26" s="258"/>
    </row>
    <row r="27" spans="1:22" ht="17.100000000000001" customHeight="1" x14ac:dyDescent="0.25">
      <c r="A27" s="258"/>
      <c r="B27" s="241" t="s">
        <v>49</v>
      </c>
      <c r="C27" s="148" t="s">
        <v>198</v>
      </c>
      <c r="D27" s="151" t="str">
        <f>CONCATENATE("Nm³/MJ",IF(Modus&lt;3,"",IF(ISNUMBER(I27*44/22.4*1000),CONCATENATE(" (= ",ROUND(I27*44/22.4*1000,1)," kg/GJ = ",ROUND(I27*44/22.4*1000*3.6/(1+I26*44.0136/21.629),0)," kg/MWh)"),"")))</f>
        <v>Nm³/MJ</v>
      </c>
      <c r="E27" s="151" t="str">
        <f>D27</f>
        <v>Nm³/MJ</v>
      </c>
      <c r="F27" s="148" t="str">
        <f>IF(ISNUMBER(FIND("MWh",D27)),"●  MWh betrokken op de calorische bovenwaarde","")</f>
        <v/>
      </c>
      <c r="G27" s="148" t="str">
        <f>IF(ISNUMBER(FIND("MWh",D27)),"●  MWh based on the gross calorific value","")</f>
        <v/>
      </c>
      <c r="H27" s="252" t="str">
        <f t="shared" si="2"/>
        <v>CO2-debiet</v>
      </c>
      <c r="I27" s="230" t="str">
        <f ca="1">IF(OR(I56=0,I7=""),"",IF(ISNUMBER(N84),N84,""))</f>
        <v/>
      </c>
      <c r="J27" s="195" t="str">
        <f ca="1">IF(I27="","",INDEX(D27:E27,$J$54))</f>
        <v/>
      </c>
      <c r="K27" s="248" t="str">
        <f>INDEX(F27:G27,$J$54)</f>
        <v/>
      </c>
      <c r="L27" s="4"/>
      <c r="M27" s="5" t="str">
        <f ca="1">IF(ISNUMBER((I26*I28-I33*I32/100)/22.4*18/3600*2300/1000),(I26*I28-I33*I32/100)/22.4*18/3600*2300/1000,"")</f>
        <v/>
      </c>
      <c r="N27" s="5" t="str">
        <f ca="1">IF(ISNUMBER(N33*I32/100/22.4*18*2300/1000/3600),N33*I32/100/22.4*18*2300/1000/3600,"")</f>
        <v/>
      </c>
      <c r="O27" s="4"/>
      <c r="P27" s="146"/>
      <c r="Q27" s="2">
        <f t="shared" si="3"/>
        <v>0</v>
      </c>
      <c r="T27" s="1"/>
      <c r="U27" s="1"/>
      <c r="V27" s="258"/>
    </row>
    <row r="28" spans="1:22" ht="17.100000000000001" customHeight="1" x14ac:dyDescent="0.25">
      <c r="A28" s="258"/>
      <c r="B28" s="241" t="s">
        <v>268</v>
      </c>
      <c r="C28" s="148" t="s">
        <v>267</v>
      </c>
      <c r="D28" s="151" t="str">
        <f>IF(I28="","",CONCATENATE("MJ/uur",IF(Modus&lt;3,"",IF(ISNUMBER(I28*I8/1000),CONCATENATE("   (= ",T28," TJ/jaar)"),""))))</f>
        <v>MJ/uur</v>
      </c>
      <c r="E28" s="148" t="str">
        <f>IF(I28="","",CONCATENATE("MJ/hr",IF(Modus&lt;3,"",IF(ISNUMBER(I28*I8/1000),CONCATENATE("    (= ",T28," TJ/year)"),""))))</f>
        <v>MJ/hr</v>
      </c>
      <c r="F28" s="148"/>
      <c r="G28" s="148"/>
      <c r="H28" s="256" t="str">
        <f>INDEX(B28:C28,$J$54)</f>
        <v>Energieverbruik</v>
      </c>
      <c r="I28" s="206">
        <f>I7*3600*I9/100</f>
        <v>0</v>
      </c>
      <c r="J28" s="200" t="str">
        <f>INDEX(D28:E28,$J$54)</f>
        <v>MJ/uur</v>
      </c>
      <c r="K28" s="250"/>
      <c r="L28" s="4"/>
      <c r="M28" s="4"/>
      <c r="N28" s="4"/>
      <c r="O28" s="4"/>
      <c r="P28" s="146"/>
      <c r="Q28" s="2">
        <f t="shared" si="3"/>
        <v>0</v>
      </c>
      <c r="S28" s="237">
        <f>I28*I8/1000000</f>
        <v>0</v>
      </c>
      <c r="T28" s="2" t="e">
        <f>CONCATENATE(ROUND(S28/(10^U28),2),"E",IF(U28&lt;0,"-","+"),IF(ABS(U28)&lt;10,"0",""),ABS(U28))</f>
        <v>#NUM!</v>
      </c>
      <c r="U28" s="1" t="e">
        <f>ROUND(LOG10(ABS(S28))-IF(S28&lt;=1,0,0.5),0)</f>
        <v>#NUM!</v>
      </c>
      <c r="V28" s="258"/>
    </row>
    <row r="29" spans="1:22" ht="17.100000000000001" customHeight="1" x14ac:dyDescent="0.25">
      <c r="A29" s="258"/>
      <c r="B29" s="241" t="str">
        <f>IF(OR(INDEX(I64:I71,H63)="",AND(I14&lt;&gt;"",B30="")),"",CONCATENATE("Verbruik van ",INDEX(H64:H71,H63),IF(Modus=3,CONCATENATE(" (Stw=",ROUND(INDEX(L64:L71,H63),1)," ",INDEX(U64:U71,H63),")"),"")))</f>
        <v xml:space="preserve">Verbruik van </v>
      </c>
      <c r="C29" s="148" t="str">
        <f>IF(OR(INDEX(I64:I71,H63)="",AND(I14&lt;&gt;"",B30="")),"",CONCATENATE("Consumption of ",INDEX(H64:H71,H63),IF(Modus=3,CONCATENATE(" (LHV=",ROUND(INDEX(L64:L71,H63),1)," ",INDEX(U64:U71,H63),")"),"")))</f>
        <v xml:space="preserve">Consumption of </v>
      </c>
      <c r="D29" s="151" t="str">
        <f>IF(I7="","",IF(OR(INDEX(I64:I71,H63)="",AND(I14&lt;&gt;"",B30="")),"",CONCATENATE(IF(INDEX(R64:R71,H63)=1,"Nm³/uur","kg/uur")," (= ",T29,IF(INDEX(R64:R71,H63)=1," Nm³/jaar"," kg/jaar"),")")))</f>
        <v/>
      </c>
      <c r="E29" s="148" t="str">
        <f>IF(I7="","",IF(OR(INDEX(I64:I71,H63)="",AND(I14&lt;&gt;"",B30="")),"",CONCATENATE(IF(INDEX(R64:R71,H63)=1,"Nm³/hr","kg/hr")," (= ",T29,IF(INDEX(R64:R71,H63)=1," Nm³/year"," kg/year"),")")))</f>
        <v/>
      </c>
      <c r="F29" s="148"/>
      <c r="G29" s="148"/>
      <c r="H29" s="252" t="str">
        <f>IF(I14=100,"",INDEX(B29:C29,$J$54))</f>
        <v xml:space="preserve">Verbruik van </v>
      </c>
      <c r="I29" s="207" t="str">
        <f ca="1">IF(AND(ISNUMBER(I28/INDEX(L64:L71,H63)),H29&lt;&gt;""),CONCATENATE(IF(OR(AND(H63=7,Fuel1!I9="DIN1942"),AND(H63=8,Fuel2!I9="DIN1942")),"≈",""),ROUND((1-I14/100)*I28/INDEX(L64:L71,H63),0)),"")</f>
        <v>0</v>
      </c>
      <c r="J29" s="195" t="str">
        <f ca="1">IF(OR(I29="",I29="--",I29=0),"",INDEX(D29:E29,$J$54))</f>
        <v/>
      </c>
      <c r="K29" s="250"/>
      <c r="L29" s="4"/>
      <c r="M29" s="4"/>
      <c r="N29" s="4"/>
      <c r="O29" s="4"/>
      <c r="P29" s="146"/>
      <c r="Q29" s="2">
        <f t="shared" si="3"/>
        <v>0</v>
      </c>
      <c r="S29" s="237">
        <f>I28*(1-I14/100)/INDEX(L64:L71,H63)*I8</f>
        <v>0</v>
      </c>
      <c r="T29" s="2" t="e">
        <f>CONCATENATE(ROUND(S29/(10^U29),2),"E",IF(U29&lt;0,"-","+"),IF(ABS(U29)&lt;10,"0",""),ABS(U29))</f>
        <v>#NUM!</v>
      </c>
      <c r="U29" s="1" t="e">
        <f>ROUND(LOG10(ABS(S29))-IF(S29&lt;=1,0,0.5),0)</f>
        <v>#NUM!</v>
      </c>
      <c r="V29" s="258"/>
    </row>
    <row r="30" spans="1:22" ht="17.100000000000001" customHeight="1" thickBot="1" x14ac:dyDescent="0.3">
      <c r="A30" s="258"/>
      <c r="B30" s="241" t="str">
        <f>IF(INDEX(I74:I81,H73)="","",CONCATENATE("Verbruik van ",INDEX(H74:H81,H73),IF(Modus=3,CONCATENATE(" (Stw=",ROUND(INDEX(L74:L81,H73),1)," ",INDEX(U74:U81,H73),")"),"")))</f>
        <v xml:space="preserve">Verbruik van </v>
      </c>
      <c r="C30" s="148" t="str">
        <f>IF(INDEX(I74:I81,H73)="","",CONCATENATE("Consumption of ",INDEX(H74:H81,H73),IF(Modus=3,CONCATENATE(" (LHV=",ROUND(INDEX(L74:L81,H73),1)," ",INDEX(U74:U81,H73),")"),"")))</f>
        <v xml:space="preserve">Consumption of </v>
      </c>
      <c r="D30" s="151" t="str">
        <f>IF(OR(I7="",I14="",I14=0),"",IF(INDEX(I74:I81,H73)="","",CONCATENATE(IF(INDEX(R74:R81,H73)=1,"Nm³/uur","kg/uur")," (= ",T30,IF(INDEX(R74:R81,H73)=1," Nm³/jaar"," kg/jaar"),")")))</f>
        <v/>
      </c>
      <c r="E30" s="148" t="str">
        <f>IF(OR(I7="",I14="",I14=0),"",IF(INDEX(I74:I81,H73)="","",CONCATENATE(IF(INDEX(R74:R81,H73)=1,"Nm³/hr","kg/hr")," (= ",T30,IF(INDEX(R74:R81,H73)=1," Nm³/year"," kg/year"),")")))</f>
        <v/>
      </c>
      <c r="F30" s="148"/>
      <c r="G30" s="148"/>
      <c r="H30" s="252" t="str">
        <f>IF(AND(I7&lt;&gt;"",I14&gt;0),INDEX(B30:C30,$J$54),"")</f>
        <v/>
      </c>
      <c r="I30" s="207" t="str">
        <f>IF(H30="","",IF(I28="","",IF(ISNUMBER(I28/INDEX(L74:L81,H73)),CONCATENATE(IF(OR(AND(H73=7,Fuel1!I9="DIN1942"),AND(H73=8,Fuel2!I9="DIN1942")),"≈",""),ROUND(I14/100*I28/INDEX(L74:L81,H73),0)),"")))</f>
        <v/>
      </c>
      <c r="J30" s="195" t="str">
        <f>IF(OR(I30="",I30="--"),"",INDEX(D30:E30,$J$54))</f>
        <v/>
      </c>
      <c r="K30" s="250"/>
      <c r="L30" s="4"/>
      <c r="M30" s="4"/>
      <c r="N30" s="4"/>
      <c r="O30" s="4"/>
      <c r="P30" s="146"/>
      <c r="Q30" s="2">
        <f t="shared" si="3"/>
        <v>0</v>
      </c>
      <c r="S30" s="237">
        <f>I28*I14/100/INDEX(L74:L81,H73)*I8</f>
        <v>0</v>
      </c>
      <c r="T30" s="2" t="e">
        <f>CONCATENATE(ROUND(S30/(10^U30),2),"E",IF(U30&lt;0,"-","+"),IF(ABS(U30)&lt;10,"0",""),ABS(U30))</f>
        <v>#NUM!</v>
      </c>
      <c r="U30" s="1" t="e">
        <f>ROUND(LOG10(ABS(S30))-IF(S30&lt;=1,0,0.5),0)</f>
        <v>#NUM!</v>
      </c>
      <c r="V30" s="258"/>
    </row>
    <row r="31" spans="1:22" ht="17.100000000000001" customHeight="1" x14ac:dyDescent="0.25">
      <c r="A31" s="258"/>
      <c r="B31" s="241" t="s">
        <v>34</v>
      </c>
      <c r="C31" s="148" t="s">
        <v>182</v>
      </c>
      <c r="D31" s="151"/>
      <c r="E31" s="299"/>
      <c r="F31" s="148"/>
      <c r="G31" s="148"/>
      <c r="H31" s="315" t="str">
        <f t="shared" ref="H31:H37" si="4">INDEX(B31:C31,$J$54)</f>
        <v>Nat rookgas</v>
      </c>
      <c r="I31" s="316"/>
      <c r="J31" s="317"/>
      <c r="K31" s="246"/>
      <c r="L31" s="4"/>
      <c r="M31" s="4"/>
      <c r="N31" s="4"/>
      <c r="O31" s="4"/>
      <c r="P31" s="146"/>
      <c r="T31" s="1"/>
      <c r="U31" s="1"/>
      <c r="V31" s="258"/>
    </row>
    <row r="32" spans="1:22" ht="17.100000000000001" customHeight="1" x14ac:dyDescent="0.25">
      <c r="A32" s="258"/>
      <c r="B32" s="241" t="s">
        <v>23</v>
      </c>
      <c r="C32" s="148" t="s">
        <v>205</v>
      </c>
      <c r="D32" s="151" t="str">
        <f ca="1">IF(I32="","","Nm³/uur")</f>
        <v/>
      </c>
      <c r="E32" s="148" t="str">
        <f ca="1">IF(I32="","","Nm³/hr")</f>
        <v/>
      </c>
      <c r="F32" s="148"/>
      <c r="G32" s="148"/>
      <c r="H32" s="252" t="str">
        <f t="shared" si="4"/>
        <v>Nat rookgasdebiet</v>
      </c>
      <c r="I32" s="208" t="str">
        <f ca="1">IF(ISNUMBER(I41/(1-I33/100)),I41/(1-I33/100),"")</f>
        <v/>
      </c>
      <c r="J32" s="195" t="str">
        <f ca="1">INDEX(D32:E32,$J$54)</f>
        <v/>
      </c>
      <c r="K32" s="304" t="str">
        <f ca="1">CONCATENATE(IF(OR(I57=1,I60=1),CHAR(10),""),INDEX(F33:G33,$J$54))</f>
        <v>● Gebruik de schuifbalk om de theoretische waarden van de vocht en CO2-concentratie te overschrijven als deze bijvoorbeeld door het gebruik van een natte wasser, onjuist zijn.</v>
      </c>
      <c r="L32" s="4"/>
      <c r="M32" s="4"/>
      <c r="N32" s="5" t="s">
        <v>264</v>
      </c>
      <c r="O32" s="4" t="s">
        <v>265</v>
      </c>
      <c r="P32" s="146" t="s">
        <v>266</v>
      </c>
      <c r="Q32" s="235">
        <f ca="1">IF(OR($I$7="",I32=""),0,1)</f>
        <v>0</v>
      </c>
      <c r="R32" s="235"/>
      <c r="T32" s="1"/>
      <c r="U32" s="1"/>
      <c r="V32" s="258"/>
    </row>
    <row r="33" spans="1:22" ht="17.100000000000001" customHeight="1" x14ac:dyDescent="0.25">
      <c r="A33" s="258"/>
      <c r="B33" s="241" t="str">
        <f ca="1">CONCATENATE("Vochtconcentratie",IF(OR(I7="",I26=""),IF(AND($I$7="",M33=0)," (op basis van aardgas)",""),IF(P33&gt;=N33,""," (op basis van rookgastemperatuur )")))</f>
        <v>Vochtconcentratie (op basis van aardgas)</v>
      </c>
      <c r="C33" s="148" t="str">
        <f ca="1">CONCATENATE("Moisture concentration",IF(OR(I7="",I26=""),IF(AND($I$7="",M33=0)," (based on natural gas)",""),IF(P33&gt;=N33,""," (based on flue gas temperature)")))</f>
        <v>Moisture concentration (based on natural gas)</v>
      </c>
      <c r="D33" s="151" t="str">
        <f ca="1">IF(I33="","",IF(OR(I33&lt;=0,Modus&lt;3,I26=""),"vol%",IF(I33&lt;=N33,CONCATENATE("vol% (dauwpunt: ",ROUND((19513.7/(17.433-LN(1013*I33/100)))^(1/1.27095)-273,0)," °C)"),CONCATENATE("vol%  (Condensatie: ",ROUND((I26*I28-I33*I32/100)/22.4*18/3600*2300/1000,2-LOG((I26*I28-I33*I32/100)/22.4*18/3600*2300/1000))," MW)"))))</f>
        <v>vol%</v>
      </c>
      <c r="E33" s="148" t="str">
        <f ca="1">IF(I33="","",IF(OR(I33&lt;=0,Modus&lt;3,I26=""),"vol%",IF(I33&lt;=N33,CONCATENATE("vol% (dewpoint: ",ROUND((19513.7/(17.433-LN(1013*I33/100)))^(1/1.27095)-273,0)," °C)"),CONCATENATE("vol%  (Condensation: ",ROUND((I26*I28-I33*I32/100)/22.4*18/3600*2300/1000,2-LOG((I26*I28-I33*I32/100)/22.4*18/3600*2300/1000))," MW)"))))</f>
        <v>vol%</v>
      </c>
      <c r="F33" s="152" t="str">
        <f ca="1">IF(AND(Modus&lt;&gt;3,$I$7&lt;&gt;""),CONCATENATE("● De theoretische vocht- en kooldioxide-concentratie kunnen alleen worden aangepast in de ",LOWER($K$57),". Pas de modus in cel K2 aan om deze parameters te wijzigen."),IF(I60=1,"● Gebruik de schuifbalk om het vochtgehalte in te stellen.","● Gebruik de schuifbalk om de theoretische waarden van de vocht en CO2-concentratie te overschrijven als deze bijvoorbeeld door het gebruik van een natte wasser, onjuist zijn."))</f>
        <v>● Gebruik de schuifbalk om de theoretische waarden van de vocht en CO2-concentratie te overschrijven als deze bijvoorbeeld door het gebruik van een natte wasser, onjuist zijn.</v>
      </c>
      <c r="G33" s="149" t="str">
        <f ca="1">IF(AND(Modus&lt;&gt;3,$I$7&lt;&gt;""),CONCATENATE("● The theoretical moisture and carbondioxide concentration can only be adapted in the ",LOWER($K$57),". Adapt the mode in cel K2 in order to change these parameter(s)."),IF(I60=1,"● Adapt the moisture contents of the flue gas with the scroll bar","● If the calculated moisture content and/or carbondioxide concentration are not correct (e.g. due to the applied abatement technique), the theoretical values can be overwritten by using the scroll bars."))</f>
        <v>● If the calculated moisture content and/or carbondioxide concentration are not correct (e.g. due to the applied abatement technique), the theoretical values can be overwritten by using the scroll bars.</v>
      </c>
      <c r="H33" s="252" t="str">
        <f t="shared" ca="1" si="4"/>
        <v>Vochtconcentratie (op basis van aardgas)</v>
      </c>
      <c r="I33" s="231">
        <f ca="1">IF($I$59=0,IF(I10="",O33,MIN(O33,P33)),IF(M33=0,MIN(N33,P33),MIN(O33,P33)))</f>
        <v>18.690385306206167</v>
      </c>
      <c r="J33" s="195" t="str">
        <f ca="1">INDEX(D33:E33,$J$54)</f>
        <v>vol%</v>
      </c>
      <c r="K33" s="304"/>
      <c r="L33" s="3">
        <v>0</v>
      </c>
      <c r="M33" s="191">
        <f>IF(AND(Modus&lt;3,$I$7&lt;&gt;""),0,L33)</f>
        <v>0</v>
      </c>
      <c r="N33" s="183" t="str">
        <f ca="1">IF(OR(I7="",I26=""),"",I26/(I24+I26)*100)</f>
        <v/>
      </c>
      <c r="O33" s="183">
        <f>IF($I$7="",IF(M33=0,100*(O64+Q64/0.99*0.01)/(I64+(P64-1)*M64/L64+(O64+Q64/0.99*0.01)),(M33-1)/10),(M33)/10)</f>
        <v>18.690385306206167</v>
      </c>
      <c r="P33" s="184">
        <f ca="1">IF(AND(I10="",N33&lt;&gt;""),N33,6.112 * EXP(17.62 * I10 / (243.12 + I10))/1013*100)</f>
        <v>0.60335636722606123</v>
      </c>
      <c r="Q33" s="235">
        <f ca="1">IF(AND($I$7="",$I$60=0),0,1)</f>
        <v>0</v>
      </c>
      <c r="R33" s="235">
        <f>IF($M33&lt;&gt;0,1,0)</f>
        <v>0</v>
      </c>
      <c r="T33" s="1"/>
      <c r="U33" s="1"/>
      <c r="V33" s="258"/>
    </row>
    <row r="34" spans="1:22" ht="17.100000000000001" customHeight="1" x14ac:dyDescent="0.25">
      <c r="A34" s="258"/>
      <c r="B34" s="241" t="s">
        <v>201</v>
      </c>
      <c r="C34" s="148" t="s">
        <v>203</v>
      </c>
      <c r="D34" s="151" t="s">
        <v>46</v>
      </c>
      <c r="E34" s="148" t="s">
        <v>46</v>
      </c>
      <c r="F34" s="148"/>
      <c r="G34" s="148"/>
      <c r="H34" s="253" t="str">
        <f t="shared" si="4"/>
        <v>Kooldioxide-concentratie</v>
      </c>
      <c r="I34" s="232" t="str">
        <f ca="1">IF(ISNUMBER(I42*(100-$I$33)/100),I42*(100-$I$33)/100,"")</f>
        <v/>
      </c>
      <c r="J34" s="198" t="str">
        <f ca="1">IF(I34="","",INDEX(D34:E34,$J$54))</f>
        <v/>
      </c>
      <c r="K34" s="305"/>
      <c r="L34" s="3">
        <v>0</v>
      </c>
      <c r="M34" s="191">
        <f>IF(Modus&lt;3,0,L34)</f>
        <v>0</v>
      </c>
      <c r="N34" s="4"/>
      <c r="O34" s="4"/>
      <c r="P34" s="146"/>
      <c r="Q34" s="2">
        <f ca="1">IF(OR($I$7="",I34="",Modus=1),0,1)</f>
        <v>0</v>
      </c>
      <c r="R34" s="2">
        <f t="shared" ref="R34" si="5">IF($M34&lt;&gt;0,1,0)</f>
        <v>0</v>
      </c>
      <c r="T34" s="1"/>
      <c r="U34" s="1"/>
      <c r="V34" s="258"/>
    </row>
    <row r="35" spans="1:22" ht="17.100000000000001" customHeight="1" x14ac:dyDescent="0.25">
      <c r="A35" s="258"/>
      <c r="B35" s="241" t="s">
        <v>5</v>
      </c>
      <c r="C35" s="148" t="s">
        <v>204</v>
      </c>
      <c r="D35" s="151" t="s">
        <v>46</v>
      </c>
      <c r="E35" s="148" t="s">
        <v>46</v>
      </c>
      <c r="F35" s="148"/>
      <c r="G35" s="148"/>
      <c r="H35" s="252" t="str">
        <f t="shared" si="4"/>
        <v>Zuurstofconcentratie</v>
      </c>
      <c r="I35" s="209">
        <f ca="1">IF(ISNUMBER(I18*(100-I33)/100),I18*(100-I33)/100,"")</f>
        <v>0</v>
      </c>
      <c r="J35" s="195" t="str">
        <f ca="1">IF(I35="","",INDEX(D35:E35,$J$54))</f>
        <v>vol%</v>
      </c>
      <c r="K35" s="250"/>
      <c r="L35" s="4"/>
      <c r="M35" s="4"/>
      <c r="N35" s="4"/>
      <c r="O35" s="4"/>
      <c r="P35" s="146"/>
      <c r="Q35" s="2">
        <f ca="1">IF(OR(I18="",AND($I$7="",$I$60=0)),0,1)</f>
        <v>0</v>
      </c>
      <c r="T35" s="1"/>
      <c r="U35" s="1"/>
      <c r="V35" s="258"/>
    </row>
    <row r="36" spans="1:22" ht="17.100000000000001" customHeight="1" x14ac:dyDescent="0.25">
      <c r="A36" s="258"/>
      <c r="B36" s="241" t="str">
        <f>IF(I17="","Concentratie",CONCATENATE(I17,"-concentratie ",INDEX(L97:L111,H96)))</f>
        <v>NOx-concentratie (als NO2)</v>
      </c>
      <c r="C36" s="148" t="str">
        <f>IF(I17="","Concentration",CONCATENATE(I17,"-concentration ",INDEX(L97:L111,H96)))</f>
        <v>NOx-concentration (als NO2)</v>
      </c>
      <c r="D36" s="148" t="s">
        <v>276</v>
      </c>
      <c r="E36" s="148" t="s">
        <v>276</v>
      </c>
      <c r="F36" s="148"/>
      <c r="G36" s="148"/>
      <c r="H36" s="252" t="str">
        <f t="shared" si="4"/>
        <v>NOx-concentratie (als NO2)</v>
      </c>
      <c r="I36" s="209" t="str">
        <f ca="1">IF(ISNUMBER(I37*273/(273+I10)),I37*273/(273+I10),"")</f>
        <v/>
      </c>
      <c r="J36" s="195" t="str">
        <f ca="1">IF(I36="","",INDEX(D36:E36,$J$54))</f>
        <v/>
      </c>
      <c r="K36" s="250"/>
      <c r="L36" s="4"/>
      <c r="M36" s="4"/>
      <c r="N36" s="4"/>
      <c r="O36" s="4"/>
      <c r="P36" s="146"/>
      <c r="Q36" s="2">
        <f ca="1">IF(AND(Modus&gt;1,I10&lt;&gt;"",$I$60=1),1,0)</f>
        <v>0</v>
      </c>
      <c r="T36" s="1"/>
      <c r="U36" s="1"/>
      <c r="V36" s="258"/>
    </row>
    <row r="37" spans="1:22" ht="17.100000000000001" customHeight="1" x14ac:dyDescent="0.25">
      <c r="A37" s="258"/>
      <c r="B37" s="241" t="str">
        <f>IF(I17="","Concentratie",CONCATENATE(I17,"-concentratie ",INDEX(L97:L111,H96)))</f>
        <v>NOx-concentratie (als NO2)</v>
      </c>
      <c r="C37" s="148" t="str">
        <f>IF(I17="","Concentration",CONCATENATE(I17,"-concentration ",INDEX(L97:L111,H96)))</f>
        <v>NOx-concentration (als NO2)</v>
      </c>
      <c r="D37" s="151" t="str">
        <f ca="1">IF(I37="","","mg/Nm³")</f>
        <v/>
      </c>
      <c r="E37" s="148" t="str">
        <f ca="1">D37</f>
        <v/>
      </c>
      <c r="F37" s="148" t="str">
        <f ca="1">IF(OR(N37=0,N37="--"),"",CONCATENATE("  (theoretisch: ",ROUND(N37,1)," ",D37,")"))</f>
        <v/>
      </c>
      <c r="G37" s="148" t="str">
        <f ca="1">IF(OR(N37=0,N37="--"),"",CONCATENATE("  (theoretical: ",ROUND(N37,1)," ",E37,")"))</f>
        <v/>
      </c>
      <c r="H37" s="253" t="str">
        <f t="shared" si="4"/>
        <v>NOx-concentratie (als NO2)</v>
      </c>
      <c r="I37" s="210" t="str">
        <f ca="1">IF(ISNUMBER(I44*(100-$I$33)/100),I44*(100-$I$33)/100,"")</f>
        <v/>
      </c>
      <c r="J37" s="198" t="str">
        <f ca="1">CONCATENATE(INDEX(D37:E37,$J$54),INDEX(F37:G37,$J$54))</f>
        <v/>
      </c>
      <c r="K37" s="248"/>
      <c r="L37" s="4"/>
      <c r="M37" s="4"/>
      <c r="N37" s="5" t="str">
        <f ca="1">IF(ISNUMBER(N44*I41/I32),N44*I41/I32,"--")</f>
        <v>--</v>
      </c>
      <c r="O37" s="4" t="s">
        <v>176</v>
      </c>
      <c r="P37" s="146"/>
      <c r="Q37" s="2">
        <f ca="1">IF($I$60=1,1,0)</f>
        <v>0</v>
      </c>
      <c r="T37" s="1"/>
      <c r="U37" s="1"/>
      <c r="V37" s="258"/>
    </row>
    <row r="38" spans="1:22" ht="17.100000000000001" customHeight="1" x14ac:dyDescent="0.25">
      <c r="A38" s="258"/>
      <c r="B38" s="241" t="s">
        <v>22</v>
      </c>
      <c r="C38" s="148" t="s">
        <v>202</v>
      </c>
      <c r="D38" s="151" t="str">
        <f ca="1">IF(I38="","","kg/Nm³")</f>
        <v/>
      </c>
      <c r="E38" s="148" t="str">
        <f ca="1">IF(I38="","","kg/Nm³")</f>
        <v/>
      </c>
      <c r="F38" s="148"/>
      <c r="G38" s="148"/>
      <c r="H38" s="252" t="str">
        <f t="shared" ref="H38:H51" si="6">INDEX(B38:C38,$J$54)</f>
        <v>Dichtheid nat rookgas</v>
      </c>
      <c r="I38" s="211" t="str">
        <f ca="1">IF(ISNUMBER((I34*1.977+I35*1.429+I33*0.833+(100-SUM(I33:I35))*1.25)/100),(I34*1.977+I35*1.429+I33*0.833+(100-SUM(I33:I35))*1.25)/100,"")</f>
        <v/>
      </c>
      <c r="J38" s="195" t="str">
        <f ca="1">INDEX(D38:E38,$J$54)</f>
        <v/>
      </c>
      <c r="K38" s="250"/>
      <c r="L38" s="4"/>
      <c r="M38" s="4"/>
      <c r="N38" s="4"/>
      <c r="O38" s="4"/>
      <c r="P38" s="146"/>
      <c r="Q38" s="2">
        <f ca="1">IF(OR($I$7="",I38="",Modus=1),0,1)</f>
        <v>0</v>
      </c>
      <c r="T38" s="1"/>
      <c r="U38" s="1"/>
      <c r="V38" s="258"/>
    </row>
    <row r="39" spans="1:22" ht="17.100000000000001" customHeight="1" thickBot="1" x14ac:dyDescent="0.3">
      <c r="A39" s="258"/>
      <c r="B39" s="241" t="s">
        <v>15</v>
      </c>
      <c r="C39" s="148" t="s">
        <v>206</v>
      </c>
      <c r="D39" s="151" t="str">
        <f ca="1">IF(I39="","",CONCATENATE("kJ/(Nm³.K)",IF(Modus&lt;3,"",CONCATENATE(" (= ",ROUND(I39/I38,3)," kJ/(kg.K))"))))</f>
        <v/>
      </c>
      <c r="E39" s="148" t="str">
        <f ca="1">IF(I39="","",CONCATENATE("kJ/(Nm³.K)",IF(Modus&lt;3,"",CONCATENATE(" (= ",ROUND(I39/I38,3)," kJ/(kg.K))"))))</f>
        <v/>
      </c>
      <c r="F39" s="148"/>
      <c r="G39" s="148"/>
      <c r="H39" s="255" t="str">
        <f t="shared" si="6"/>
        <v>Soortelijke warmte nat rookgas</v>
      </c>
      <c r="I39" s="233" t="str">
        <f ca="1">IF(ISNUMBER(I35*(1.3032+0.000192*I10-0.000000009*I10*I10)+I33*(1.4875+0.000161*I10+0.00000007*I10*I10)+I34*(1.621+0.000985*I10-0.000000382*I10*I10)+(100-I35-I34-I33)*(1.2986+0.0000285*I10+0.0000000755*I10*I10)/100),(I35*(1.3032+0.000192*I10-0.000000009*I10*I10)+I33*(1.4875+0.000161*I10+0.00000007*I10*I10)+I34*(1.621+0.000985*I10-0.000000382*I10*I10)+(100-I35-I34-I33)*(1.2986+0.0000285*I10+0.0000000755*I10*I10))/100,"")</f>
        <v/>
      </c>
      <c r="J39" s="204" t="str">
        <f ca="1">INDEX(D39:E39,$J$54)</f>
        <v/>
      </c>
      <c r="K39" s="250"/>
      <c r="L39" s="4"/>
      <c r="M39" s="4"/>
      <c r="N39" s="4"/>
      <c r="O39" s="4"/>
      <c r="P39" s="146"/>
      <c r="Q39" s="2">
        <f ca="1">IF(OR($I$7="",I39="",Modus=1),0,1)</f>
        <v>0</v>
      </c>
      <c r="T39" s="1"/>
      <c r="U39" s="1"/>
      <c r="V39" s="258"/>
    </row>
    <row r="40" spans="1:22" ht="17.100000000000001" customHeight="1" x14ac:dyDescent="0.25">
      <c r="A40" s="258"/>
      <c r="B40" s="241" t="s">
        <v>35</v>
      </c>
      <c r="C40" s="148" t="s">
        <v>181</v>
      </c>
      <c r="D40" s="151"/>
      <c r="E40" s="148"/>
      <c r="F40" s="148"/>
      <c r="G40" s="148"/>
      <c r="H40" s="309" t="str">
        <f t="shared" si="6"/>
        <v>Droog rookgas</v>
      </c>
      <c r="I40" s="310"/>
      <c r="J40" s="311"/>
      <c r="K40" s="246"/>
      <c r="L40" s="4"/>
      <c r="M40" s="4"/>
      <c r="N40" s="4"/>
      <c r="O40" s="4"/>
      <c r="P40" s="146"/>
      <c r="T40" s="1"/>
      <c r="U40" s="1"/>
      <c r="V40" s="258"/>
    </row>
    <row r="41" spans="1:22" ht="17.100000000000001" customHeight="1" x14ac:dyDescent="0.25">
      <c r="A41" s="258"/>
      <c r="B41" s="241" t="s">
        <v>48</v>
      </c>
      <c r="C41" s="148" t="s">
        <v>290</v>
      </c>
      <c r="D41" s="151" t="str">
        <f ca="1">IF(I41="","","Nm³/uur")</f>
        <v/>
      </c>
      <c r="E41" s="148" t="str">
        <f ca="1">IF(I41="","","Nm³/hr")</f>
        <v/>
      </c>
      <c r="F41" s="148"/>
      <c r="G41" s="148"/>
      <c r="H41" s="252" t="str">
        <f t="shared" si="6"/>
        <v>Droog rookgasdebiet</v>
      </c>
      <c r="I41" s="208" t="str">
        <f ca="1">IF($I$59=0,"",IF(ISNUMBER(I28*I24),I28*I24,""))</f>
        <v/>
      </c>
      <c r="J41" s="195" t="str">
        <f ca="1">INDEX(D41:E41,$J$54)</f>
        <v/>
      </c>
      <c r="K41" s="250"/>
      <c r="L41" s="4"/>
      <c r="M41" s="226"/>
      <c r="N41" s="4"/>
      <c r="O41" s="4"/>
      <c r="P41" s="146"/>
      <c r="Q41" s="2">
        <f ca="1">IF(OR($I$7="",I41=""),0,1)</f>
        <v>0</v>
      </c>
      <c r="T41" s="1"/>
      <c r="U41" s="1"/>
      <c r="V41" s="258"/>
    </row>
    <row r="42" spans="1:22" ht="17.100000000000001" customHeight="1" x14ac:dyDescent="0.25">
      <c r="A42" s="258"/>
      <c r="B42" s="241" t="s">
        <v>201</v>
      </c>
      <c r="C42" s="148" t="s">
        <v>203</v>
      </c>
      <c r="D42" s="151" t="s">
        <v>46</v>
      </c>
      <c r="E42" s="148" t="s">
        <v>46</v>
      </c>
      <c r="F42" s="148"/>
      <c r="G42" s="148"/>
      <c r="H42" s="253" t="str">
        <f t="shared" si="6"/>
        <v>Kooldioxide-concentratie</v>
      </c>
      <c r="I42" s="232" t="str">
        <f ca="1">IF($I$59=0,"",IF(M34=0,100*I27/I24,(M34-1)/10*100/(100-I33)))</f>
        <v/>
      </c>
      <c r="J42" s="198" t="str">
        <f ca="1">IF(I42="","",INDEX(D42:E42,$J$54))</f>
        <v/>
      </c>
      <c r="K42" s="248"/>
      <c r="L42" s="4"/>
      <c r="M42" s="4"/>
      <c r="N42" s="4"/>
      <c r="O42" s="4"/>
      <c r="P42" s="146"/>
      <c r="Q42" s="2">
        <f ca="1">IF(OR($I$7="",I42="",Modus=1),0,1)</f>
        <v>0</v>
      </c>
      <c r="T42" s="1"/>
      <c r="U42" s="1"/>
      <c r="V42" s="258"/>
    </row>
    <row r="43" spans="1:22" ht="17.100000000000001" customHeight="1" x14ac:dyDescent="0.25">
      <c r="A43" s="258"/>
      <c r="B43" s="241" t="s">
        <v>5</v>
      </c>
      <c r="C43" s="148" t="s">
        <v>204</v>
      </c>
      <c r="D43" s="151" t="s">
        <v>46</v>
      </c>
      <c r="E43" s="148" t="s">
        <v>46</v>
      </c>
      <c r="F43" s="148"/>
      <c r="G43" s="148"/>
      <c r="H43" s="252" t="str">
        <f t="shared" si="6"/>
        <v>Zuurstofconcentratie</v>
      </c>
      <c r="I43" s="209" t="str">
        <f>IF(I18="","",I18)</f>
        <v/>
      </c>
      <c r="J43" s="195" t="str">
        <f>IF(I43="","",INDEX(D43:E43,$J$54))</f>
        <v/>
      </c>
      <c r="K43" s="312" t="str">
        <f>INDEX(F44:G44,$J$54)</f>
        <v/>
      </c>
      <c r="L43" s="4"/>
      <c r="M43" s="4"/>
      <c r="N43" s="4"/>
      <c r="O43" s="4"/>
      <c r="P43" s="146"/>
      <c r="Q43" s="2">
        <f ca="1">IF(OR(I43="",AND($I$7="",$I$60=0)),0,1)</f>
        <v>0</v>
      </c>
      <c r="T43" s="1"/>
      <c r="U43" s="1"/>
      <c r="V43" s="258"/>
    </row>
    <row r="44" spans="1:22" ht="17.100000000000001" customHeight="1" x14ac:dyDescent="0.25">
      <c r="A44" s="258"/>
      <c r="B44" s="241" t="str">
        <f>IF(I17="","Concentratie",CONCATENATE(I17,"-concentratie ",INDEX(L97:L111,H96)))</f>
        <v>NOx-concentratie (als NO2)</v>
      </c>
      <c r="C44" s="148" t="str">
        <f>IF(I17="","Concentration",CONCATENATE(I17,"-concentration ",INDEX(L97:L111,H96)))</f>
        <v>NOx-concentration (als NO2)</v>
      </c>
      <c r="D44" s="151" t="str">
        <f>IF(I44="","",CONCATENATE("mg/Nm³",IF(OR(I24="",Modus&lt;3),"",CONCATENATE(" (≡ ",ROUND(I44*I24,1)," g/GJ = ",ROUND(I44*I24*3.6/(1+I26*44.0136/21.629),1)," mg/kWh)"))))</f>
        <v/>
      </c>
      <c r="E44" s="148" t="str">
        <f>D44</f>
        <v/>
      </c>
      <c r="F44" s="148" t="str">
        <f>IF(ISNUMBER(FIND("kWh",D44)),"●  GJ betrokken op de calorische onderwaarde en kWh op de calorische bovenwaarde","")</f>
        <v/>
      </c>
      <c r="G44" s="148" t="str">
        <f>IF(ISNUMBER(FIND("kWh",D44)),"● GJ based on the lower calorific value and kWh on the gross calorific value","")</f>
        <v/>
      </c>
      <c r="H44" s="253" t="str">
        <f t="shared" si="6"/>
        <v>NOx-concentratie (als NO2)</v>
      </c>
      <c r="I44" s="210" t="str">
        <f>IF(I19="","",IF(I56=1,IF($H$96&lt;&gt;13,IF(ISNUMBER(I19*INDEX(M97:M111,$H$96)),I19*INDEX(M97:M111,$H$96),""),IF($H$96=11,IF(ISNUMBER(I19/I24),I19/I24,""),IF(ISNUMBER(I19/I8*1000000/I41),I19/I8*1000000/I41,""))),""))</f>
        <v/>
      </c>
      <c r="J44" s="198" t="str">
        <f>INDEX(D44:E44,$J$54)</f>
        <v/>
      </c>
      <c r="K44" s="313"/>
      <c r="L44" s="4"/>
      <c r="M44" s="4"/>
      <c r="N44" s="4" t="str">
        <f>IF(LEFT(H45,3)="SO2",T84/I24*1000000*64/22.4,"--")</f>
        <v>--</v>
      </c>
      <c r="O44" s="4" t="s">
        <v>176</v>
      </c>
      <c r="P44" s="146"/>
      <c r="Q44" s="2">
        <f ca="1">IF($I$60=1,1,0)</f>
        <v>0</v>
      </c>
      <c r="T44" s="1"/>
      <c r="U44" s="1"/>
      <c r="V44" s="258"/>
    </row>
    <row r="45" spans="1:22" ht="17.100000000000001" customHeight="1" thickBot="1" x14ac:dyDescent="0.3">
      <c r="A45" s="258"/>
      <c r="B45" s="241" t="str">
        <f>CONCATENATE(B44,IF(RIGHT(B44,1)&lt;&gt;" "," bij ","bij "),I21," vol% O2")</f>
        <v>NOx-concentratie (als NO2) bij 3 vol% O2</v>
      </c>
      <c r="C45" s="148" t="str">
        <f>CONCATENATE(C44,IF(RIGHT(C44,1)&lt;&gt;" ", " at ","at "),I21," vol% O2")</f>
        <v>NOx-concentration (als NO2) at 3 vol% O2</v>
      </c>
      <c r="D45" s="151" t="str">
        <f>IF(I45="","","mg/Nm³")</f>
        <v/>
      </c>
      <c r="E45" s="148" t="str">
        <f>D45</f>
        <v/>
      </c>
      <c r="F45" s="148" t="str">
        <f>IF(OR(N45=0,N45="--"),"",CONCATENATE("  (theoretisch: ",ROUND(N45,1)," ",D45,")"))</f>
        <v/>
      </c>
      <c r="G45" s="148" t="str">
        <f>IF(OR(N45=0,N45="--"),"",CONCATENATE("  (theoretical: ",ROUND(N45,1)," ",E45,")"))</f>
        <v/>
      </c>
      <c r="H45" s="257" t="str">
        <f t="shared" si="6"/>
        <v>NOx-concentratie (als NO2) bij 3 vol% O2</v>
      </c>
      <c r="I45" s="234" t="str">
        <f>IF(I44="","",IF(ISNUMBER(I44*(21-I21)/(21-I18)),I44*(21-I21)/(21-I18),""))</f>
        <v/>
      </c>
      <c r="J45" s="213" t="str">
        <f>CONCATENATE(INDEX(D45:E45,$J$54),INDEX(F45:G45,$J$54))</f>
        <v/>
      </c>
      <c r="K45" s="250"/>
      <c r="L45" s="4"/>
      <c r="M45" s="4"/>
      <c r="N45" s="4" t="str">
        <f>IF(ISNUMBER(N44*(21-I21)/(21-I43)),N44*(21-I21)/(21-I43),"--")</f>
        <v>--</v>
      </c>
      <c r="O45" s="4" t="s">
        <v>176</v>
      </c>
      <c r="P45" s="146"/>
      <c r="Q45" s="2">
        <f ca="1">IF(I60=1,1,0)</f>
        <v>0</v>
      </c>
      <c r="T45" s="1"/>
      <c r="U45" s="1"/>
      <c r="V45" s="258"/>
    </row>
    <row r="46" spans="1:22" ht="17.100000000000001" customHeight="1" x14ac:dyDescent="0.25">
      <c r="A46" s="258"/>
      <c r="B46" s="241" t="s">
        <v>183</v>
      </c>
      <c r="C46" s="148" t="s">
        <v>184</v>
      </c>
      <c r="D46" s="151"/>
      <c r="E46" s="148"/>
      <c r="F46" s="148"/>
      <c r="G46" s="148"/>
      <c r="H46" s="309" t="str">
        <f t="shared" si="6"/>
        <v>Berekende emissies</v>
      </c>
      <c r="I46" s="310"/>
      <c r="J46" s="311"/>
      <c r="K46" s="246"/>
      <c r="L46" s="4"/>
      <c r="M46" s="4"/>
      <c r="N46" s="4"/>
      <c r="O46" s="4"/>
      <c r="P46" s="146"/>
      <c r="T46" s="1"/>
      <c r="U46" s="1"/>
      <c r="V46" s="258"/>
    </row>
    <row r="47" spans="1:22" ht="17.100000000000001" customHeight="1" x14ac:dyDescent="0.25">
      <c r="A47" s="258"/>
      <c r="B47" s="241" t="s">
        <v>20</v>
      </c>
      <c r="C47" s="148" t="s">
        <v>207</v>
      </c>
      <c r="D47" s="151" t="str">
        <f ca="1">IF(I47="","",CONCATENATE("m³/s",IF(I47="","",CONCATENATE(" (nat rookgas bij ",IF(I10="",0,I10)," °C)"))))</f>
        <v/>
      </c>
      <c r="E47" s="148" t="str">
        <f ca="1">IF(I47="","",CONCATENATE("m³/s",IF(I47="","",CONCATENATE(" (wet flue gas of ",IF(I10="",0,I10)," °C)"))))</f>
        <v/>
      </c>
      <c r="F47" s="148"/>
      <c r="G47" s="148"/>
      <c r="H47" s="252" t="str">
        <f t="shared" si="6"/>
        <v>Rookgasdebiet</v>
      </c>
      <c r="I47" s="209" t="str">
        <f ca="1">IF(OR(I51="",I18="",I10=""),"",I32/3600*(273+I10)/273)</f>
        <v/>
      </c>
      <c r="J47" s="195" t="str">
        <f ca="1">INDEX(D47:E47,$J$54)</f>
        <v/>
      </c>
      <c r="K47" s="250"/>
      <c r="L47" s="4"/>
      <c r="M47" s="4"/>
      <c r="N47" s="4"/>
      <c r="O47" s="4"/>
      <c r="P47" s="146"/>
      <c r="Q47" s="2">
        <f ca="1">IF(OR(I47="",$I$7=""),0,1)</f>
        <v>0</v>
      </c>
      <c r="T47" s="1"/>
      <c r="U47" s="1"/>
      <c r="V47" s="258"/>
    </row>
    <row r="48" spans="1:22" ht="17.100000000000001" customHeight="1" x14ac:dyDescent="0.25">
      <c r="A48" s="258"/>
      <c r="B48" s="241" t="s">
        <v>36</v>
      </c>
      <c r="C48" s="148" t="s">
        <v>208</v>
      </c>
      <c r="D48" s="151" t="str">
        <f ca="1">IF(I48="","","m/s")</f>
        <v/>
      </c>
      <c r="E48" s="148" t="str">
        <f ca="1">IF(I48="","","m/s")</f>
        <v/>
      </c>
      <c r="F48" s="148"/>
      <c r="G48" s="148"/>
      <c r="H48" s="252" t="str">
        <f t="shared" si="6"/>
        <v>Uitstroomsnelheid</v>
      </c>
      <c r="I48" s="209" t="str">
        <f ca="1">IF(OR(I47="",I11=""),"",I47/I11)</f>
        <v/>
      </c>
      <c r="J48" s="195" t="str">
        <f ca="1">INDEX(D48:E48,$J$54)</f>
        <v/>
      </c>
      <c r="K48" s="250"/>
      <c r="L48" s="143"/>
      <c r="M48" s="143"/>
      <c r="N48" s="4"/>
      <c r="O48" s="4"/>
      <c r="P48" s="146"/>
      <c r="Q48" s="2">
        <f t="shared" ref="Q48:Q51" ca="1" si="7">IF(OR(I48="",$I$7=""),0,1)</f>
        <v>0</v>
      </c>
      <c r="T48" s="1"/>
      <c r="U48" s="1"/>
      <c r="V48" s="258"/>
    </row>
    <row r="49" spans="1:22" ht="17.100000000000001" customHeight="1" x14ac:dyDescent="0.25">
      <c r="A49" s="258"/>
      <c r="B49" s="241" t="str">
        <f>IF(I17="","Emissievracht",CONCATENATE(I17,"-vracht ",INDEX(L97:L111,H96)))</f>
        <v>NOx-vracht (als NO2)</v>
      </c>
      <c r="C49" s="148" t="str">
        <f>IF(I17="","Emission load",CONCATENATE(I17,"-emission load ",INDEX(L97:L111,H96)))</f>
        <v>NOx-emission load (als NO2)</v>
      </c>
      <c r="D49" s="151" t="str">
        <f ca="1">IF(I49="","",IF(I49=0,"kg/uur",CONCATENATE("kg/uur (=",T49," kg/jaar)")))</f>
        <v/>
      </c>
      <c r="E49" s="148" t="str">
        <f ca="1">IF(I49="","",IF(I49=0,"kg/hr",CONCATENATE("kg/hr (=",T49," kg/year)")))</f>
        <v/>
      </c>
      <c r="F49" s="148"/>
      <c r="G49" s="148"/>
      <c r="H49" s="252" t="str">
        <f t="shared" si="6"/>
        <v>NOx-vracht (als NO2)</v>
      </c>
      <c r="I49" s="208" t="str">
        <f ca="1">IF($I$61=0,"",I44*I41/1000000)</f>
        <v/>
      </c>
      <c r="J49" s="195" t="str">
        <f ca="1">INDEX(D49:E49,$J$54)</f>
        <v/>
      </c>
      <c r="K49" s="250"/>
      <c r="L49" s="4"/>
      <c r="M49" s="4"/>
      <c r="N49" s="4"/>
      <c r="O49" s="4"/>
      <c r="P49" s="146"/>
      <c r="Q49" s="2">
        <f t="shared" ca="1" si="7"/>
        <v>0</v>
      </c>
      <c r="S49" s="237" t="e">
        <f ca="1">I49*I8</f>
        <v>#VALUE!</v>
      </c>
      <c r="T49" s="2" t="e">
        <f ca="1">CONCATENATE(ROUND(S49/(10^U49),2),"E",IF(U49&lt;0,"-","+"),IF(ABS(U49)&lt;10,"0",""),ABS(U49))</f>
        <v>#VALUE!</v>
      </c>
      <c r="U49" s="1" t="e">
        <f ca="1">ROUND(LOG10(ABS(S49))-IF(S49&lt;=1,0,0.5),0)</f>
        <v>#VALUE!</v>
      </c>
      <c r="V49" s="258"/>
    </row>
    <row r="50" spans="1:22" ht="17.100000000000001" customHeight="1" x14ac:dyDescent="0.25">
      <c r="A50" s="258"/>
      <c r="B50" s="241" t="str">
        <f>IF(Modus&lt;3,"","Kooldioxide-vracht")</f>
        <v/>
      </c>
      <c r="C50" s="148" t="str">
        <f>IF(Modus&lt;3,"","Carbondioxide-emission load")</f>
        <v/>
      </c>
      <c r="D50" s="151" t="str">
        <f>IF(Modus&lt;3,"",IF(I50="","",IF(I50=0,"ton/uur",CONCATENATE("ton/uur (=",T50," ton/jaar)"))))</f>
        <v/>
      </c>
      <c r="E50" s="148" t="str">
        <f>IF(Modus&lt;3,"",IF(I50="","",IF(I50=0,"tons/hr",CONCATENATE("tons/hr (=",T50," tons/year)"))))</f>
        <v/>
      </c>
      <c r="F50" s="148"/>
      <c r="G50" s="148"/>
      <c r="H50" s="252" t="str">
        <f t="shared" si="6"/>
        <v/>
      </c>
      <c r="I50" s="208" t="str">
        <f>IF(Modus&lt;3,"",IF(ISNUMBER(I27*44/22.4*I28),I27*44/22.4*I28/1000,""))</f>
        <v/>
      </c>
      <c r="J50" s="195" t="str">
        <f>INDEX(D50:E50,$J$54)</f>
        <v/>
      </c>
      <c r="K50" s="250"/>
      <c r="L50" s="4"/>
      <c r="M50" s="4"/>
      <c r="N50" s="4"/>
      <c r="O50" s="4"/>
      <c r="P50" s="146"/>
      <c r="Q50" s="2">
        <f t="shared" si="7"/>
        <v>0</v>
      </c>
      <c r="S50" s="237" t="e">
        <f>I50*I8</f>
        <v>#VALUE!</v>
      </c>
      <c r="T50" s="2" t="e">
        <f>CONCATENATE(ROUND(S50/(10^U50),2),"E",IF(U50&lt;0,"-","+"),IF(ABS(U50)&lt;10,"0",""),ABS(U50))</f>
        <v>#VALUE!</v>
      </c>
      <c r="U50" s="1" t="e">
        <f>ROUND(LOG10(ABS(S50))-IF(S50&lt;=1,0,0.5),0)</f>
        <v>#VALUE!</v>
      </c>
      <c r="V50" s="258"/>
    </row>
    <row r="51" spans="1:22" ht="17.100000000000001" customHeight="1" thickBot="1" x14ac:dyDescent="0.3">
      <c r="A51" s="258"/>
      <c r="B51" s="242" t="str">
        <f>CONCATENATE("Warmte emissie (Tref=",I22,"°C)")</f>
        <v>Warmte emissie (Tref=12°C)</v>
      </c>
      <c r="C51" s="150" t="str">
        <f>CONCATENATE("Heat emission (Tref=",I22,"°C)")</f>
        <v>Heat emission (Tref=12°C)</v>
      </c>
      <c r="D51" s="153" t="str">
        <f ca="1">IF(I51="","",CONCATENATE("MW",IF(Modus=1,"",CONCATENATE(" (≡ ",ROUND(I51*3600/I28*100,1),"%)"))))</f>
        <v/>
      </c>
      <c r="E51" s="150" t="str">
        <f ca="1">IF(I51="","",CONCATENATE("MW (≡ ",ROUND(I51*3600/I28*100,1),"%)"))</f>
        <v/>
      </c>
      <c r="F51" s="150"/>
      <c r="G51" s="150"/>
      <c r="H51" s="257" t="str">
        <f t="shared" si="6"/>
        <v>Warmte emissie (Tref=12°C)</v>
      </c>
      <c r="I51" s="212" t="str">
        <f ca="1">IF(OR(I10="",$I$59=0),"",I39*I32*(I10-I22)/1000/3600)</f>
        <v/>
      </c>
      <c r="J51" s="213" t="str">
        <f ca="1">INDEX(D51:E51,$J$54)</f>
        <v/>
      </c>
      <c r="K51" s="251"/>
      <c r="L51" s="124"/>
      <c r="M51" s="124"/>
      <c r="N51" s="124"/>
      <c r="O51" s="124"/>
      <c r="P51" s="147"/>
      <c r="Q51" s="2">
        <f t="shared" ca="1" si="7"/>
        <v>0</v>
      </c>
      <c r="T51" s="1"/>
      <c r="U51" s="1"/>
      <c r="V51" s="258"/>
    </row>
    <row r="52" spans="1:22" ht="7.5" customHeight="1" x14ac:dyDescent="0.25">
      <c r="A52" s="259"/>
      <c r="B52" s="238"/>
      <c r="C52" s="1"/>
      <c r="D52" s="1"/>
      <c r="E52" s="1"/>
      <c r="F52" s="1"/>
      <c r="G52" s="1"/>
      <c r="H52" s="205"/>
      <c r="I52" s="211"/>
      <c r="J52" s="205"/>
      <c r="K52" s="1"/>
      <c r="L52" s="1"/>
      <c r="M52" s="1"/>
      <c r="N52" s="1"/>
      <c r="O52" s="1"/>
      <c r="P52" s="1"/>
      <c r="Q52" s="1"/>
      <c r="R52" s="1"/>
      <c r="S52" s="1"/>
      <c r="T52" s="1"/>
      <c r="U52" s="1"/>
      <c r="V52" s="260"/>
    </row>
    <row r="53" spans="1:22" ht="15.75" hidden="1" customHeight="1" thickBot="1" x14ac:dyDescent="0.3">
      <c r="A53" s="259"/>
      <c r="B53" s="238"/>
      <c r="C53" s="1"/>
      <c r="D53" s="1"/>
      <c r="E53" s="1"/>
      <c r="F53" s="1"/>
      <c r="G53" s="1"/>
      <c r="H53" s="214" t="s">
        <v>222</v>
      </c>
      <c r="I53" s="214"/>
      <c r="J53" s="214" t="s">
        <v>226</v>
      </c>
      <c r="K53" s="128"/>
      <c r="L53" s="128"/>
      <c r="M53" s="128"/>
      <c r="N53" s="128"/>
      <c r="O53" s="128"/>
      <c r="P53" s="128"/>
      <c r="Q53" s="128"/>
      <c r="R53" s="128"/>
      <c r="S53" s="128"/>
      <c r="T53" s="128"/>
      <c r="U53" s="128"/>
      <c r="V53" s="260"/>
    </row>
    <row r="54" spans="1:22" ht="15.75" hidden="1" customHeight="1" x14ac:dyDescent="0.25">
      <c r="A54" s="259"/>
      <c r="B54" s="238" t="str">
        <f ca="1">MID(CELL("bestandsnaam",B54),FIND("s_",CELL("bestandsnaam",B54)),FIND("]",CELL("bestandsnaam",B54))-FIND("s_",CELL("bestandsnaam",B54)))</f>
        <v>s_4-7.xlsx</v>
      </c>
      <c r="C54" s="1">
        <f ca="1">FIND("_",B54)</f>
        <v>2</v>
      </c>
      <c r="D54" s="1">
        <f ca="1">FIND(".",B54)</f>
        <v>6</v>
      </c>
      <c r="E54" s="1" t="str">
        <f ca="1">MID(B54,C54+1,D54-C54-1)</f>
        <v>4-7</v>
      </c>
      <c r="F54" s="1" t="str">
        <f ca="1">RIGHT(B54,LEN(B54)-D54)</f>
        <v>xlsx</v>
      </c>
      <c r="G54" s="1"/>
      <c r="H54" s="205" t="s">
        <v>224</v>
      </c>
      <c r="I54" s="217" t="str">
        <f ca="1">MID(B54,C54+1,D54-C54-1)</f>
        <v>4-7</v>
      </c>
      <c r="J54" s="199">
        <v>1</v>
      </c>
      <c r="K54" s="3">
        <v>1</v>
      </c>
      <c r="L54" s="1"/>
      <c r="M54" s="1"/>
      <c r="N54" s="1"/>
      <c r="O54" s="1"/>
      <c r="P54" s="1"/>
      <c r="Q54" s="1"/>
      <c r="R54" s="1"/>
      <c r="S54" s="1"/>
      <c r="T54" s="1"/>
      <c r="U54" s="1"/>
      <c r="V54" s="260"/>
    </row>
    <row r="55" spans="1:22" ht="15" hidden="1" customHeight="1" x14ac:dyDescent="0.25">
      <c r="A55" s="259"/>
      <c r="B55" s="238"/>
      <c r="C55" s="1"/>
      <c r="D55" s="1"/>
      <c r="E55" s="1"/>
      <c r="F55" s="1"/>
      <c r="G55" s="1"/>
      <c r="H55" s="205" t="s">
        <v>225</v>
      </c>
      <c r="I55" s="215">
        <v>45658</v>
      </c>
      <c r="J55" s="216" t="str">
        <f>IF(J54=1,"Nederlands","Dutch")</f>
        <v>Nederlands</v>
      </c>
      <c r="K55" s="144" t="str">
        <f>IF(J54=1,"Eenvoudige modus","Simple mode")</f>
        <v>Eenvoudige modus</v>
      </c>
      <c r="L55" s="1"/>
      <c r="M55" s="1"/>
      <c r="N55" s="1"/>
      <c r="O55" s="1"/>
      <c r="P55" s="1"/>
      <c r="Q55" s="1"/>
      <c r="R55" s="1"/>
      <c r="S55" s="1"/>
      <c r="T55" s="1"/>
      <c r="U55" s="1"/>
      <c r="V55" s="260"/>
    </row>
    <row r="56" spans="1:22" ht="15" hidden="1" customHeight="1" x14ac:dyDescent="0.25">
      <c r="A56" s="259"/>
      <c r="B56" s="238"/>
      <c r="C56" s="1"/>
      <c r="D56" s="1"/>
      <c r="E56" s="1"/>
      <c r="F56" s="1"/>
      <c r="G56" s="1"/>
      <c r="H56" s="205" t="s">
        <v>42</v>
      </c>
      <c r="I56" s="205">
        <f ca="1">IF(NOW()&lt;I55,1,0)</f>
        <v>1</v>
      </c>
      <c r="J56" s="216" t="str">
        <f>IF(J54=1,"Engels","English")</f>
        <v>Engels</v>
      </c>
      <c r="K56" s="144" t="str">
        <f>IF(J54=1,"Standaard modus","Standard mode")</f>
        <v>Standaard modus</v>
      </c>
      <c r="L56" s="1"/>
      <c r="M56" s="1"/>
      <c r="N56" s="1"/>
      <c r="O56" s="1"/>
      <c r="P56" s="1"/>
      <c r="Q56" s="1"/>
      <c r="R56" s="1"/>
      <c r="S56" s="1"/>
      <c r="T56" s="1"/>
      <c r="U56" s="1"/>
      <c r="V56" s="260"/>
    </row>
    <row r="57" spans="1:22" ht="15" hidden="1" customHeight="1" x14ac:dyDescent="0.25">
      <c r="A57" s="259"/>
      <c r="B57" s="238"/>
      <c r="C57" s="1"/>
      <c r="D57" s="1"/>
      <c r="E57" s="1"/>
      <c r="F57" s="1"/>
      <c r="G57" s="1"/>
      <c r="H57" s="205" t="s">
        <v>38</v>
      </c>
      <c r="I57" s="205">
        <f ca="1">IF(AND(ISNUMBER(I7),ISNUMBER(I8),ISNUMBER(I9),I56=1),1,0)</f>
        <v>0</v>
      </c>
      <c r="J57" s="205"/>
      <c r="K57" s="144" t="str">
        <f>IF(J54=1,"Uitgebreide modus","Extended mode")</f>
        <v>Uitgebreide modus</v>
      </c>
      <c r="L57" s="1"/>
      <c r="M57" s="1"/>
      <c r="N57" s="1"/>
      <c r="O57" s="1"/>
      <c r="P57" s="1"/>
      <c r="Q57" s="1"/>
      <c r="R57" s="1"/>
      <c r="S57" s="1"/>
      <c r="T57" s="1"/>
      <c r="U57" s="1"/>
      <c r="V57" s="260"/>
    </row>
    <row r="58" spans="1:22" ht="15" hidden="1" customHeight="1" x14ac:dyDescent="0.25">
      <c r="A58" s="259"/>
      <c r="B58" s="238"/>
      <c r="C58" s="1"/>
      <c r="D58" s="1"/>
      <c r="E58" s="1"/>
      <c r="F58" s="1"/>
      <c r="G58" s="1"/>
      <c r="H58" s="205" t="s">
        <v>37</v>
      </c>
      <c r="I58" s="205">
        <f ca="1">IF(AND(I57=1,ISNUMBER(I10),I56=1,M84&lt;&gt;""),1,0)</f>
        <v>0</v>
      </c>
      <c r="J58" s="205"/>
      <c r="K58" s="1"/>
      <c r="L58" s="1"/>
      <c r="M58" s="1"/>
      <c r="N58" s="1"/>
      <c r="O58" s="1"/>
      <c r="P58" s="1"/>
      <c r="Q58" s="1"/>
      <c r="R58" s="1"/>
      <c r="S58" s="1"/>
      <c r="T58" s="1"/>
      <c r="U58" s="1"/>
      <c r="V58" s="260"/>
    </row>
    <row r="59" spans="1:22" ht="15" hidden="1" customHeight="1" x14ac:dyDescent="0.25">
      <c r="A59" s="259"/>
      <c r="B59" s="238"/>
      <c r="C59" s="1"/>
      <c r="D59" s="1"/>
      <c r="E59" s="1"/>
      <c r="F59" s="1"/>
      <c r="G59" s="1"/>
      <c r="H59" s="205" t="s">
        <v>39</v>
      </c>
      <c r="I59" s="205">
        <f ca="1">IF(AND(ISNUMBER(I18),I57=1,I56=1,M84&lt;&gt;""),1,0)</f>
        <v>0</v>
      </c>
      <c r="J59" s="205"/>
      <c r="K59" s="1"/>
      <c r="L59" s="1"/>
      <c r="M59" s="1"/>
      <c r="N59" s="1"/>
      <c r="O59" s="1"/>
      <c r="P59" s="1"/>
      <c r="Q59" s="1"/>
      <c r="R59" s="1"/>
      <c r="S59" s="1"/>
      <c r="T59" s="1"/>
      <c r="U59" s="1"/>
      <c r="V59" s="260"/>
    </row>
    <row r="60" spans="1:22" ht="15" hidden="1" customHeight="1" x14ac:dyDescent="0.25">
      <c r="A60" s="259"/>
      <c r="B60" s="238"/>
      <c r="C60" s="1"/>
      <c r="D60" s="1"/>
      <c r="E60" s="1"/>
      <c r="F60" s="1"/>
      <c r="G60" s="1"/>
      <c r="H60" s="205" t="s">
        <v>40</v>
      </c>
      <c r="I60" s="205">
        <f ca="1">IF(OR(I56=0,I19="",I18=""),0,1)</f>
        <v>0</v>
      </c>
      <c r="J60" s="205"/>
      <c r="K60" s="1"/>
      <c r="L60" s="1"/>
      <c r="M60" s="1"/>
      <c r="N60" s="1"/>
      <c r="O60" s="1"/>
      <c r="P60" s="1"/>
      <c r="Q60" s="1"/>
      <c r="R60" s="1"/>
      <c r="S60" s="1"/>
      <c r="T60" s="1"/>
      <c r="U60" s="1"/>
      <c r="V60" s="260"/>
    </row>
    <row r="61" spans="1:22" ht="15" hidden="1" customHeight="1" thickBot="1" x14ac:dyDescent="0.3">
      <c r="A61" s="259"/>
      <c r="B61" s="238"/>
      <c r="C61" s="1"/>
      <c r="D61" s="1"/>
      <c r="E61" s="1"/>
      <c r="F61" s="1"/>
      <c r="G61" s="1"/>
      <c r="H61" s="205" t="s">
        <v>41</v>
      </c>
      <c r="I61" s="205">
        <f ca="1">IF(AND(I57=1,I60=1,I56=1,I24&lt;&gt;""),1,0)</f>
        <v>0</v>
      </c>
      <c r="J61" s="205"/>
      <c r="K61" s="1"/>
      <c r="L61" s="1"/>
      <c r="M61" s="1"/>
      <c r="N61" s="1"/>
      <c r="O61" s="1"/>
      <c r="P61" s="1"/>
      <c r="Q61" s="1"/>
      <c r="R61" s="1"/>
      <c r="S61" s="1"/>
      <c r="T61" s="1"/>
      <c r="U61" s="1"/>
      <c r="V61" s="260"/>
    </row>
    <row r="62" spans="1:22" ht="15" hidden="1" customHeight="1" thickBot="1" x14ac:dyDescent="0.3">
      <c r="A62" s="259"/>
      <c r="B62" s="238"/>
      <c r="C62" s="1"/>
      <c r="D62" s="1"/>
      <c r="E62" s="1"/>
      <c r="F62" s="1"/>
      <c r="G62" s="1"/>
      <c r="H62" s="306" t="s">
        <v>231</v>
      </c>
      <c r="I62" s="306"/>
      <c r="J62" s="306"/>
      <c r="K62" s="128">
        <f>K64+L62/0.99</f>
        <v>2.4599208673652644</v>
      </c>
      <c r="L62" s="128">
        <f>N62/M62</f>
        <v>0.76915165869161184</v>
      </c>
      <c r="M62" s="128">
        <f>I64+(P64-1)*M64/L64</f>
        <v>0.24299999999999999</v>
      </c>
      <c r="N62" s="128">
        <f>(O64+Q64/0.99*0.01)/(I64+(P64-1)*M64/L64+(O64+Q64/0.99*0.01))</f>
        <v>0.18690385306206167</v>
      </c>
      <c r="O62" s="128">
        <f>N62/(M62+N62)</f>
        <v>0.43475733406622874</v>
      </c>
      <c r="P62" s="128"/>
      <c r="Q62" s="128"/>
      <c r="R62" s="128"/>
      <c r="S62" s="128"/>
      <c r="T62" s="128"/>
      <c r="U62" s="128"/>
      <c r="V62" s="260"/>
    </row>
    <row r="63" spans="1:22" ht="15.75" hidden="1" customHeight="1" x14ac:dyDescent="0.25">
      <c r="A63" s="259"/>
      <c r="B63" s="238"/>
      <c r="C63" s="1"/>
      <c r="D63" s="1"/>
      <c r="E63" s="1"/>
      <c r="F63" s="1"/>
      <c r="G63" s="1"/>
      <c r="H63" s="199">
        <v>1</v>
      </c>
      <c r="I63" s="217" t="s">
        <v>12</v>
      </c>
      <c r="J63" s="217" t="s">
        <v>16</v>
      </c>
      <c r="K63" s="144" t="s">
        <v>17</v>
      </c>
      <c r="L63" s="144" t="s">
        <v>18</v>
      </c>
      <c r="M63" s="144" t="s">
        <v>19</v>
      </c>
      <c r="N63" s="144" t="s">
        <v>30</v>
      </c>
      <c r="O63" s="144" t="s">
        <v>31</v>
      </c>
      <c r="P63" s="144" t="s">
        <v>32</v>
      </c>
      <c r="Q63" s="144" t="s">
        <v>33</v>
      </c>
      <c r="R63" s="144" t="s">
        <v>163</v>
      </c>
      <c r="S63" s="1" t="s">
        <v>173</v>
      </c>
      <c r="T63" s="144" t="s">
        <v>236</v>
      </c>
      <c r="U63" s="144"/>
      <c r="V63" s="260"/>
    </row>
    <row r="64" spans="1:22" ht="15.75" hidden="1" customHeight="1" x14ac:dyDescent="0.25">
      <c r="A64" s="259"/>
      <c r="B64" s="238"/>
      <c r="C64" s="1"/>
      <c r="D64" s="1"/>
      <c r="E64" s="1"/>
      <c r="F64" s="1"/>
      <c r="G64" s="1"/>
      <c r="H64" s="205" t="str">
        <f>IF(I7="","",IF($J$54=2,"Low calorific natural gas","Gronings aardgas"))</f>
        <v/>
      </c>
      <c r="I64" s="205">
        <v>0.24299999999999999</v>
      </c>
      <c r="J64" s="205">
        <v>0.89700000000000002</v>
      </c>
      <c r="K64" s="1">
        <v>1.6830000000000001</v>
      </c>
      <c r="L64" s="1">
        <v>31.67</v>
      </c>
      <c r="M64" s="140">
        <v>8.43</v>
      </c>
      <c r="N64" s="1">
        <f t="shared" ref="N64:N68" si="8">J64/L64</f>
        <v>2.8323334385854118E-2</v>
      </c>
      <c r="O64" s="1">
        <f t="shared" ref="O64:O68" si="9">K64/L64</f>
        <v>5.3141774550047365E-2</v>
      </c>
      <c r="P64" s="1">
        <f t="shared" ref="P64:P69" si="10">(1+I64*$I$18/(M64/L64*(20.95-$I$18)))</f>
        <v>1</v>
      </c>
      <c r="Q64" s="1">
        <f t="shared" ref="Q64:Q69" si="11">P64*M64/L64/(1-$N$25/100)</f>
        <v>0.26887121929749019</v>
      </c>
      <c r="R64" s="1">
        <v>1</v>
      </c>
      <c r="S64" s="1">
        <f>IF(OR($I$18="",$I$18&lt;7),3,15)</f>
        <v>3</v>
      </c>
      <c r="T64" s="1">
        <v>0</v>
      </c>
      <c r="U64" s="1" t="s">
        <v>279</v>
      </c>
      <c r="V64" s="260"/>
    </row>
    <row r="65" spans="1:22" ht="15.75" hidden="1" customHeight="1" x14ac:dyDescent="0.25">
      <c r="A65" s="259"/>
      <c r="B65" s="238"/>
      <c r="C65" s="1"/>
      <c r="D65" s="1"/>
      <c r="E65" s="1"/>
      <c r="F65" s="1"/>
      <c r="G65" s="1"/>
      <c r="H65" s="205" t="str">
        <f>IF(I7="","",IF($J$54=2,"High calorific natural gas","Hoogcalorisch aardgas"))</f>
        <v/>
      </c>
      <c r="I65" s="205">
        <v>0.24</v>
      </c>
      <c r="J65" s="205">
        <v>1.0760000000000001</v>
      </c>
      <c r="K65" s="1">
        <v>1.9610000000000001</v>
      </c>
      <c r="L65" s="1">
        <v>37.53</v>
      </c>
      <c r="M65" s="140">
        <v>9.9700000000000006</v>
      </c>
      <c r="N65" s="1">
        <f t="shared" si="8"/>
        <v>2.8670397015720758E-2</v>
      </c>
      <c r="O65" s="1">
        <f t="shared" si="9"/>
        <v>5.2251532107647214E-2</v>
      </c>
      <c r="P65" s="1">
        <f t="shared" si="10"/>
        <v>1</v>
      </c>
      <c r="Q65" s="1">
        <f t="shared" si="11"/>
        <v>0.26833751853735865</v>
      </c>
      <c r="R65" s="1">
        <v>1</v>
      </c>
      <c r="S65" s="1">
        <f>S64</f>
        <v>3</v>
      </c>
      <c r="T65" s="1">
        <v>0</v>
      </c>
      <c r="U65" s="1" t="str">
        <f>U64</f>
        <v>MJ/Nm³</v>
      </c>
      <c r="V65" s="260"/>
    </row>
    <row r="66" spans="1:22" ht="15.75" hidden="1" customHeight="1" x14ac:dyDescent="0.25">
      <c r="A66" s="259"/>
      <c r="B66" s="238"/>
      <c r="C66" s="1"/>
      <c r="D66" s="1"/>
      <c r="E66" s="1"/>
      <c r="F66" s="1"/>
      <c r="G66" s="1"/>
      <c r="H66" s="205" t="str">
        <f>IF(I7="","",CONCATENATE(Fuel1!$AA$7))</f>
        <v/>
      </c>
      <c r="I66" s="205">
        <f ca="1">Fuel1!$AA$13</f>
        <v>0.28001295750081329</v>
      </c>
      <c r="J66" s="205">
        <f ca="1">Fuel1!$AA$21</f>
        <v>0.99608891248754849</v>
      </c>
      <c r="K66" s="1">
        <f ca="1">Fuel1!$AA$20</f>
        <v>0.77476616892644334</v>
      </c>
      <c r="L66" s="141">
        <f ca="1">Fuel1!$AA$10</f>
        <v>14.369836623354386</v>
      </c>
      <c r="M66" s="140">
        <f ca="1">Fuel1!$AA$19</f>
        <v>3.8300462229239884</v>
      </c>
      <c r="N66" s="1">
        <f ca="1">J66/L66</f>
        <v>6.9318040183467933E-2</v>
      </c>
      <c r="O66" s="1">
        <f ca="1">K66/L66</f>
        <v>5.3916143184764183E-2</v>
      </c>
      <c r="P66" s="1">
        <f t="shared" ca="1" si="10"/>
        <v>1</v>
      </c>
      <c r="Q66" s="1">
        <f t="shared" ca="1" si="11"/>
        <v>0.26922599469373726</v>
      </c>
      <c r="R66" s="1">
        <v>1</v>
      </c>
      <c r="S66" s="1">
        <f>S64</f>
        <v>3</v>
      </c>
      <c r="T66" s="144" t="s">
        <v>262</v>
      </c>
      <c r="U66" s="190" t="str">
        <f>U65</f>
        <v>MJ/Nm³</v>
      </c>
      <c r="V66" s="260"/>
    </row>
    <row r="67" spans="1:22" ht="15.75" hidden="1" customHeight="1" x14ac:dyDescent="0.25">
      <c r="A67" s="259"/>
      <c r="B67" s="238"/>
      <c r="C67" s="1"/>
      <c r="D67" s="1"/>
      <c r="E67" s="1"/>
      <c r="F67" s="1"/>
      <c r="G67" s="1"/>
      <c r="H67" s="205" t="str">
        <f>IF(I7="","",IF($J$54=2,"Hydrogen","Waterstof"))</f>
        <v/>
      </c>
      <c r="I67" s="205">
        <v>0.17475793238767023</v>
      </c>
      <c r="J67" s="205">
        <v>0</v>
      </c>
      <c r="K67" s="1">
        <v>0.96451221153887501</v>
      </c>
      <c r="L67" s="141">
        <v>10.783905616524644</v>
      </c>
      <c r="M67" s="140">
        <v>2.3840266269546251</v>
      </c>
      <c r="N67" s="1">
        <v>0</v>
      </c>
      <c r="O67" s="1">
        <f>K67/L67</f>
        <v>8.9439971549909653E-2</v>
      </c>
      <c r="P67" s="1">
        <f t="shared" ref="P67" si="12">(1+I67*$I$18/(M67/L67*(20.95-$I$18)))</f>
        <v>1</v>
      </c>
      <c r="Q67" s="1">
        <f t="shared" ref="Q67" si="13">P67*M67/L67/(1-$N$25/100)</f>
        <v>0.22330571034528746</v>
      </c>
      <c r="R67" s="1">
        <v>1</v>
      </c>
      <c r="S67" s="1">
        <f>S64</f>
        <v>3</v>
      </c>
      <c r="T67" s="144">
        <v>0</v>
      </c>
      <c r="U67" s="190" t="s">
        <v>286</v>
      </c>
      <c r="V67" s="260"/>
    </row>
    <row r="68" spans="1:22" ht="15.75" hidden="1" customHeight="1" x14ac:dyDescent="0.25">
      <c r="A68" s="259"/>
      <c r="B68" s="238"/>
      <c r="C68" s="1"/>
      <c r="D68" s="1"/>
      <c r="E68" s="1"/>
      <c r="F68" s="1"/>
      <c r="G68" s="1"/>
      <c r="H68" s="205" t="str">
        <f>IF(I7="","",CONCATENATE(IF($J$54=2,"LFO/MFO/Diesel","HBO/LFO/MFO/Diesel"),IF(ISNUMBER(N45)," (0,1%S)","")))</f>
        <v/>
      </c>
      <c r="I68" s="205">
        <v>0.245</v>
      </c>
      <c r="J68" s="205">
        <v>1.597</v>
      </c>
      <c r="K68" s="1">
        <v>1.4059999999999999</v>
      </c>
      <c r="L68" s="1">
        <v>42.48</v>
      </c>
      <c r="M68" s="140">
        <v>11.135999999999999</v>
      </c>
      <c r="N68" s="1">
        <f t="shared" si="8"/>
        <v>3.7594161958568739E-2</v>
      </c>
      <c r="O68" s="1">
        <f t="shared" si="9"/>
        <v>3.3097928436911485E-2</v>
      </c>
      <c r="P68" s="1">
        <f t="shared" si="10"/>
        <v>1</v>
      </c>
      <c r="Q68" s="1">
        <f t="shared" si="11"/>
        <v>0.26479484106602752</v>
      </c>
      <c r="R68" s="1">
        <v>0</v>
      </c>
      <c r="S68" s="1">
        <f>S64</f>
        <v>3</v>
      </c>
      <c r="T68" s="1">
        <v>1.6478342749529192E-5</v>
      </c>
      <c r="U68" s="1" t="s">
        <v>55</v>
      </c>
      <c r="V68" s="260"/>
    </row>
    <row r="69" spans="1:22" ht="15.75" hidden="1" customHeight="1" x14ac:dyDescent="0.25">
      <c r="A69" s="259"/>
      <c r="B69" s="238"/>
      <c r="C69" s="1"/>
      <c r="D69" s="1"/>
      <c r="E69" s="1"/>
      <c r="F69" s="1"/>
      <c r="G69" s="1"/>
      <c r="H69" s="205" t="str">
        <f>IF(I7="","",Fuel1!AE7)</f>
        <v/>
      </c>
      <c r="I69" s="205">
        <f ca="1">Fuel1!$AE$13</f>
        <v>0.23236431852811609</v>
      </c>
      <c r="J69" s="205">
        <f ca="1">Fuel1!$AE$21</f>
        <v>0.49341112646740481</v>
      </c>
      <c r="K69" s="1">
        <f ca="1">Fuel1!$AE$20</f>
        <v>0.87938505481636253</v>
      </c>
      <c r="L69" s="141">
        <f ca="1">Fuel1!$AE$10</f>
        <v>10.18</v>
      </c>
      <c r="M69" s="140">
        <f ca="1">Fuel1!$AE$19</f>
        <v>2.3680880912698501</v>
      </c>
      <c r="N69" s="1">
        <f ca="1">J69/L69</f>
        <v>4.8468676470275522E-2</v>
      </c>
      <c r="O69" s="1">
        <f ca="1">K69/L69</f>
        <v>8.6383600669583754E-2</v>
      </c>
      <c r="P69" s="1">
        <f t="shared" ca="1" si="10"/>
        <v>1</v>
      </c>
      <c r="Q69" s="1">
        <f t="shared" ca="1" si="11"/>
        <v>0.23497133330057451</v>
      </c>
      <c r="R69" s="1">
        <v>0</v>
      </c>
      <c r="S69" s="1">
        <v>6</v>
      </c>
      <c r="T69" s="144" t="s">
        <v>262</v>
      </c>
      <c r="U69" s="190" t="s">
        <v>55</v>
      </c>
      <c r="V69" s="260"/>
    </row>
    <row r="70" spans="1:22" ht="15.75" hidden="1" customHeight="1" x14ac:dyDescent="0.25">
      <c r="A70" s="259"/>
      <c r="B70" s="238"/>
      <c r="C70" s="1"/>
      <c r="D70" s="1"/>
      <c r="E70" s="1"/>
      <c r="F70" s="1"/>
      <c r="G70" s="1"/>
      <c r="H70" s="205" t="str">
        <f>IF(I7="","",Fuel1!$AJ$11)</f>
        <v/>
      </c>
      <c r="I70" s="218" t="str">
        <f ca="1">Fuel1!$I$13</f>
        <v/>
      </c>
      <c r="J70" s="218" t="str">
        <f ca="1">Fuel1!$I$21</f>
        <v/>
      </c>
      <c r="K70" s="142" t="str">
        <f ca="1">Fuel1!$I$20</f>
        <v/>
      </c>
      <c r="L70" s="6" t="str">
        <f ca="1">Fuel1!$I$10</f>
        <v/>
      </c>
      <c r="M70" s="142" t="str">
        <f ca="1">Fuel1!$I$19</f>
        <v/>
      </c>
      <c r="N70" s="4" t="e">
        <f t="shared" ref="N70:N71" ca="1" si="14">J70/L70</f>
        <v>#VALUE!</v>
      </c>
      <c r="O70" s="4" t="e">
        <f t="shared" ref="O70:O71" ca="1" si="15">K70/L70</f>
        <v>#VALUE!</v>
      </c>
      <c r="P70" s="4" t="e">
        <f t="shared" ref="P70:P71" ca="1" si="16">(1+I70*$I$18/(M70/L70*(20.95-$I$18)))</f>
        <v>#VALUE!</v>
      </c>
      <c r="Q70" s="4" t="e">
        <f t="shared" ref="Q70:Q71" ca="1" si="17">P70*M70/L70/(1-$N$25/100)</f>
        <v>#VALUE!</v>
      </c>
      <c r="R70" s="4">
        <f>IF(Fuel1!AK7=1,1,0)</f>
        <v>1</v>
      </c>
      <c r="S70" s="4">
        <f>IF(Fuel1!AK7=3,S69,S64)</f>
        <v>3</v>
      </c>
      <c r="T70" s="1">
        <f ca="1">IF(Fuel1!$I$17="",0,Fuel1!$I$17)</f>
        <v>0</v>
      </c>
      <c r="U70" s="1" t="str">
        <f>Fuel1!J10</f>
        <v>MJ/Nm³</v>
      </c>
      <c r="V70" s="260"/>
    </row>
    <row r="71" spans="1:22" ht="15.75" hidden="1" customHeight="1" thickBot="1" x14ac:dyDescent="0.3">
      <c r="A71" s="259"/>
      <c r="B71" s="238"/>
      <c r="C71" s="1"/>
      <c r="D71" s="1"/>
      <c r="E71" s="1"/>
      <c r="F71" s="1"/>
      <c r="G71" s="1"/>
      <c r="H71" s="205" t="str">
        <f>IF(I7="","",Fuel2!$AJ$11)</f>
        <v/>
      </c>
      <c r="I71" s="218" t="str">
        <f ca="1">Fuel2!$I$13</f>
        <v/>
      </c>
      <c r="J71" s="218" t="str">
        <f ca="1">Fuel2!$I$21</f>
        <v/>
      </c>
      <c r="K71" s="142" t="str">
        <f ca="1">Fuel2!$I$20</f>
        <v/>
      </c>
      <c r="L71" s="6" t="str">
        <f ca="1">Fuel2!$I$10</f>
        <v/>
      </c>
      <c r="M71" s="142" t="str">
        <f ca="1">Fuel2!$I$19</f>
        <v/>
      </c>
      <c r="N71" s="4" t="e">
        <f t="shared" ca="1" si="14"/>
        <v>#VALUE!</v>
      </c>
      <c r="O71" s="4" t="e">
        <f t="shared" ca="1" si="15"/>
        <v>#VALUE!</v>
      </c>
      <c r="P71" s="4" t="e">
        <f t="shared" ca="1" si="16"/>
        <v>#VALUE!</v>
      </c>
      <c r="Q71" s="4" t="e">
        <f t="shared" ca="1" si="17"/>
        <v>#VALUE!</v>
      </c>
      <c r="R71" s="4">
        <f>IF(Fuel2!AK7=1,1,0)</f>
        <v>1</v>
      </c>
      <c r="S71" s="4">
        <f>IF(Fuel2!AK7=3,S69,S64)</f>
        <v>3</v>
      </c>
      <c r="T71" s="1">
        <f ca="1">IF(Fuel2!$I$17="",0,Fuel2!$I$17)</f>
        <v>0</v>
      </c>
      <c r="U71" s="1" t="str">
        <f>Fuel2!J10</f>
        <v>MJ/Nm³</v>
      </c>
      <c r="V71" s="260"/>
    </row>
    <row r="72" spans="1:22" ht="15" hidden="1" customHeight="1" thickBot="1" x14ac:dyDescent="0.3">
      <c r="A72" s="259"/>
      <c r="B72" s="238"/>
      <c r="C72" s="1"/>
      <c r="D72" s="1"/>
      <c r="E72" s="1"/>
      <c r="F72" s="1"/>
      <c r="G72" s="1"/>
      <c r="H72" s="306" t="s">
        <v>232</v>
      </c>
      <c r="I72" s="306"/>
      <c r="J72" s="306"/>
      <c r="K72" s="128"/>
      <c r="L72" s="128"/>
      <c r="M72" s="128"/>
      <c r="N72" s="128"/>
      <c r="O72" s="128"/>
      <c r="P72" s="128"/>
      <c r="Q72" s="128"/>
      <c r="R72" s="128"/>
      <c r="S72" s="128"/>
      <c r="T72" s="128"/>
      <c r="U72" s="128"/>
      <c r="V72" s="260"/>
    </row>
    <row r="73" spans="1:22" ht="15.75" hidden="1" customHeight="1" x14ac:dyDescent="0.25">
      <c r="A73" s="259"/>
      <c r="B73" s="238"/>
      <c r="C73" s="1"/>
      <c r="D73" s="1"/>
      <c r="E73" s="1"/>
      <c r="F73" s="1"/>
      <c r="G73" s="1"/>
      <c r="H73" s="199">
        <v>1</v>
      </c>
      <c r="I73" s="217" t="s">
        <v>12</v>
      </c>
      <c r="J73" s="217" t="s">
        <v>16</v>
      </c>
      <c r="K73" s="144" t="s">
        <v>17</v>
      </c>
      <c r="L73" s="144" t="s">
        <v>18</v>
      </c>
      <c r="M73" s="144" t="s">
        <v>19</v>
      </c>
      <c r="N73" s="144" t="s">
        <v>30</v>
      </c>
      <c r="O73" s="144" t="s">
        <v>31</v>
      </c>
      <c r="P73" s="144" t="s">
        <v>32</v>
      </c>
      <c r="Q73" s="144" t="s">
        <v>33</v>
      </c>
      <c r="R73" s="144" t="s">
        <v>163</v>
      </c>
      <c r="S73" s="1" t="s">
        <v>173</v>
      </c>
      <c r="T73" s="144" t="s">
        <v>236</v>
      </c>
      <c r="U73" s="144"/>
      <c r="V73" s="260"/>
    </row>
    <row r="74" spans="1:22" ht="15.75" hidden="1" customHeight="1" x14ac:dyDescent="0.25">
      <c r="A74" s="259"/>
      <c r="B74" s="238"/>
      <c r="C74" s="1"/>
      <c r="D74" s="1"/>
      <c r="E74" s="1"/>
      <c r="F74" s="1"/>
      <c r="G74" s="1"/>
      <c r="H74" s="205" t="str">
        <f>IF(I7="","",IF($N$14=0,IF($J$54=2,"None","Geen"),IF($J$54=2,"Low calorific natural gas","Gronings aardgas")))</f>
        <v/>
      </c>
      <c r="I74" s="205">
        <v>0.24299999999999999</v>
      </c>
      <c r="J74" s="205">
        <v>0.89700000000000002</v>
      </c>
      <c r="K74" s="1">
        <v>1.6830000000000001</v>
      </c>
      <c r="L74" s="1">
        <v>31.67</v>
      </c>
      <c r="M74" s="140">
        <v>8.43</v>
      </c>
      <c r="N74" s="1">
        <f t="shared" ref="N74:N81" si="18">J74/L74</f>
        <v>2.8323334385854118E-2</v>
      </c>
      <c r="O74" s="1">
        <f t="shared" ref="O74:O81" si="19">K74/L74</f>
        <v>5.3141774550047365E-2</v>
      </c>
      <c r="P74" s="1">
        <f t="shared" ref="P74:P81" si="20">(1+I74*$I$18/(M74/L74*(20.95-$I$18)))</f>
        <v>1</v>
      </c>
      <c r="Q74" s="1">
        <f t="shared" ref="Q74:Q81" si="21">P74*M74/L74/(1-$N$25/100)</f>
        <v>0.26887121929749019</v>
      </c>
      <c r="R74" s="1">
        <v>1</v>
      </c>
      <c r="S74" s="1">
        <f>IF($I$18&lt;7,3,15)</f>
        <v>3</v>
      </c>
      <c r="T74" s="1">
        <v>0</v>
      </c>
      <c r="U74" s="1" t="s">
        <v>54</v>
      </c>
      <c r="V74" s="260"/>
    </row>
    <row r="75" spans="1:22" ht="15.75" hidden="1" customHeight="1" x14ac:dyDescent="0.25">
      <c r="A75" s="259"/>
      <c r="B75" s="238"/>
      <c r="C75" s="1"/>
      <c r="D75" s="1"/>
      <c r="E75" s="1"/>
      <c r="F75" s="1"/>
      <c r="G75" s="1"/>
      <c r="H75" s="205" t="str">
        <f>IF(I7="","",IF($N$14=0,IF($J$54=2,"None","Geen"),IF($J$54=2,"High calorific natural gas","Hoogcalorisch aardgas")))</f>
        <v/>
      </c>
      <c r="I75" s="205">
        <v>0.24</v>
      </c>
      <c r="J75" s="205">
        <v>1.0760000000000001</v>
      </c>
      <c r="K75" s="1">
        <v>1.9610000000000001</v>
      </c>
      <c r="L75" s="1">
        <v>37.53</v>
      </c>
      <c r="M75" s="140">
        <v>9.9700000000000006</v>
      </c>
      <c r="N75" s="1">
        <f t="shared" si="18"/>
        <v>2.8670397015720758E-2</v>
      </c>
      <c r="O75" s="1">
        <f t="shared" si="19"/>
        <v>5.2251532107647214E-2</v>
      </c>
      <c r="P75" s="1">
        <f t="shared" si="20"/>
        <v>1</v>
      </c>
      <c r="Q75" s="1">
        <f t="shared" si="21"/>
        <v>0.26833751853735865</v>
      </c>
      <c r="R75" s="1">
        <v>1</v>
      </c>
      <c r="S75" s="1">
        <f>S74</f>
        <v>3</v>
      </c>
      <c r="T75" s="1">
        <v>0</v>
      </c>
      <c r="U75" s="1" t="s">
        <v>54</v>
      </c>
      <c r="V75" s="260"/>
    </row>
    <row r="76" spans="1:22" ht="15.75" hidden="1" customHeight="1" x14ac:dyDescent="0.25">
      <c r="A76" s="259"/>
      <c r="B76" s="238"/>
      <c r="C76" s="1"/>
      <c r="D76" s="1"/>
      <c r="E76" s="1"/>
      <c r="F76" s="1"/>
      <c r="G76" s="1"/>
      <c r="H76" s="205" t="str">
        <f>IF(I7="","",IF($N$14=0,IF($J$54=2,"None","Geen"),CONCATENATE(Fuel2!$AA$7)))</f>
        <v/>
      </c>
      <c r="I76" s="205">
        <f ca="1">Fuel2!$AA$13</f>
        <v>0.28001295750081329</v>
      </c>
      <c r="J76" s="205">
        <f ca="1">Fuel2!$AA$21</f>
        <v>0.99608891248754849</v>
      </c>
      <c r="K76" s="1">
        <f ca="1">Fuel2!$AA$20</f>
        <v>0.77476616892644334</v>
      </c>
      <c r="L76" s="141">
        <f ca="1">Fuel2!$AA$10</f>
        <v>14.369836623354386</v>
      </c>
      <c r="M76" s="140">
        <f ca="1">Fuel2!$AA$19</f>
        <v>3.8300462229239884</v>
      </c>
      <c r="N76" s="1">
        <f t="shared" ca="1" si="18"/>
        <v>6.9318040183467933E-2</v>
      </c>
      <c r="O76" s="1">
        <f t="shared" ca="1" si="19"/>
        <v>5.3916143184764183E-2</v>
      </c>
      <c r="P76" s="1">
        <f t="shared" ca="1" si="20"/>
        <v>1</v>
      </c>
      <c r="Q76" s="1">
        <f t="shared" ca="1" si="21"/>
        <v>0.26922599469373726</v>
      </c>
      <c r="R76" s="1">
        <v>1</v>
      </c>
      <c r="S76" s="1">
        <f>S74</f>
        <v>3</v>
      </c>
      <c r="T76" s="144" t="s">
        <v>262</v>
      </c>
      <c r="U76" s="190" t="s">
        <v>54</v>
      </c>
      <c r="V76" s="260"/>
    </row>
    <row r="77" spans="1:22" ht="15.75" hidden="1" customHeight="1" x14ac:dyDescent="0.25">
      <c r="A77" s="259"/>
      <c r="B77" s="238"/>
      <c r="C77" s="1"/>
      <c r="D77" s="1"/>
      <c r="E77" s="1"/>
      <c r="F77" s="1"/>
      <c r="G77" s="1"/>
      <c r="H77" s="205" t="str">
        <f>IF(I7="","",IF($N$14=0,IF($J$54=2,"None","Geen"),IF($J$54=2,"Hydrogen","Waterstof")))</f>
        <v/>
      </c>
      <c r="I77" s="205">
        <v>0.17475793238767023</v>
      </c>
      <c r="J77" s="205">
        <v>0</v>
      </c>
      <c r="K77" s="1">
        <v>0.96451221153887501</v>
      </c>
      <c r="L77" s="141">
        <v>10.783905616524644</v>
      </c>
      <c r="M77" s="140">
        <v>2.3840266269546251</v>
      </c>
      <c r="N77" s="1">
        <v>0</v>
      </c>
      <c r="O77" s="1">
        <f t="shared" ref="O77" si="22">K77/L77</f>
        <v>8.9439971549909653E-2</v>
      </c>
      <c r="P77" s="1">
        <f t="shared" ref="P77" si="23">(1+I77*$I$18/(M77/L77*(20.95-$I$18)))</f>
        <v>1</v>
      </c>
      <c r="Q77" s="1">
        <f t="shared" ref="Q77" si="24">P77*M77/L77/(1-$N$25/100)</f>
        <v>0.22330571034528746</v>
      </c>
      <c r="R77" s="1">
        <v>1</v>
      </c>
      <c r="S77" s="1">
        <v>3</v>
      </c>
      <c r="T77" s="144">
        <v>0</v>
      </c>
      <c r="U77" s="190" t="s">
        <v>286</v>
      </c>
      <c r="V77" s="260"/>
    </row>
    <row r="78" spans="1:22" ht="15.75" hidden="1" customHeight="1" x14ac:dyDescent="0.25">
      <c r="A78" s="259"/>
      <c r="B78" s="238"/>
      <c r="C78" s="1"/>
      <c r="D78" s="1"/>
      <c r="E78" s="1"/>
      <c r="F78" s="1"/>
      <c r="G78" s="1"/>
      <c r="H78" s="205" t="str">
        <f>IF(I7="","",IF($N$14=0,IF($J$54=2,"None","Geen"),CONCATENATE(IF($J$54=2,"LFO/MFO/Diesel","HBO/LFO/MFO/Diesel"),IF(ISNUMBER(N45)," (0,1%S)",""))))</f>
        <v/>
      </c>
      <c r="I78" s="205">
        <v>0.245</v>
      </c>
      <c r="J78" s="205">
        <v>1.597</v>
      </c>
      <c r="K78" s="1">
        <v>1.4059999999999999</v>
      </c>
      <c r="L78" s="1">
        <v>42.48</v>
      </c>
      <c r="M78" s="140">
        <v>11.135999999999999</v>
      </c>
      <c r="N78" s="1">
        <f t="shared" si="18"/>
        <v>3.7594161958568739E-2</v>
      </c>
      <c r="O78" s="1">
        <f t="shared" si="19"/>
        <v>3.3097928436911485E-2</v>
      </c>
      <c r="P78" s="1">
        <f t="shared" si="20"/>
        <v>1</v>
      </c>
      <c r="Q78" s="1">
        <f t="shared" si="21"/>
        <v>0.26479484106602752</v>
      </c>
      <c r="R78" s="1">
        <v>0</v>
      </c>
      <c r="S78" s="1">
        <f>S74</f>
        <v>3</v>
      </c>
      <c r="T78" s="1">
        <v>1.6478342749529192E-5</v>
      </c>
      <c r="U78" s="1" t="s">
        <v>55</v>
      </c>
      <c r="V78" s="260"/>
    </row>
    <row r="79" spans="1:22" ht="15.75" hidden="1" customHeight="1" x14ac:dyDescent="0.25">
      <c r="A79" s="259"/>
      <c r="B79" s="238"/>
      <c r="C79" s="1"/>
      <c r="D79" s="1"/>
      <c r="E79" s="1"/>
      <c r="F79" s="1"/>
      <c r="G79" s="1"/>
      <c r="H79" s="205" t="str">
        <f>IF(I7="","",IF($N$14=0,IF($J$54=2,"None","Geen"),IF($J$54=2,"Wood","Hout")))</f>
        <v/>
      </c>
      <c r="I79" s="205">
        <f ca="1">Fuel2!$AE$13</f>
        <v>0.23232498987259997</v>
      </c>
      <c r="J79" s="205">
        <f ca="1">Fuel2!$AE$21</f>
        <v>0.49341112646740481</v>
      </c>
      <c r="K79" s="1">
        <f ca="1">Fuel2!$AE$20</f>
        <v>0.87938505481636253</v>
      </c>
      <c r="L79" s="141">
        <f ca="1">Fuel2!$AE$10</f>
        <v>10.18</v>
      </c>
      <c r="M79" s="140">
        <f ca="1">Fuel2!$AE$19</f>
        <v>2.3676878816390419</v>
      </c>
      <c r="N79" s="1">
        <f t="shared" ca="1" si="18"/>
        <v>4.8468676470275522E-2</v>
      </c>
      <c r="O79" s="1">
        <f t="shared" ca="1" si="19"/>
        <v>8.6383600669583754E-2</v>
      </c>
      <c r="P79" s="1">
        <f t="shared" ca="1" si="20"/>
        <v>1</v>
      </c>
      <c r="Q79" s="1">
        <f t="shared" ca="1" si="21"/>
        <v>0.23493162287303707</v>
      </c>
      <c r="R79" s="1">
        <v>0</v>
      </c>
      <c r="S79" s="1">
        <v>6</v>
      </c>
      <c r="T79" s="144" t="s">
        <v>262</v>
      </c>
      <c r="U79" s="190" t="s">
        <v>55</v>
      </c>
      <c r="V79" s="260"/>
    </row>
    <row r="80" spans="1:22" ht="15.75" hidden="1" customHeight="1" x14ac:dyDescent="0.25">
      <c r="A80" s="259"/>
      <c r="B80" s="238"/>
      <c r="C80" s="1"/>
      <c r="D80" s="1"/>
      <c r="E80" s="1"/>
      <c r="F80" s="1"/>
      <c r="G80" s="1"/>
      <c r="H80" s="205" t="str">
        <f>IF(I7="","",IF($N$14=0,IF($J$54=2,"None","Geen"),Fuel1!$AJ$11))</f>
        <v/>
      </c>
      <c r="I80" s="218" t="str">
        <f ca="1">Fuel1!$I$13</f>
        <v/>
      </c>
      <c r="J80" s="218" t="str">
        <f ca="1">Fuel1!$I$21</f>
        <v/>
      </c>
      <c r="K80" s="142" t="str">
        <f ca="1">Fuel1!$I$20</f>
        <v/>
      </c>
      <c r="L80" s="6" t="str">
        <f ca="1">Fuel1!$I$10</f>
        <v/>
      </c>
      <c r="M80" s="142" t="str">
        <f ca="1">Fuel1!$I$19</f>
        <v/>
      </c>
      <c r="N80" s="4" t="e">
        <f t="shared" ca="1" si="18"/>
        <v>#VALUE!</v>
      </c>
      <c r="O80" s="4" t="e">
        <f t="shared" ca="1" si="19"/>
        <v>#VALUE!</v>
      </c>
      <c r="P80" s="4" t="e">
        <f t="shared" ca="1" si="20"/>
        <v>#VALUE!</v>
      </c>
      <c r="Q80" s="4" t="e">
        <f t="shared" ca="1" si="21"/>
        <v>#VALUE!</v>
      </c>
      <c r="R80" s="4">
        <f>IF(Fuel1!AK7=1,1,0)</f>
        <v>1</v>
      </c>
      <c r="S80" s="4">
        <f>IF(Fuel1!AK7=3,S79,S74)</f>
        <v>3</v>
      </c>
      <c r="T80" s="1">
        <f ca="1">IF(Fuel1!$I$17="",0,Fuel1!$I$17)</f>
        <v>0</v>
      </c>
      <c r="U80" s="1" t="str">
        <f>Fuel1!J10</f>
        <v>MJ/Nm³</v>
      </c>
      <c r="V80" s="260"/>
    </row>
    <row r="81" spans="1:22" ht="15.75" hidden="1" customHeight="1" thickBot="1" x14ac:dyDescent="0.3">
      <c r="A81" s="259"/>
      <c r="B81" s="238"/>
      <c r="C81" s="1"/>
      <c r="D81" s="1"/>
      <c r="E81" s="1"/>
      <c r="F81" s="1"/>
      <c r="G81" s="1"/>
      <c r="H81" s="205" t="str">
        <f>IF(I7="","",IF($N$14=0,IF($J$54=2,"None","Geen"),Fuel2!$AJ$11))</f>
        <v/>
      </c>
      <c r="I81" s="218" t="str">
        <f ca="1">Fuel2!$I$13</f>
        <v/>
      </c>
      <c r="J81" s="218" t="str">
        <f ca="1">Fuel2!$I$21</f>
        <v/>
      </c>
      <c r="K81" s="142" t="str">
        <f ca="1">Fuel2!$I$20</f>
        <v/>
      </c>
      <c r="L81" s="6" t="str">
        <f ca="1">Fuel2!$I$10</f>
        <v/>
      </c>
      <c r="M81" s="142" t="str">
        <f ca="1">Fuel2!$I$19</f>
        <v/>
      </c>
      <c r="N81" s="4" t="e">
        <f t="shared" ca="1" si="18"/>
        <v>#VALUE!</v>
      </c>
      <c r="O81" s="4" t="e">
        <f t="shared" ca="1" si="19"/>
        <v>#VALUE!</v>
      </c>
      <c r="P81" s="4" t="e">
        <f t="shared" ca="1" si="20"/>
        <v>#VALUE!</v>
      </c>
      <c r="Q81" s="4" t="e">
        <f t="shared" ca="1" si="21"/>
        <v>#VALUE!</v>
      </c>
      <c r="R81" s="4">
        <f>IF(Fuel2!AK7=1,1,0)</f>
        <v>1</v>
      </c>
      <c r="S81" s="4">
        <f>IF(Fuel2!AK7=3,S79,S74)</f>
        <v>3</v>
      </c>
      <c r="T81" s="1">
        <f ca="1">IF(Fuel2!$I$17="",0,Fuel2!$I$17)</f>
        <v>0</v>
      </c>
      <c r="U81" s="1" t="str">
        <f>Fuel2!J10</f>
        <v>MJ/Nm³</v>
      </c>
      <c r="V81" s="260"/>
    </row>
    <row r="82" spans="1:22" ht="15" hidden="1" customHeight="1" thickBot="1" x14ac:dyDescent="0.3">
      <c r="A82" s="259"/>
      <c r="B82" s="238"/>
      <c r="C82" s="1"/>
      <c r="D82" s="1"/>
      <c r="E82" s="1"/>
      <c r="F82" s="1"/>
      <c r="G82" s="1"/>
      <c r="H82" s="306" t="s">
        <v>234</v>
      </c>
      <c r="I82" s="306"/>
      <c r="J82" s="306"/>
      <c r="K82" s="128"/>
      <c r="L82" s="128"/>
      <c r="M82" s="128"/>
      <c r="N82" s="128"/>
      <c r="O82" s="128"/>
      <c r="P82" s="128"/>
      <c r="Q82" s="128"/>
      <c r="R82" s="128"/>
      <c r="S82" s="128"/>
      <c r="T82" s="128"/>
      <c r="U82" s="128"/>
      <c r="V82" s="260"/>
    </row>
    <row r="83" spans="1:22" ht="15.75" hidden="1" customHeight="1" x14ac:dyDescent="0.25">
      <c r="A83" s="259"/>
      <c r="B83" s="238"/>
      <c r="C83" s="1"/>
      <c r="D83" s="1"/>
      <c r="E83" s="1"/>
      <c r="F83" s="1"/>
      <c r="G83" s="1"/>
      <c r="H83" s="219" t="s">
        <v>235</v>
      </c>
      <c r="I83" s="217" t="s">
        <v>12</v>
      </c>
      <c r="J83" s="217" t="s">
        <v>16</v>
      </c>
      <c r="K83" s="144" t="s">
        <v>17</v>
      </c>
      <c r="L83" s="144" t="s">
        <v>18</v>
      </c>
      <c r="M83" s="144" t="s">
        <v>19</v>
      </c>
      <c r="N83" s="144" t="s">
        <v>30</v>
      </c>
      <c r="O83" s="144" t="s">
        <v>31</v>
      </c>
      <c r="P83" s="144" t="s">
        <v>32</v>
      </c>
      <c r="Q83" s="144" t="s">
        <v>33</v>
      </c>
      <c r="R83" s="144" t="s">
        <v>163</v>
      </c>
      <c r="S83" s="1" t="s">
        <v>173</v>
      </c>
      <c r="T83" s="144" t="s">
        <v>236</v>
      </c>
      <c r="U83" s="144"/>
      <c r="V83" s="260"/>
    </row>
    <row r="84" spans="1:22" ht="15.75" hidden="1" customHeight="1" thickBot="1" x14ac:dyDescent="0.3">
      <c r="A84" s="259"/>
      <c r="B84" s="238"/>
      <c r="C84" s="1"/>
      <c r="D84" s="1"/>
      <c r="E84" s="1"/>
      <c r="F84" s="1"/>
      <c r="G84" s="1"/>
      <c r="H84" s="220">
        <f>IF(I14="",0,I14/100)</f>
        <v>0</v>
      </c>
      <c r="I84" s="218">
        <f>IF(ISNUMBER(IF($H$84=0,0,INDEX(I74:I81,$H$73)*$H$84)+INDEX(I64:I71,$H$63)*(1-$H$84)),IF($H$84=0,0,INDEX(I74:I81,$H$73)*$H$84)+INDEX(I64:I71,$H$63)*(1-$H$84),"")</f>
        <v>0.24299999999999999</v>
      </c>
      <c r="J84" s="218">
        <f t="shared" ref="J84:S84" si="25">IF(ISNUMBER(IF($H$84=0,0,INDEX(J74:J81,$H$73)*$H$84)+INDEX(J64:J71,$H$63)*(1-$H$84)),IF($H$84=0,0,INDEX(J74:J81,$H$73)*$H$84)+INDEX(J64:J71,$H$63)*(1-$H$84),"")</f>
        <v>0.89700000000000002</v>
      </c>
      <c r="K84" s="142">
        <f t="shared" si="25"/>
        <v>1.6830000000000001</v>
      </c>
      <c r="L84" s="142">
        <f t="shared" si="25"/>
        <v>31.67</v>
      </c>
      <c r="M84" s="142">
        <f t="shared" si="25"/>
        <v>8.43</v>
      </c>
      <c r="N84" s="142">
        <f t="shared" si="25"/>
        <v>2.8323334385854118E-2</v>
      </c>
      <c r="O84" s="142">
        <f t="shared" si="25"/>
        <v>5.3141774550047365E-2</v>
      </c>
      <c r="P84" s="142">
        <f t="shared" si="25"/>
        <v>1</v>
      </c>
      <c r="Q84" s="142">
        <f t="shared" si="25"/>
        <v>0.26887121929749019</v>
      </c>
      <c r="R84" s="142">
        <f t="shared" si="25"/>
        <v>1</v>
      </c>
      <c r="S84" s="142">
        <f t="shared" si="25"/>
        <v>3</v>
      </c>
      <c r="T84" s="142">
        <f>IF(ISNUMBER(IF($H$84=0,0,INDEX(T74:T81,$H$73)*$H$84)+INDEX(T64:T71,$H$63)*(1-$H$84)),IF($H$84=0,0,INDEX(T74:T81,$H$73)*$H$84)+INDEX(T64:T71,$H$63)*(1-$H$84),"")</f>
        <v>0</v>
      </c>
      <c r="U84" s="142"/>
      <c r="V84" s="260"/>
    </row>
    <row r="85" spans="1:22" ht="15.75" hidden="1" customHeight="1" thickBot="1" x14ac:dyDescent="0.3">
      <c r="A85" s="259"/>
      <c r="B85" s="238"/>
      <c r="C85" s="1"/>
      <c r="D85" s="1"/>
      <c r="E85" s="1"/>
      <c r="F85" s="1"/>
      <c r="G85" s="1"/>
      <c r="H85" s="306" t="s">
        <v>228</v>
      </c>
      <c r="I85" s="306"/>
      <c r="J85" s="306"/>
      <c r="K85" s="128"/>
      <c r="L85" s="128"/>
      <c r="M85" s="128"/>
      <c r="N85" s="128"/>
      <c r="O85" s="128"/>
      <c r="P85" s="128"/>
      <c r="Q85" s="128"/>
      <c r="R85" s="128"/>
      <c r="S85" s="128"/>
      <c r="T85" s="128"/>
      <c r="U85" s="128"/>
      <c r="V85" s="260"/>
    </row>
    <row r="86" spans="1:22" ht="15.75" hidden="1" customHeight="1" x14ac:dyDescent="0.25">
      <c r="A86" s="259"/>
      <c r="B86" s="238"/>
      <c r="C86" s="1"/>
      <c r="D86" s="1"/>
      <c r="E86" s="1"/>
      <c r="F86" s="1"/>
      <c r="G86" s="1"/>
      <c r="H86" s="205" t="s">
        <v>160</v>
      </c>
      <c r="I86" s="205">
        <v>0.28000000000000003</v>
      </c>
      <c r="J86" s="205">
        <v>0.996</v>
      </c>
      <c r="K86" s="1">
        <v>0.77500000000000002</v>
      </c>
      <c r="L86" s="1">
        <v>14.37</v>
      </c>
      <c r="M86" s="140">
        <v>3.83</v>
      </c>
      <c r="N86" s="1">
        <f t="shared" ref="N86:N94" si="26">J86/L86</f>
        <v>6.931106471816284E-2</v>
      </c>
      <c r="O86" s="1">
        <f t="shared" ref="O86:O94" si="27">K86/L86</f>
        <v>5.3931802366040366E-2</v>
      </c>
      <c r="P86" s="1">
        <f t="shared" ref="P86:P94" si="28">(1+I86*$I$18/(M86/L86*(20.95-$I$18)))</f>
        <v>1</v>
      </c>
      <c r="Q86" s="1">
        <f t="shared" ref="Q86:Q94" si="29">P86*M86/L86/(1-$N$25/100)</f>
        <v>0.26921968466853646</v>
      </c>
      <c r="R86" s="1">
        <v>1</v>
      </c>
      <c r="S86" s="1"/>
      <c r="T86" s="1"/>
      <c r="U86" s="1"/>
      <c r="V86" s="260"/>
    </row>
    <row r="87" spans="1:22" ht="15.75" hidden="1" customHeight="1" x14ac:dyDescent="0.25">
      <c r="A87" s="259"/>
      <c r="B87" s="238"/>
      <c r="C87" s="1"/>
      <c r="D87" s="1"/>
      <c r="E87" s="1"/>
      <c r="F87" s="1"/>
      <c r="G87" s="1"/>
      <c r="H87" s="205" t="s">
        <v>161</v>
      </c>
      <c r="I87" s="205">
        <v>0.26600000000000001</v>
      </c>
      <c r="J87" s="205">
        <v>0.996</v>
      </c>
      <c r="K87" s="1">
        <v>0.96799999999999997</v>
      </c>
      <c r="L87" s="1">
        <v>17.96</v>
      </c>
      <c r="M87" s="140">
        <v>4.79</v>
      </c>
      <c r="N87" s="1">
        <f t="shared" si="26"/>
        <v>5.5456570155902003E-2</v>
      </c>
      <c r="O87" s="1">
        <f t="shared" si="27"/>
        <v>5.3897550111358571E-2</v>
      </c>
      <c r="P87" s="1">
        <f t="shared" si="28"/>
        <v>1</v>
      </c>
      <c r="Q87" s="1">
        <f t="shared" si="29"/>
        <v>0.2693977638298351</v>
      </c>
      <c r="R87" s="1">
        <v>1</v>
      </c>
      <c r="S87" s="1"/>
      <c r="T87" s="1"/>
      <c r="U87" s="1"/>
      <c r="V87" s="260"/>
    </row>
    <row r="88" spans="1:22" ht="15.75" hidden="1" customHeight="1" x14ac:dyDescent="0.25">
      <c r="A88" s="259"/>
      <c r="B88" s="238"/>
      <c r="C88" s="1"/>
      <c r="D88" s="1"/>
      <c r="E88" s="1"/>
      <c r="F88" s="1"/>
      <c r="G88" s="1"/>
      <c r="H88" s="219" t="s">
        <v>162</v>
      </c>
      <c r="I88" s="219">
        <v>0.25700000000000001</v>
      </c>
      <c r="J88" s="219">
        <v>0.996</v>
      </c>
      <c r="K88" s="1">
        <v>1.1619999999999999</v>
      </c>
      <c r="L88" s="1">
        <v>21.55</v>
      </c>
      <c r="M88" s="140">
        <v>5.74</v>
      </c>
      <c r="N88" s="1">
        <f t="shared" si="26"/>
        <v>4.6218097447795821E-2</v>
      </c>
      <c r="O88" s="1">
        <f t="shared" si="27"/>
        <v>5.3921113689095121E-2</v>
      </c>
      <c r="P88" s="1">
        <f t="shared" si="28"/>
        <v>1</v>
      </c>
      <c r="Q88" s="1">
        <f t="shared" si="29"/>
        <v>0.26904778644917854</v>
      </c>
      <c r="R88" s="1">
        <v>1</v>
      </c>
      <c r="S88" s="1"/>
      <c r="T88" s="1"/>
      <c r="U88" s="1"/>
      <c r="V88" s="260"/>
    </row>
    <row r="89" spans="1:22" ht="15.75" hidden="1" customHeight="1" x14ac:dyDescent="0.25">
      <c r="A89" s="259"/>
      <c r="B89" s="238"/>
      <c r="C89" s="1"/>
      <c r="D89" s="1"/>
      <c r="E89" s="1"/>
      <c r="F89" s="1"/>
      <c r="G89" s="1"/>
      <c r="H89" s="219" t="s">
        <v>9</v>
      </c>
      <c r="I89" s="219">
        <v>0.216</v>
      </c>
      <c r="J89" s="219">
        <v>0.74</v>
      </c>
      <c r="K89" s="1">
        <v>0.71899999999999997</v>
      </c>
      <c r="L89" s="1">
        <v>16.420000000000002</v>
      </c>
      <c r="M89" s="140">
        <v>3.552</v>
      </c>
      <c r="N89" s="1">
        <f t="shared" si="26"/>
        <v>4.5066991473812421E-2</v>
      </c>
      <c r="O89" s="1">
        <f t="shared" si="27"/>
        <v>4.3788063337393414E-2</v>
      </c>
      <c r="P89" s="1">
        <f t="shared" si="28"/>
        <v>1</v>
      </c>
      <c r="Q89" s="1">
        <f t="shared" si="29"/>
        <v>0.21850662532757537</v>
      </c>
      <c r="R89" s="1">
        <v>0</v>
      </c>
      <c r="S89" s="1"/>
      <c r="T89" s="1"/>
      <c r="U89" s="1"/>
      <c r="V89" s="260"/>
    </row>
    <row r="90" spans="1:22" ht="15.75" hidden="1" customHeight="1" x14ac:dyDescent="0.25">
      <c r="A90" s="259"/>
      <c r="B90" s="238"/>
      <c r="C90" s="1"/>
      <c r="D90" s="1"/>
      <c r="E90" s="1"/>
      <c r="F90" s="1"/>
      <c r="G90" s="1"/>
      <c r="H90" s="219" t="s">
        <v>10</v>
      </c>
      <c r="I90" s="219">
        <v>0.22500000000000001</v>
      </c>
      <c r="J90" s="219">
        <v>0.57599999999999996</v>
      </c>
      <c r="K90" s="1">
        <v>0.82599999999999996</v>
      </c>
      <c r="L90" s="1">
        <v>12.26</v>
      </c>
      <c r="M90" s="140">
        <v>2.762</v>
      </c>
      <c r="N90" s="1">
        <f t="shared" si="26"/>
        <v>4.6982055464926585E-2</v>
      </c>
      <c r="O90" s="1">
        <f t="shared" si="27"/>
        <v>6.7373572593800973E-2</v>
      </c>
      <c r="P90" s="1">
        <f t="shared" si="28"/>
        <v>1</v>
      </c>
      <c r="Q90" s="1">
        <f t="shared" si="29"/>
        <v>0.22756109216141843</v>
      </c>
      <c r="R90" s="1">
        <v>0</v>
      </c>
      <c r="S90" s="1"/>
      <c r="T90" s="1"/>
      <c r="U90" s="1"/>
      <c r="V90" s="260"/>
    </row>
    <row r="91" spans="1:22" ht="15.75" hidden="1" customHeight="1" x14ac:dyDescent="0.25">
      <c r="A91" s="259"/>
      <c r="B91" s="238"/>
      <c r="C91" s="1"/>
      <c r="D91" s="1"/>
      <c r="E91" s="1"/>
      <c r="F91" s="1"/>
      <c r="G91" s="1"/>
      <c r="H91" s="219" t="s">
        <v>11</v>
      </c>
      <c r="I91" s="219">
        <v>0.24299999999999999</v>
      </c>
      <c r="J91" s="219">
        <v>0.41099999999999998</v>
      </c>
      <c r="K91" s="1">
        <v>0.93300000000000005</v>
      </c>
      <c r="L91" s="1">
        <v>8.1</v>
      </c>
      <c r="M91" s="140">
        <v>1.9730000000000001</v>
      </c>
      <c r="N91" s="1">
        <f t="shared" si="26"/>
        <v>5.0740740740740739E-2</v>
      </c>
      <c r="O91" s="1">
        <f t="shared" si="27"/>
        <v>0.1151851851851852</v>
      </c>
      <c r="P91" s="1">
        <f t="shared" si="28"/>
        <v>1</v>
      </c>
      <c r="Q91" s="1">
        <f t="shared" si="29"/>
        <v>0.24604065344806089</v>
      </c>
      <c r="R91" s="1">
        <v>0</v>
      </c>
      <c r="S91" s="1"/>
      <c r="T91" s="1"/>
      <c r="U91" s="1"/>
      <c r="V91" s="260"/>
    </row>
    <row r="92" spans="1:22" ht="15.75" hidden="1" customHeight="1" x14ac:dyDescent="0.25">
      <c r="A92" s="259"/>
      <c r="B92" s="238"/>
      <c r="C92" s="1"/>
      <c r="D92" s="1"/>
      <c r="E92" s="1"/>
      <c r="F92" s="1"/>
      <c r="G92" s="1"/>
      <c r="H92" s="219" t="s">
        <v>7</v>
      </c>
      <c r="I92" s="219">
        <v>0.24399999999999999</v>
      </c>
      <c r="J92" s="219">
        <v>1.5449999999999999</v>
      </c>
      <c r="K92" s="1">
        <v>1.3520000000000001</v>
      </c>
      <c r="L92" s="1">
        <v>40.229999999999997</v>
      </c>
      <c r="M92" s="140">
        <v>10.855</v>
      </c>
      <c r="N92" s="1">
        <f t="shared" si="26"/>
        <v>3.8404175988068605E-2</v>
      </c>
      <c r="O92" s="1">
        <f t="shared" si="27"/>
        <v>3.360676112353965E-2</v>
      </c>
      <c r="P92" s="1">
        <f t="shared" si="28"/>
        <v>1</v>
      </c>
      <c r="Q92" s="1">
        <f t="shared" si="29"/>
        <v>0.27254900483834116</v>
      </c>
      <c r="R92" s="1">
        <v>0</v>
      </c>
      <c r="S92" s="1"/>
      <c r="T92" s="1"/>
      <c r="U92" s="1"/>
      <c r="V92" s="260"/>
    </row>
    <row r="93" spans="1:22" ht="15.75" hidden="1" customHeight="1" x14ac:dyDescent="0.25">
      <c r="A93" s="259"/>
      <c r="B93" s="238"/>
      <c r="C93" s="1"/>
      <c r="D93" s="1"/>
      <c r="E93" s="1"/>
      <c r="F93" s="1"/>
      <c r="G93" s="1"/>
      <c r="H93" s="219" t="s">
        <v>8</v>
      </c>
      <c r="I93" s="219">
        <v>0.26300000000000001</v>
      </c>
      <c r="J93" s="219">
        <v>1.2549999999999999</v>
      </c>
      <c r="K93" s="1">
        <v>0.56100000000000005</v>
      </c>
      <c r="L93" s="1">
        <v>25.87</v>
      </c>
      <c r="M93" s="140">
        <v>6.9939999999999998</v>
      </c>
      <c r="N93" s="1">
        <f t="shared" si="26"/>
        <v>4.8511789717819866E-2</v>
      </c>
      <c r="O93" s="1">
        <f t="shared" si="27"/>
        <v>2.1685349826053343E-2</v>
      </c>
      <c r="P93" s="1">
        <f t="shared" si="28"/>
        <v>1</v>
      </c>
      <c r="Q93" s="1">
        <f t="shared" si="29"/>
        <v>0.27308258464037355</v>
      </c>
      <c r="R93" s="1">
        <v>0</v>
      </c>
      <c r="S93" s="1"/>
      <c r="T93" s="1"/>
      <c r="U93" s="1"/>
      <c r="V93" s="260"/>
    </row>
    <row r="94" spans="1:22" ht="15.75" hidden="1" customHeight="1" thickBot="1" x14ac:dyDescent="0.3">
      <c r="A94" s="259"/>
      <c r="B94" s="238"/>
      <c r="C94" s="1"/>
      <c r="D94" s="1"/>
      <c r="E94" s="1"/>
      <c r="F94" s="1"/>
      <c r="G94" s="1"/>
      <c r="H94" s="221" t="s">
        <v>50</v>
      </c>
      <c r="I94" s="221">
        <v>0.245</v>
      </c>
      <c r="J94" s="221">
        <v>1.597</v>
      </c>
      <c r="K94" s="124">
        <v>1.4059999999999999</v>
      </c>
      <c r="L94" s="124">
        <v>42.48</v>
      </c>
      <c r="M94" s="125">
        <v>11.135999999999999</v>
      </c>
      <c r="N94" s="124">
        <f t="shared" si="26"/>
        <v>3.7594161958568739E-2</v>
      </c>
      <c r="O94" s="124">
        <f t="shared" si="27"/>
        <v>3.3097928436911485E-2</v>
      </c>
      <c r="P94" s="124">
        <f t="shared" si="28"/>
        <v>1</v>
      </c>
      <c r="Q94" s="124">
        <f t="shared" si="29"/>
        <v>0.26479484106602752</v>
      </c>
      <c r="R94" s="124">
        <v>0</v>
      </c>
      <c r="S94" s="124"/>
      <c r="T94" s="4"/>
      <c r="U94" s="4"/>
      <c r="V94" s="260"/>
    </row>
    <row r="95" spans="1:22" ht="15.75" hidden="1" customHeight="1" thickBot="1" x14ac:dyDescent="0.3">
      <c r="A95" s="259"/>
      <c r="B95" s="238"/>
      <c r="C95" s="1"/>
      <c r="D95" s="1"/>
      <c r="E95" s="1"/>
      <c r="F95" s="1"/>
      <c r="G95" s="1"/>
      <c r="H95" s="314" t="s">
        <v>223</v>
      </c>
      <c r="I95" s="306"/>
      <c r="J95" s="306"/>
      <c r="K95" s="128"/>
      <c r="L95" s="128"/>
      <c r="M95" s="128"/>
      <c r="N95" s="128"/>
      <c r="O95" s="128"/>
      <c r="P95" s="128"/>
      <c r="Q95" s="128"/>
      <c r="R95" s="128"/>
      <c r="S95" s="128"/>
      <c r="T95" s="128"/>
      <c r="U95" s="128"/>
      <c r="V95" s="260"/>
    </row>
    <row r="96" spans="1:22" ht="15.75" hidden="1" customHeight="1" x14ac:dyDescent="0.25">
      <c r="A96" s="259"/>
      <c r="B96" s="238"/>
      <c r="C96" s="1"/>
      <c r="D96" s="1"/>
      <c r="E96" s="1"/>
      <c r="F96" s="1"/>
      <c r="G96" s="1"/>
      <c r="H96" s="222">
        <v>1</v>
      </c>
      <c r="I96" s="223" t="s">
        <v>43</v>
      </c>
      <c r="J96" s="205"/>
      <c r="K96" s="1"/>
      <c r="L96" s="1"/>
      <c r="M96" s="1"/>
      <c r="N96" s="1"/>
      <c r="O96" s="4"/>
      <c r="P96" s="4"/>
      <c r="Q96" s="4"/>
      <c r="R96" s="4"/>
      <c r="S96" s="4"/>
      <c r="T96" s="4"/>
      <c r="U96" s="4"/>
      <c r="V96" s="260"/>
    </row>
    <row r="97" spans="1:22" ht="15.75" hidden="1" customHeight="1" x14ac:dyDescent="0.25">
      <c r="A97" s="259"/>
      <c r="B97" s="238"/>
      <c r="C97" s="1"/>
      <c r="D97" s="1"/>
      <c r="E97" s="1"/>
      <c r="F97" s="1"/>
      <c r="G97" s="1"/>
      <c r="H97" s="193" t="str">
        <f>IF($J$54=1,"NOx in vppm","NOx in vppm")</f>
        <v>NOx in vppm</v>
      </c>
      <c r="I97" s="205" t="s">
        <v>13</v>
      </c>
      <c r="J97" s="205" t="str">
        <f>CONCATENATE(I97,IF($J$54=2,"-concentration in dry flue gas","-concentratie in droog rookgas"))</f>
        <v>NOx-concentratie in droog rookgas</v>
      </c>
      <c r="K97" s="1" t="s">
        <v>28</v>
      </c>
      <c r="L97" s="1" t="str">
        <f>IF($J$54=2,"(as NO2)","(als NO2)")</f>
        <v>(als NO2)</v>
      </c>
      <c r="M97" s="1">
        <f>46/22.4</f>
        <v>2.0535714285714288</v>
      </c>
      <c r="N97" s="1"/>
      <c r="O97" s="4"/>
      <c r="P97" s="4"/>
      <c r="Q97" s="4"/>
      <c r="R97" s="4"/>
      <c r="S97" s="4"/>
      <c r="T97" s="4"/>
      <c r="U97" s="4"/>
      <c r="V97" s="260"/>
    </row>
    <row r="98" spans="1:22" ht="15.75" hidden="1" customHeight="1" x14ac:dyDescent="0.25">
      <c r="A98" s="259"/>
      <c r="B98" s="238"/>
      <c r="C98" s="1"/>
      <c r="D98" s="1"/>
      <c r="E98" s="1"/>
      <c r="F98" s="1"/>
      <c r="G98" s="1"/>
      <c r="H98" s="193" t="str">
        <f>IF($J$54=1,"SO2 in vppm","SO2 in vppm")</f>
        <v>SO2 in vppm</v>
      </c>
      <c r="I98" s="205" t="s">
        <v>25</v>
      </c>
      <c r="J98" s="205" t="str">
        <f>CONCATENATE(I98,IF($J$54=2,"-concentration in dry flue gas","-concentratie in droog rookgas"))</f>
        <v>SO2-concentratie in droog rookgas</v>
      </c>
      <c r="K98" s="1" t="s">
        <v>28</v>
      </c>
      <c r="L98" s="1"/>
      <c r="M98" s="1">
        <f>64/22.4</f>
        <v>2.8571428571428572</v>
      </c>
      <c r="N98" s="1"/>
      <c r="O98" s="4"/>
      <c r="P98" s="4"/>
      <c r="Q98" s="4"/>
      <c r="R98" s="4"/>
      <c r="S98" s="4"/>
      <c r="T98" s="4"/>
      <c r="U98" s="4"/>
      <c r="V98" s="260"/>
    </row>
    <row r="99" spans="1:22" ht="15.75" hidden="1" customHeight="1" x14ac:dyDescent="0.25">
      <c r="A99" s="259"/>
      <c r="B99" s="238"/>
      <c r="C99" s="1"/>
      <c r="D99" s="1"/>
      <c r="E99" s="1"/>
      <c r="F99" s="1"/>
      <c r="G99" s="1"/>
      <c r="H99" s="193" t="str">
        <f>IF($J$54=1,"CxHy in vppm propaan","CxHy in vppm propane")</f>
        <v>CxHy in vppm propaan</v>
      </c>
      <c r="I99" s="205" t="s">
        <v>26</v>
      </c>
      <c r="J99" s="205" t="str">
        <f>CONCATENATE(I99,IF($J$54=2,"-concentration in wet flue gas","-concentratie in nat rookgas"))</f>
        <v>CxHy-concentratie in nat rookgas</v>
      </c>
      <c r="K99" s="1" t="str">
        <f>IF($J$54=2,"vppm propane","vppm propaan")</f>
        <v>vppm propaan</v>
      </c>
      <c r="L99" s="1" t="str">
        <f>IF($J$54=2,"(as C)","(als C)")</f>
        <v>(als C)</v>
      </c>
      <c r="M99" s="1">
        <f ca="1">36/22.4*100/(100-IF(I33="",0,I33))</f>
        <v>1.9765717291801734</v>
      </c>
      <c r="N99" s="1"/>
      <c r="O99" s="4"/>
      <c r="P99" s="4"/>
      <c r="Q99" s="4"/>
      <c r="R99" s="4"/>
      <c r="S99" s="4"/>
      <c r="T99" s="4"/>
      <c r="U99" s="4"/>
      <c r="V99" s="260"/>
    </row>
    <row r="100" spans="1:22" ht="15.75" hidden="1" customHeight="1" x14ac:dyDescent="0.25">
      <c r="A100" s="259"/>
      <c r="B100" s="238"/>
      <c r="C100" s="1"/>
      <c r="D100" s="1"/>
      <c r="E100" s="1"/>
      <c r="F100" s="1"/>
      <c r="G100" s="1"/>
      <c r="H100" s="193" t="str">
        <f>IF($J$54=1,"CO in vppm","CO in vppm")</f>
        <v>CO in vppm</v>
      </c>
      <c r="I100" s="205" t="s">
        <v>27</v>
      </c>
      <c r="J100" s="205" t="str">
        <f>CONCATENATE(I100,IF($J$54=2,"-concentration in dry flue gas","-concentratie in droog rookgas"))</f>
        <v>CO-concentratie in droog rookgas</v>
      </c>
      <c r="K100" s="1" t="s">
        <v>28</v>
      </c>
      <c r="L100" s="1"/>
      <c r="M100" s="1">
        <f>28/22.4</f>
        <v>1.25</v>
      </c>
      <c r="N100" s="1"/>
      <c r="O100" s="4"/>
      <c r="P100" s="4"/>
      <c r="Q100" s="4"/>
      <c r="R100" s="4"/>
      <c r="S100" s="4"/>
      <c r="T100" s="4"/>
      <c r="U100" s="4"/>
      <c r="V100" s="260"/>
    </row>
    <row r="101" spans="1:22" ht="15.75" hidden="1" customHeight="1" x14ac:dyDescent="0.25">
      <c r="A101" s="259"/>
      <c r="B101" s="238"/>
      <c r="C101" s="1"/>
      <c r="D101" s="1"/>
      <c r="E101" s="1"/>
      <c r="F101" s="1"/>
      <c r="G101" s="1"/>
      <c r="H101" s="193" t="str">
        <f>IF($J$54=1,"NOx in mg/Nm³ (als NO2)","NOx in mg/Nm³ (as NO2)")</f>
        <v>NOx in mg/Nm³ (als NO2)</v>
      </c>
      <c r="I101" s="205" t="str">
        <f>I97</f>
        <v>NOx</v>
      </c>
      <c r="J101" s="205" t="str">
        <f>CONCATENATE(I101,IF($J$54=2,"-concentration (as NO2) in dry flue gas","-concentratie (als NO2) in droog rookgas"))</f>
        <v>NOx-concentratie (als NO2) in droog rookgas</v>
      </c>
      <c r="K101" s="1" t="s">
        <v>44</v>
      </c>
      <c r="L101" s="1" t="str">
        <f>IF($J$54=2,"(as NO2)","(als NO2)")</f>
        <v>(als NO2)</v>
      </c>
      <c r="M101" s="1">
        <v>1</v>
      </c>
      <c r="N101" s="1"/>
      <c r="O101" s="4"/>
      <c r="P101" s="4"/>
      <c r="Q101" s="4"/>
      <c r="R101" s="4"/>
      <c r="S101" s="4"/>
      <c r="T101" s="4"/>
      <c r="U101" s="4"/>
      <c r="V101" s="260"/>
    </row>
    <row r="102" spans="1:22" ht="15.75" hidden="1" customHeight="1" x14ac:dyDescent="0.25">
      <c r="A102" s="259"/>
      <c r="B102" s="238"/>
      <c r="C102" s="1"/>
      <c r="D102" s="1"/>
      <c r="E102" s="1"/>
      <c r="F102" s="1"/>
      <c r="G102" s="1"/>
      <c r="H102" s="193" t="str">
        <f>IF($J$54=1,"SO2 in mg/Nm³","SO2 in mg/Nm³")</f>
        <v>SO2 in mg/Nm³</v>
      </c>
      <c r="I102" s="205" t="str">
        <f>I98</f>
        <v>SO2</v>
      </c>
      <c r="J102" s="205" t="str">
        <f>CONCATENATE(I102,IF($J$54=2,"-concentration in dry flue gas","-concentratie in droog rookgas"))</f>
        <v>SO2-concentratie in droog rookgas</v>
      </c>
      <c r="K102" s="1" t="s">
        <v>44</v>
      </c>
      <c r="L102" s="1"/>
      <c r="M102" s="1">
        <v>1</v>
      </c>
      <c r="N102" s="1"/>
      <c r="O102" s="4"/>
      <c r="P102" s="4"/>
      <c r="Q102" s="4"/>
      <c r="R102" s="4"/>
      <c r="S102" s="4"/>
      <c r="T102" s="4"/>
      <c r="U102" s="4"/>
      <c r="V102" s="260"/>
    </row>
    <row r="103" spans="1:22" ht="15.75" hidden="1" customHeight="1" x14ac:dyDescent="0.25">
      <c r="A103" s="259"/>
      <c r="B103" s="238"/>
      <c r="C103" s="1"/>
      <c r="D103" s="1"/>
      <c r="E103" s="1"/>
      <c r="F103" s="1"/>
      <c r="G103" s="1"/>
      <c r="H103" s="193" t="str">
        <f>IF($J$54=1,"CxHy in mg/Nm³ (als C)","CxHy in mg/Nm³ (as C)")</f>
        <v>CxHy in mg/Nm³ (als C)</v>
      </c>
      <c r="I103" s="205" t="str">
        <f>I99</f>
        <v>CxHy</v>
      </c>
      <c r="J103" s="205" t="str">
        <f>CONCATENATE(I103,IF($J$54=2,"-concentration (as C) in dry flue gas","-concentratie (als C) in droog rookgas"))</f>
        <v>CxHy-concentratie (als C) in droog rookgas</v>
      </c>
      <c r="K103" s="1" t="s">
        <v>44</v>
      </c>
      <c r="L103" s="1" t="str">
        <f>IF($J$54=2,"(as C)","(als C)")</f>
        <v>(als C)</v>
      </c>
      <c r="M103" s="1">
        <v>1</v>
      </c>
      <c r="N103" s="1"/>
      <c r="O103" s="4"/>
      <c r="P103" s="4"/>
      <c r="Q103" s="4"/>
      <c r="R103" s="4"/>
      <c r="S103" s="4"/>
      <c r="T103" s="4"/>
      <c r="U103" s="4"/>
      <c r="V103" s="260"/>
    </row>
    <row r="104" spans="1:22" ht="15.75" hidden="1" customHeight="1" x14ac:dyDescent="0.25">
      <c r="A104" s="259"/>
      <c r="B104" s="238"/>
      <c r="C104" s="1"/>
      <c r="D104" s="1"/>
      <c r="E104" s="1"/>
      <c r="F104" s="1"/>
      <c r="G104" s="1"/>
      <c r="H104" s="193" t="str">
        <f>IF($J$54=1,"CO in mg/Nm³","CO in mg/Nm³")</f>
        <v>CO in mg/Nm³</v>
      </c>
      <c r="I104" s="205" t="str">
        <f>I100</f>
        <v>CO</v>
      </c>
      <c r="J104" s="205" t="str">
        <f>CONCATENATE(I104,IF($J$54=2,"-concentration in dry flue gas","-concentratie in droog rookgas"))</f>
        <v>CO-concentratie in droog rookgas</v>
      </c>
      <c r="K104" s="1" t="s">
        <v>44</v>
      </c>
      <c r="L104" s="1"/>
      <c r="M104" s="1">
        <v>1</v>
      </c>
      <c r="N104" s="1"/>
      <c r="O104" s="4"/>
      <c r="P104" s="4"/>
      <c r="Q104" s="4"/>
      <c r="R104" s="4"/>
      <c r="S104" s="4"/>
      <c r="T104" s="4"/>
      <c r="U104" s="4"/>
      <c r="V104" s="260"/>
    </row>
    <row r="105" spans="1:22" ht="15.75" hidden="1" customHeight="1" x14ac:dyDescent="0.25">
      <c r="A105" s="259"/>
      <c r="B105" s="238"/>
      <c r="C105" s="1"/>
      <c r="D105" s="1"/>
      <c r="E105" s="1"/>
      <c r="F105" s="1"/>
      <c r="G105" s="1"/>
      <c r="H105" s="193" t="str">
        <f>CONCATENATE(I105," in ",K105)</f>
        <v>Andere stof in mg/Nm³</v>
      </c>
      <c r="I105" s="205" t="str">
        <f>IF(J17="",IF($J$54=1,"Andere stof","Other pollutant"),IF(J17="x",IF($J$54=1,"Stof x","Pollutant x"),J17))</f>
        <v>Andere stof</v>
      </c>
      <c r="J105" s="205" t="str">
        <f>CONCATENATE(IF(I105="","C",CONCATENATE(I105,"-c")),IF($J$54=2,"oncentration in dry flue gas","oncentratie in droog rookgas"))</f>
        <v>Andere stof-concentratie in droog rookgas</v>
      </c>
      <c r="K105" s="1" t="s">
        <v>44</v>
      </c>
      <c r="L105" s="1"/>
      <c r="M105" s="1">
        <v>1</v>
      </c>
      <c r="N105" s="1"/>
      <c r="O105" s="4"/>
      <c r="P105" s="4"/>
      <c r="Q105" s="4"/>
      <c r="R105" s="4"/>
      <c r="S105" s="4"/>
      <c r="T105" s="4"/>
      <c r="U105" s="4"/>
      <c r="V105" s="260"/>
    </row>
    <row r="106" spans="1:22" ht="15.75" hidden="1" customHeight="1" x14ac:dyDescent="0.25">
      <c r="A106" s="259"/>
      <c r="B106" s="238"/>
      <c r="C106" s="1"/>
      <c r="D106" s="1"/>
      <c r="E106" s="1"/>
      <c r="F106" s="1"/>
      <c r="G106" s="1"/>
      <c r="H106" s="193" t="str">
        <f t="shared" ref="H106:H111" si="30">CONCATENATE(I106," in ",K106)</f>
        <v>Andere stof in mg/m³</v>
      </c>
      <c r="I106" s="205" t="str">
        <f>I105</f>
        <v>Andere stof</v>
      </c>
      <c r="J106" s="205" t="str">
        <f>CONCATENATE(IF(I106="","C",CONCATENATE(I106,"-c")),IF($J$54=2,"oncentration in wet flue gas","oncentratie in nat rookgas"))</f>
        <v>Andere stof-concentratie in nat rookgas</v>
      </c>
      <c r="K106" s="1" t="s">
        <v>276</v>
      </c>
      <c r="L106" s="1"/>
      <c r="M106" s="1">
        <f ca="1">100/(100-I33)*(273+I10)/273</f>
        <v>1.229866853712108</v>
      </c>
      <c r="N106" s="1"/>
      <c r="O106" s="4"/>
      <c r="P106" s="4"/>
      <c r="Q106" s="4"/>
      <c r="R106" s="4"/>
      <c r="S106" s="4"/>
      <c r="T106" s="4"/>
      <c r="U106" s="4"/>
      <c r="V106" s="260"/>
    </row>
    <row r="107" spans="1:22" ht="15.75" hidden="1" customHeight="1" x14ac:dyDescent="0.25">
      <c r="A107" s="259"/>
      <c r="B107" s="238"/>
      <c r="C107" s="1"/>
      <c r="D107" s="1"/>
      <c r="E107" s="1"/>
      <c r="F107" s="1"/>
      <c r="G107" s="1"/>
      <c r="H107" s="193" t="str">
        <f t="shared" si="30"/>
        <v>Andere stof in g/GJ</v>
      </c>
      <c r="I107" s="205" t="str">
        <f>I106</f>
        <v>Andere stof</v>
      </c>
      <c r="J107" s="205" t="str">
        <f>CONCATENATE(IF(I107="","E",CONCATENATE(I107,"-e")),IF($J$54=2,"mission","missie"))</f>
        <v>Andere stof-emissie</v>
      </c>
      <c r="K107" s="1" t="s">
        <v>303</v>
      </c>
      <c r="L107" s="1"/>
      <c r="M107" s="1" t="str">
        <f ca="1">IF(ISNUMBER(1/I24),1/I24,"")</f>
        <v/>
      </c>
      <c r="N107" s="1"/>
      <c r="O107" s="4"/>
      <c r="P107" s="4"/>
      <c r="Q107" s="4"/>
      <c r="R107" s="4"/>
      <c r="S107" s="4"/>
      <c r="T107" s="4"/>
      <c r="U107" s="4"/>
      <c r="V107" s="260"/>
    </row>
    <row r="108" spans="1:22" ht="15.75" hidden="1" customHeight="1" x14ac:dyDescent="0.25">
      <c r="A108" s="259"/>
      <c r="B108" s="238"/>
      <c r="C108" s="1"/>
      <c r="D108" s="1"/>
      <c r="E108" s="1"/>
      <c r="F108" s="1"/>
      <c r="G108" s="1"/>
      <c r="H108" s="193" t="str">
        <f t="shared" si="30"/>
        <v>Andere stof in mg/kWh (calorische bovenwaarde)</v>
      </c>
      <c r="I108" s="205" t="str">
        <f>I107</f>
        <v>Andere stof</v>
      </c>
      <c r="J108" s="205" t="str">
        <f>CONCATENATE(IF(I108="","E",CONCATENATE(I108,"-e")),IF($J$54=2,"mission","missie"))</f>
        <v>Andere stof-emissie</v>
      </c>
      <c r="K108" s="1" t="str">
        <f>IF($J$54=1,"mg/kWh (calorische bovenwaarde)","mg/kWh (gross calorific value)")</f>
        <v>mg/kWh (calorische bovenwaarde)</v>
      </c>
      <c r="L108" s="1"/>
      <c r="M108" s="1" t="e">
        <f ca="1">M107/(3.6/(1+I26*44.0136/21.629))</f>
        <v>#VALUE!</v>
      </c>
      <c r="N108" s="1"/>
      <c r="O108" s="4"/>
      <c r="P108" s="4"/>
      <c r="Q108" s="4"/>
      <c r="R108" s="4"/>
      <c r="S108" s="4"/>
      <c r="T108" s="4"/>
      <c r="U108" s="4"/>
      <c r="V108" s="260"/>
    </row>
    <row r="109" spans="1:22" ht="15.75" hidden="1" customHeight="1" x14ac:dyDescent="0.25">
      <c r="A109" s="259"/>
      <c r="B109" s="238"/>
      <c r="C109" s="1"/>
      <c r="D109" s="1"/>
      <c r="E109" s="1"/>
      <c r="F109" s="1"/>
      <c r="G109" s="1"/>
      <c r="H109" s="193" t="str">
        <f>CONCATENATE(I109," in ",K109)</f>
        <v>Andere stof in kg/jaar</v>
      </c>
      <c r="I109" s="205" t="str">
        <f>I108</f>
        <v>Andere stof</v>
      </c>
      <c r="J109" s="205" t="str">
        <f t="shared" ref="J109:J111" si="31">CONCATENATE(IF(I109="","E",CONCATENATE(I109,"-e")),IF($J$54=2,"mission","missie"))</f>
        <v>Andere stof-emissie</v>
      </c>
      <c r="K109" s="1" t="str">
        <f>IF($J$54=1,"kg/jaar","kg/year")</f>
        <v>kg/jaar</v>
      </c>
      <c r="L109" s="1"/>
      <c r="M109" s="1" t="str">
        <f ca="1">IF(ISNUMBER(1/I8*1000000/I41),1/I8*1000000/I41,"")</f>
        <v/>
      </c>
      <c r="N109" s="1"/>
      <c r="O109" s="4"/>
      <c r="P109" s="4"/>
      <c r="Q109" s="4"/>
      <c r="R109" s="4"/>
      <c r="S109" s="4"/>
      <c r="T109" s="4"/>
      <c r="U109" s="4"/>
      <c r="V109" s="260"/>
    </row>
    <row r="110" spans="1:22" ht="15.75" hidden="1" customHeight="1" x14ac:dyDescent="0.25">
      <c r="A110" s="259"/>
      <c r="B110" s="238"/>
      <c r="C110" s="1"/>
      <c r="D110" s="1"/>
      <c r="E110" s="1"/>
      <c r="F110" s="1"/>
      <c r="G110" s="1"/>
      <c r="H110" s="193" t="str">
        <f>CONCATENATE(I110," in ",K110)</f>
        <v>Andere stof in lbs/mmscf</v>
      </c>
      <c r="I110" s="205" t="str">
        <f>I109</f>
        <v>Andere stof</v>
      </c>
      <c r="J110" s="205" t="str">
        <f t="shared" si="31"/>
        <v>Andere stof-emissie</v>
      </c>
      <c r="K110" s="1" t="s">
        <v>314</v>
      </c>
      <c r="L110" s="1"/>
      <c r="M110" s="1">
        <f>453.59237/1000*35.3*(273+15)/273</f>
        <v>16.891580477538461</v>
      </c>
      <c r="N110" s="1"/>
      <c r="O110" s="4"/>
      <c r="P110" s="4"/>
      <c r="Q110" s="4"/>
      <c r="R110" s="4"/>
      <c r="S110" s="4"/>
      <c r="T110" s="4"/>
      <c r="U110" s="4"/>
      <c r="V110" s="260"/>
    </row>
    <row r="111" spans="1:22" ht="15.75" hidden="1" customHeight="1" x14ac:dyDescent="0.25">
      <c r="A111" s="259"/>
      <c r="B111" s="238"/>
      <c r="C111" s="1"/>
      <c r="D111" s="1"/>
      <c r="E111" s="1"/>
      <c r="F111" s="1"/>
      <c r="G111" s="1"/>
      <c r="H111" s="193" t="str">
        <f t="shared" si="30"/>
        <v>Andere stof in lbs/mmBTU</v>
      </c>
      <c r="I111" s="205" t="str">
        <f>I107</f>
        <v>Andere stof</v>
      </c>
      <c r="J111" s="205" t="str">
        <f t="shared" si="31"/>
        <v>Andere stof-emissie</v>
      </c>
      <c r="K111" s="1" t="str">
        <f>IF($J$54=1,"lbs/mmBTU","lbs/mmBTU")</f>
        <v>lbs/mmBTU</v>
      </c>
      <c r="L111" s="1"/>
      <c r="M111" s="1" t="str">
        <f ca="1">IF(ISNUMBER(1/I24),1/I24*453.59237/1.05505,"")</f>
        <v/>
      </c>
      <c r="N111" s="1"/>
      <c r="O111" s="4"/>
      <c r="P111" s="4"/>
      <c r="Q111" s="4"/>
      <c r="R111" s="4"/>
      <c r="S111" s="4"/>
      <c r="T111" s="4"/>
      <c r="U111" s="4"/>
      <c r="V111" s="260"/>
    </row>
    <row r="112" spans="1:22" ht="8.4499999999999993" customHeight="1" x14ac:dyDescent="0.25">
      <c r="A112" s="258"/>
      <c r="B112" s="262"/>
      <c r="C112" s="263"/>
      <c r="D112" s="263"/>
      <c r="E112" s="263"/>
      <c r="F112" s="263"/>
      <c r="G112" s="263"/>
      <c r="H112" s="263"/>
      <c r="I112" s="263"/>
      <c r="J112" s="263"/>
      <c r="K112" s="260"/>
      <c r="L112" s="260"/>
      <c r="M112" s="260"/>
      <c r="N112" s="260"/>
      <c r="O112" s="260"/>
      <c r="P112" s="260"/>
      <c r="Q112" s="260"/>
      <c r="R112" s="260"/>
      <c r="S112" s="260"/>
      <c r="T112" s="260"/>
      <c r="U112" s="260"/>
      <c r="V112" s="260"/>
    </row>
    <row r="113" hidden="1" x14ac:dyDescent="0.25"/>
  </sheetData>
  <sheetProtection algorithmName="SHA-512" hashValue="vt338y8+dAnngFmkFbx7bXF9/zEy1xhv26KpceNsoXMnS4WzXKzujc3u3tu1mNXqKAaS+s17u5N1hm+aI8HYUA==" saltValue="Mvkk37Ft/rCvMDojPLIbUQ==" spinCount="100000" sheet="1" objects="1" scenarios="1" selectLockedCells="1"/>
  <mergeCells count="26">
    <mergeCell ref="Q3:R3"/>
    <mergeCell ref="H4:J4"/>
    <mergeCell ref="H23:J23"/>
    <mergeCell ref="H12:J12"/>
    <mergeCell ref="K10:K11"/>
    <mergeCell ref="H3:J3"/>
    <mergeCell ref="K13:K15"/>
    <mergeCell ref="K17:K19"/>
    <mergeCell ref="K6:K7"/>
    <mergeCell ref="L3:P4"/>
    <mergeCell ref="H95:J95"/>
    <mergeCell ref="H40:J40"/>
    <mergeCell ref="H46:J46"/>
    <mergeCell ref="H16:J16"/>
    <mergeCell ref="H31:J31"/>
    <mergeCell ref="H62:J62"/>
    <mergeCell ref="H2:J2"/>
    <mergeCell ref="L2:P2"/>
    <mergeCell ref="K32:K34"/>
    <mergeCell ref="H85:J85"/>
    <mergeCell ref="L5:P5"/>
    <mergeCell ref="H82:J82"/>
    <mergeCell ref="H20:J20"/>
    <mergeCell ref="H72:J72"/>
    <mergeCell ref="K25:K26"/>
    <mergeCell ref="K43:K44"/>
  </mergeCells>
  <conditionalFormatting sqref="H8:J8">
    <cfRule type="expression" dxfId="65" priority="58">
      <formula>$R8=1</formula>
    </cfRule>
    <cfRule type="expression" dxfId="64" priority="65">
      <formula>$Q8=0</formula>
    </cfRule>
  </conditionalFormatting>
  <conditionalFormatting sqref="H13:I13">
    <cfRule type="expression" dxfId="63" priority="63">
      <formula>$Q13=0</formula>
    </cfRule>
  </conditionalFormatting>
  <conditionalFormatting sqref="H15:I15">
    <cfRule type="expression" dxfId="62" priority="62">
      <formula>$Q15=0</formula>
    </cfRule>
  </conditionalFormatting>
  <conditionalFormatting sqref="H14">
    <cfRule type="expression" dxfId="61" priority="61">
      <formula>$Q14=0</formula>
    </cfRule>
  </conditionalFormatting>
  <conditionalFormatting sqref="J14">
    <cfRule type="expression" dxfId="60" priority="60">
      <formula>$Q14=0</formula>
    </cfRule>
  </conditionalFormatting>
  <conditionalFormatting sqref="I14">
    <cfRule type="expression" dxfId="59" priority="59">
      <formula>$Q14=0</formula>
    </cfRule>
  </conditionalFormatting>
  <conditionalFormatting sqref="H9:J9">
    <cfRule type="expression" dxfId="58" priority="56">
      <formula>$R9=1</formula>
    </cfRule>
    <cfRule type="expression" dxfId="57" priority="57">
      <formula>$Q9=0</formula>
    </cfRule>
  </conditionalFormatting>
  <conditionalFormatting sqref="J13">
    <cfRule type="expression" dxfId="56" priority="52">
      <formula>$R13=1</formula>
    </cfRule>
    <cfRule type="expression" dxfId="55" priority="53">
      <formula>$Q13=0</formula>
    </cfRule>
  </conditionalFormatting>
  <conditionalFormatting sqref="J15">
    <cfRule type="expression" dxfId="54" priority="50">
      <formula>$R15=1</formula>
    </cfRule>
    <cfRule type="expression" dxfId="53" priority="51">
      <formula>$Q15=0</formula>
    </cfRule>
  </conditionalFormatting>
  <conditionalFormatting sqref="H21:J21">
    <cfRule type="expression" dxfId="52" priority="45">
      <formula>$R21=1</formula>
    </cfRule>
    <cfRule type="expression" dxfId="51" priority="46">
      <formula>$Q21=0</formula>
    </cfRule>
  </conditionalFormatting>
  <conditionalFormatting sqref="H22:J22">
    <cfRule type="expression" dxfId="50" priority="43">
      <formula>$R22=1</formula>
    </cfRule>
    <cfRule type="expression" dxfId="49" priority="44">
      <formula>$Q22=0</formula>
    </cfRule>
  </conditionalFormatting>
  <conditionalFormatting sqref="H25:J25">
    <cfRule type="expression" dxfId="48" priority="41">
      <formula>$R25=1</formula>
    </cfRule>
    <cfRule type="expression" dxfId="47" priority="42">
      <formula>$Q25=0</formula>
    </cfRule>
  </conditionalFormatting>
  <conditionalFormatting sqref="H24:J24">
    <cfRule type="expression" dxfId="46" priority="39">
      <formula>$R24=1</formula>
    </cfRule>
    <cfRule type="expression" dxfId="45" priority="40">
      <formula>$Q24=0</formula>
    </cfRule>
  </conditionalFormatting>
  <conditionalFormatting sqref="H26:H27">
    <cfRule type="expression" dxfId="44" priority="37">
      <formula>$R26=1</formula>
    </cfRule>
    <cfRule type="expression" dxfId="43" priority="38">
      <formula>$Q26=0</formula>
    </cfRule>
  </conditionalFormatting>
  <conditionalFormatting sqref="I26:J26">
    <cfRule type="expression" dxfId="42" priority="35">
      <formula>$R26=1</formula>
    </cfRule>
    <cfRule type="expression" dxfId="41" priority="36">
      <formula>$Q26=0</formula>
    </cfRule>
  </conditionalFormatting>
  <conditionalFormatting sqref="I27:J27">
    <cfRule type="expression" dxfId="40" priority="33">
      <formula>$R27=1</formula>
    </cfRule>
    <cfRule type="expression" dxfId="39" priority="34">
      <formula>$Q27=0</formula>
    </cfRule>
  </conditionalFormatting>
  <conditionalFormatting sqref="H28:J28">
    <cfRule type="expression" dxfId="38" priority="32">
      <formula>$Q$28=0</formula>
    </cfRule>
  </conditionalFormatting>
  <conditionalFormatting sqref="H29:J29">
    <cfRule type="expression" dxfId="37" priority="31">
      <formula>$Q$29=0</formula>
    </cfRule>
  </conditionalFormatting>
  <conditionalFormatting sqref="H30:J30">
    <cfRule type="expression" dxfId="36" priority="30">
      <formula>$Q$30=0</formula>
    </cfRule>
  </conditionalFormatting>
  <conditionalFormatting sqref="H33:J34">
    <cfRule type="expression" dxfId="35" priority="28">
      <formula>$R33=1</formula>
    </cfRule>
    <cfRule type="expression" dxfId="34" priority="29">
      <formula>$Q33=0</formula>
    </cfRule>
  </conditionalFormatting>
  <conditionalFormatting sqref="H32:J32">
    <cfRule type="expression" dxfId="33" priority="27">
      <formula>$Q32=0</formula>
    </cfRule>
  </conditionalFormatting>
  <conditionalFormatting sqref="K25:K26">
    <cfRule type="expression" dxfId="32" priority="26">
      <formula>$Q25=0</formula>
    </cfRule>
  </conditionalFormatting>
  <conditionalFormatting sqref="K32">
    <cfRule type="expression" dxfId="31" priority="25">
      <formula>$Q33=0</formula>
    </cfRule>
  </conditionalFormatting>
  <conditionalFormatting sqref="H35:J37">
    <cfRule type="expression" dxfId="30" priority="24">
      <formula>$Q35=0</formula>
    </cfRule>
  </conditionalFormatting>
  <conditionalFormatting sqref="H41:J41">
    <cfRule type="expression" dxfId="29" priority="23">
      <formula>$Q41=0</formula>
    </cfRule>
  </conditionalFormatting>
  <conditionalFormatting sqref="I38:J38">
    <cfRule type="expression" dxfId="28" priority="22">
      <formula>$Q38=0</formula>
    </cfRule>
  </conditionalFormatting>
  <conditionalFormatting sqref="H39:J39">
    <cfRule type="expression" dxfId="27" priority="21">
      <formula>$Q39=0</formula>
    </cfRule>
  </conditionalFormatting>
  <conditionalFormatting sqref="H38">
    <cfRule type="expression" dxfId="26" priority="20">
      <formula>$Q38=0</formula>
    </cfRule>
  </conditionalFormatting>
  <conditionalFormatting sqref="H42:J42">
    <cfRule type="expression" dxfId="25" priority="18">
      <formula>$R42=1</formula>
    </cfRule>
    <cfRule type="expression" dxfId="24" priority="19">
      <formula>$Q42=0</formula>
    </cfRule>
  </conditionalFormatting>
  <conditionalFormatting sqref="H43:J43">
    <cfRule type="expression" dxfId="23" priority="17">
      <formula>$Q43=0</formula>
    </cfRule>
  </conditionalFormatting>
  <conditionalFormatting sqref="H44:J45">
    <cfRule type="expression" dxfId="22" priority="16">
      <formula>$Q44=0</formula>
    </cfRule>
  </conditionalFormatting>
  <conditionalFormatting sqref="H47:J47">
    <cfRule type="expression" dxfId="21" priority="15">
      <formula>$Q$47=0</formula>
    </cfRule>
  </conditionalFormatting>
  <conditionalFormatting sqref="H48:J48">
    <cfRule type="expression" dxfId="20" priority="14">
      <formula>$Q$48=0</formula>
    </cfRule>
  </conditionalFormatting>
  <conditionalFormatting sqref="H49:J49">
    <cfRule type="expression" dxfId="19" priority="13">
      <formula>$Q$49=0</formula>
    </cfRule>
  </conditionalFormatting>
  <conditionalFormatting sqref="H50:J50">
    <cfRule type="expression" dxfId="18" priority="12">
      <formula>$Q$50=0</formula>
    </cfRule>
  </conditionalFormatting>
  <conditionalFormatting sqref="H51:J51">
    <cfRule type="expression" dxfId="17" priority="11">
      <formula>$Q$51=0</formula>
    </cfRule>
  </conditionalFormatting>
  <conditionalFormatting sqref="J17">
    <cfRule type="expression" dxfId="16" priority="10">
      <formula>$Q$17=0</formula>
    </cfRule>
  </conditionalFormatting>
  <conditionalFormatting sqref="H11:J11">
    <cfRule type="expression" dxfId="15" priority="9">
      <formula>$Q$11=0</formula>
    </cfRule>
  </conditionalFormatting>
  <conditionalFormatting sqref="K21">
    <cfRule type="expression" dxfId="14" priority="8">
      <formula>$Q$21=0</formula>
    </cfRule>
  </conditionalFormatting>
  <conditionalFormatting sqref="K22">
    <cfRule type="expression" dxfId="13" priority="7">
      <formula>$Q$22=0</formula>
    </cfRule>
  </conditionalFormatting>
  <conditionalFormatting sqref="H10">
    <cfRule type="expression" dxfId="12" priority="6">
      <formula>$Q10=0</formula>
    </cfRule>
  </conditionalFormatting>
  <conditionalFormatting sqref="J10">
    <cfRule type="expression" dxfId="11" priority="5">
      <formula>$Q10=0</formula>
    </cfRule>
  </conditionalFormatting>
  <conditionalFormatting sqref="I10">
    <cfRule type="expression" dxfId="10" priority="4">
      <formula>$Q10=0</formula>
    </cfRule>
  </conditionalFormatting>
  <conditionalFormatting sqref="K8">
    <cfRule type="expression" dxfId="9" priority="3">
      <formula>$Q$8=0</formula>
    </cfRule>
  </conditionalFormatting>
  <conditionalFormatting sqref="K9">
    <cfRule type="expression" dxfId="8" priority="2">
      <formula>$Q$9=0</formula>
    </cfRule>
  </conditionalFormatting>
  <conditionalFormatting sqref="K24">
    <cfRule type="expression" dxfId="7" priority="1">
      <formula>$Q$21=0</formula>
    </cfRule>
  </conditionalFormatting>
  <dataValidations disablePrompts="1" count="4">
    <dataValidation type="decimal" allowBlank="1" showInputMessage="1" showErrorMessage="1" sqref="I18">
      <formula1>0</formula1>
      <formula2>20.8</formula2>
    </dataValidation>
    <dataValidation type="decimal" allowBlank="1" showInputMessage="1" showErrorMessage="1" sqref="I10">
      <formula1>0</formula1>
      <formula2>1000</formula2>
    </dataValidation>
    <dataValidation type="decimal" allowBlank="1" showInputMessage="1" showErrorMessage="1" sqref="I7">
      <formula1>0.01</formula1>
      <formula2>5000</formula2>
    </dataValidation>
    <dataValidation type="decimal" allowBlank="1" showInputMessage="1" showErrorMessage="1" error="≤50%" sqref="I14">
      <formula1>0</formula1>
      <formula2>50</formula2>
    </dataValidation>
  </dataValidations>
  <pageMargins left="0.25" right="0.25" top="0.75" bottom="0.75" header="0.3" footer="0.3"/>
  <pageSetup paperSize="9" scale="64" fitToHeight="0" orientation="portrait" horizontalDpi="4294967293"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7450" r:id="rId5" name="Scroll Bar 2330">
              <controlPr defaultSize="0" autoPict="0">
                <anchor moveWithCells="1">
                  <from>
                    <xdr:col>9</xdr:col>
                    <xdr:colOff>1819275</xdr:colOff>
                    <xdr:row>32</xdr:row>
                    <xdr:rowOff>19050</xdr:rowOff>
                  </from>
                  <to>
                    <xdr:col>9</xdr:col>
                    <xdr:colOff>2286000</xdr:colOff>
                    <xdr:row>32</xdr:row>
                    <xdr:rowOff>180975</xdr:rowOff>
                  </to>
                </anchor>
              </controlPr>
            </control>
          </mc:Choice>
        </mc:AlternateContent>
        <mc:AlternateContent xmlns:mc="http://schemas.openxmlformats.org/markup-compatibility/2006">
          <mc:Choice Requires="x14">
            <control shapeId="7451" r:id="rId6" name="Scroll Bar 2331">
              <controlPr defaultSize="0" autoPict="0">
                <anchor moveWithCells="1">
                  <from>
                    <xdr:col>9</xdr:col>
                    <xdr:colOff>1819275</xdr:colOff>
                    <xdr:row>33</xdr:row>
                    <xdr:rowOff>28575</xdr:rowOff>
                  </from>
                  <to>
                    <xdr:col>9</xdr:col>
                    <xdr:colOff>2286000</xdr:colOff>
                    <xdr:row>33</xdr:row>
                    <xdr:rowOff>190500</xdr:rowOff>
                  </to>
                </anchor>
              </controlPr>
            </control>
          </mc:Choice>
        </mc:AlternateContent>
        <mc:AlternateContent xmlns:mc="http://schemas.openxmlformats.org/markup-compatibility/2006">
          <mc:Choice Requires="x14">
            <control shapeId="7452" r:id="rId7" name="Scroll Bar 2332">
              <controlPr defaultSize="0" autoPict="0">
                <anchor moveWithCells="1">
                  <from>
                    <xdr:col>9</xdr:col>
                    <xdr:colOff>1819275</xdr:colOff>
                    <xdr:row>20</xdr:row>
                    <xdr:rowOff>19050</xdr:rowOff>
                  </from>
                  <to>
                    <xdr:col>9</xdr:col>
                    <xdr:colOff>2286000</xdr:colOff>
                    <xdr:row>20</xdr:row>
                    <xdr:rowOff>180975</xdr:rowOff>
                  </to>
                </anchor>
              </controlPr>
            </control>
          </mc:Choice>
        </mc:AlternateContent>
        <mc:AlternateContent xmlns:mc="http://schemas.openxmlformats.org/markup-compatibility/2006">
          <mc:Choice Requires="x14">
            <control shapeId="7453" r:id="rId8" name="Scroll Bar 2333">
              <controlPr defaultSize="0" autoPict="0">
                <anchor moveWithCells="1">
                  <from>
                    <xdr:col>9</xdr:col>
                    <xdr:colOff>1819275</xdr:colOff>
                    <xdr:row>21</xdr:row>
                    <xdr:rowOff>9525</xdr:rowOff>
                  </from>
                  <to>
                    <xdr:col>9</xdr:col>
                    <xdr:colOff>2286000</xdr:colOff>
                    <xdr:row>21</xdr:row>
                    <xdr:rowOff>171450</xdr:rowOff>
                  </to>
                </anchor>
              </controlPr>
            </control>
          </mc:Choice>
        </mc:AlternateContent>
        <mc:AlternateContent xmlns:mc="http://schemas.openxmlformats.org/markup-compatibility/2006">
          <mc:Choice Requires="x14">
            <control shapeId="7454" r:id="rId9" name="Scroll Bar 2334">
              <controlPr defaultSize="0" autoPict="0">
                <anchor moveWithCells="1">
                  <from>
                    <xdr:col>9</xdr:col>
                    <xdr:colOff>1819275</xdr:colOff>
                    <xdr:row>24</xdr:row>
                    <xdr:rowOff>19050</xdr:rowOff>
                  </from>
                  <to>
                    <xdr:col>9</xdr:col>
                    <xdr:colOff>2286000</xdr:colOff>
                    <xdr:row>24</xdr:row>
                    <xdr:rowOff>180975</xdr:rowOff>
                  </to>
                </anchor>
              </controlPr>
            </control>
          </mc:Choice>
        </mc:AlternateContent>
        <mc:AlternateContent xmlns:mc="http://schemas.openxmlformats.org/markup-compatibility/2006">
          <mc:Choice Requires="x14">
            <control shapeId="7455" r:id="rId10" name="Scroll Bar 2335">
              <controlPr defaultSize="0" autoPict="0">
                <anchor moveWithCells="1">
                  <from>
                    <xdr:col>9</xdr:col>
                    <xdr:colOff>1819275</xdr:colOff>
                    <xdr:row>7</xdr:row>
                    <xdr:rowOff>28575</xdr:rowOff>
                  </from>
                  <to>
                    <xdr:col>9</xdr:col>
                    <xdr:colOff>2286000</xdr:colOff>
                    <xdr:row>7</xdr:row>
                    <xdr:rowOff>190500</xdr:rowOff>
                  </to>
                </anchor>
              </controlPr>
            </control>
          </mc:Choice>
        </mc:AlternateContent>
        <mc:AlternateContent xmlns:mc="http://schemas.openxmlformats.org/markup-compatibility/2006">
          <mc:Choice Requires="x14">
            <control shapeId="7456" r:id="rId11" name="Scroll Bar 2336">
              <controlPr defaultSize="0" autoPict="0">
                <anchor moveWithCells="1">
                  <from>
                    <xdr:col>9</xdr:col>
                    <xdr:colOff>1819275</xdr:colOff>
                    <xdr:row>8</xdr:row>
                    <xdr:rowOff>19050</xdr:rowOff>
                  </from>
                  <to>
                    <xdr:col>9</xdr:col>
                    <xdr:colOff>2286000</xdr:colOff>
                    <xdr:row>8</xdr:row>
                    <xdr:rowOff>180975</xdr:rowOff>
                  </to>
                </anchor>
              </controlPr>
            </control>
          </mc:Choice>
        </mc:AlternateContent>
        <mc:AlternateContent xmlns:mc="http://schemas.openxmlformats.org/markup-compatibility/2006">
          <mc:Choice Requires="x14">
            <control shapeId="7457" r:id="rId12" name="Scroll Bar 2337">
              <controlPr defaultSize="0" autoPict="0">
                <anchor moveWithCells="1">
                  <from>
                    <xdr:col>9</xdr:col>
                    <xdr:colOff>1819275</xdr:colOff>
                    <xdr:row>12</xdr:row>
                    <xdr:rowOff>9525</xdr:rowOff>
                  </from>
                  <to>
                    <xdr:col>9</xdr:col>
                    <xdr:colOff>2286000</xdr:colOff>
                    <xdr:row>12</xdr:row>
                    <xdr:rowOff>171450</xdr:rowOff>
                  </to>
                </anchor>
              </controlPr>
            </control>
          </mc:Choice>
        </mc:AlternateContent>
        <mc:AlternateContent xmlns:mc="http://schemas.openxmlformats.org/markup-compatibility/2006">
          <mc:Choice Requires="x14">
            <control shapeId="7458" r:id="rId13" name="Scroll Bar 2338">
              <controlPr defaultSize="0" autoPict="0">
                <anchor moveWithCells="1">
                  <from>
                    <xdr:col>9</xdr:col>
                    <xdr:colOff>1819275</xdr:colOff>
                    <xdr:row>14</xdr:row>
                    <xdr:rowOff>28575</xdr:rowOff>
                  </from>
                  <to>
                    <xdr:col>9</xdr:col>
                    <xdr:colOff>2286000</xdr:colOff>
                    <xdr:row>14</xdr:row>
                    <xdr:rowOff>190500</xdr:rowOff>
                  </to>
                </anchor>
              </controlPr>
            </control>
          </mc:Choice>
        </mc:AlternateContent>
        <mc:AlternateContent xmlns:mc="http://schemas.openxmlformats.org/markup-compatibility/2006">
          <mc:Choice Requires="x14">
            <control shapeId="7459" r:id="rId14" name="Drop Down 2339">
              <controlPr defaultSize="0" autoLine="0" autoPict="0">
                <anchor moveWithCells="1">
                  <from>
                    <xdr:col>7</xdr:col>
                    <xdr:colOff>1819275</xdr:colOff>
                    <xdr:row>12</xdr:row>
                    <xdr:rowOff>0</xdr:rowOff>
                  </from>
                  <to>
                    <xdr:col>9</xdr:col>
                    <xdr:colOff>0</xdr:colOff>
                    <xdr:row>12</xdr:row>
                    <xdr:rowOff>200025</xdr:rowOff>
                  </to>
                </anchor>
              </controlPr>
            </control>
          </mc:Choice>
        </mc:AlternateContent>
        <mc:AlternateContent xmlns:mc="http://schemas.openxmlformats.org/markup-compatibility/2006">
          <mc:Choice Requires="x14">
            <control shapeId="7460" r:id="rId15" name="Drop Down 2340">
              <controlPr defaultSize="0" autoLine="0" autoPict="0">
                <anchor moveWithCells="1">
                  <from>
                    <xdr:col>7</xdr:col>
                    <xdr:colOff>1819275</xdr:colOff>
                    <xdr:row>16</xdr:row>
                    <xdr:rowOff>0</xdr:rowOff>
                  </from>
                  <to>
                    <xdr:col>9</xdr:col>
                    <xdr:colOff>0</xdr:colOff>
                    <xdr:row>16</xdr:row>
                    <xdr:rowOff>200025</xdr:rowOff>
                  </to>
                </anchor>
              </controlPr>
            </control>
          </mc:Choice>
        </mc:AlternateContent>
        <mc:AlternateContent xmlns:mc="http://schemas.openxmlformats.org/markup-compatibility/2006">
          <mc:Choice Requires="x14">
            <control shapeId="7461" r:id="rId16" name="Drop Down 2341">
              <controlPr defaultSize="0" autoLine="0" autoPict="0">
                <anchor moveWithCells="1">
                  <from>
                    <xdr:col>7</xdr:col>
                    <xdr:colOff>1819275</xdr:colOff>
                    <xdr:row>14</xdr:row>
                    <xdr:rowOff>0</xdr:rowOff>
                  </from>
                  <to>
                    <xdr:col>9</xdr:col>
                    <xdr:colOff>0</xdr:colOff>
                    <xdr:row>14</xdr:row>
                    <xdr:rowOff>190500</xdr:rowOff>
                  </to>
                </anchor>
              </controlPr>
            </control>
          </mc:Choice>
        </mc:AlternateContent>
        <mc:AlternateContent xmlns:mc="http://schemas.openxmlformats.org/markup-compatibility/2006">
          <mc:Choice Requires="x14">
            <control shapeId="7462" r:id="rId17" name="Drop Down 2342">
              <controlPr defaultSize="0" autoLine="0" autoPict="0">
                <anchor moveWithCells="1">
                  <from>
                    <xdr:col>10</xdr:col>
                    <xdr:colOff>38100</xdr:colOff>
                    <xdr:row>1</xdr:row>
                    <xdr:rowOff>38100</xdr:rowOff>
                  </from>
                  <to>
                    <xdr:col>10</xdr:col>
                    <xdr:colOff>1733550</xdr:colOff>
                    <xdr:row>1</xdr:row>
                    <xdr:rowOff>238125</xdr:rowOff>
                  </to>
                </anchor>
              </controlPr>
            </control>
          </mc:Choice>
        </mc:AlternateContent>
        <mc:AlternateContent xmlns:mc="http://schemas.openxmlformats.org/markup-compatibility/2006">
          <mc:Choice Requires="x14">
            <control shapeId="9509" r:id="rId18" name="Drop Down 3365">
              <controlPr defaultSize="0" autoLine="0" autoPict="0">
                <anchor moveWithCells="1">
                  <from>
                    <xdr:col>10</xdr:col>
                    <xdr:colOff>1762125</xdr:colOff>
                    <xdr:row>1</xdr:row>
                    <xdr:rowOff>38100</xdr:rowOff>
                  </from>
                  <to>
                    <xdr:col>10</xdr:col>
                    <xdr:colOff>3419475</xdr:colOff>
                    <xdr:row>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pageSetUpPr fitToPage="1"/>
  </sheetPr>
  <dimension ref="A1:AV250"/>
  <sheetViews>
    <sheetView zoomScaleNormal="100" workbookViewId="0">
      <pane xSplit="7" ySplit="5" topLeftCell="H6" activePane="bottomRight" state="frozen"/>
      <selection pane="topRight" activeCell="H1" sqref="H1"/>
      <selection pane="bottomLeft" activeCell="A6" sqref="A6"/>
      <selection pane="bottomRight" activeCell="I7" sqref="I7"/>
    </sheetView>
  </sheetViews>
  <sheetFormatPr defaultColWidth="0" defaultRowHeight="15" zeroHeight="1" x14ac:dyDescent="0.25"/>
  <cols>
    <col min="1" max="1" width="1.42578125" style="117" customWidth="1"/>
    <col min="2" max="7" width="15.7109375" style="117" hidden="1" customWidth="1"/>
    <col min="8" max="8" width="57.85546875" style="11" customWidth="1"/>
    <col min="9" max="9" width="11.42578125" style="29" customWidth="1"/>
    <col min="10" max="10" width="9.28515625" style="29" bestFit="1" customWidth="1"/>
    <col min="11" max="11" width="24.140625" style="29" customWidth="1"/>
    <col min="12" max="12" width="51.7109375" style="15" customWidth="1"/>
    <col min="13" max="13" width="33.5703125" style="11" hidden="1" customWidth="1"/>
    <col min="14" max="14" width="9.7109375" style="29" hidden="1" customWidth="1"/>
    <col min="15" max="15" width="12.140625" style="11" hidden="1" customWidth="1"/>
    <col min="16" max="16" width="2.28515625" style="15" hidden="1" customWidth="1"/>
    <col min="17" max="17" width="33.5703125" style="15" hidden="1" customWidth="1"/>
    <col min="18" max="18" width="9.7109375" style="24" hidden="1" customWidth="1"/>
    <col min="19" max="19" width="12.140625" style="15" hidden="1" customWidth="1"/>
    <col min="20" max="20" width="2.85546875" style="11" hidden="1" customWidth="1"/>
    <col min="21" max="21" width="33.5703125" style="11" hidden="1" customWidth="1"/>
    <col min="22" max="22" width="9.7109375" style="11" hidden="1" customWidth="1"/>
    <col min="23" max="23" width="12.140625" style="11" hidden="1" customWidth="1"/>
    <col min="24" max="24" width="2.28515625" style="15" hidden="1" customWidth="1"/>
    <col min="25" max="25" width="33.5703125" style="11" hidden="1" customWidth="1"/>
    <col min="26" max="26" width="9.7109375" style="29" hidden="1" customWidth="1"/>
    <col min="27" max="27" width="12.140625" style="11" hidden="1" customWidth="1"/>
    <col min="28" max="28" width="2.85546875" style="11" hidden="1" customWidth="1"/>
    <col min="29" max="29" width="33.5703125" style="11" hidden="1" customWidth="1"/>
    <col min="30" max="30" width="9.7109375" style="11" hidden="1" customWidth="1"/>
    <col min="31" max="31" width="12.140625" style="11" hidden="1" customWidth="1"/>
    <col min="32" max="32" width="2.85546875" style="11" hidden="1" customWidth="1"/>
    <col min="33" max="33" width="37.28515625" style="11" hidden="1" customWidth="1"/>
    <col min="34" max="36" width="12.140625" style="11" hidden="1" customWidth="1"/>
    <col min="37" max="37" width="15.42578125" style="11" hidden="1" customWidth="1"/>
    <col min="38" max="47" width="12.140625" style="11" hidden="1" customWidth="1"/>
    <col min="48" max="48" width="1.42578125" style="117" customWidth="1"/>
    <col min="49" max="16384" width="9.140625" style="11" hidden="1"/>
  </cols>
  <sheetData>
    <row r="1" spans="1:47" ht="7.5" customHeight="1" thickBot="1" x14ac:dyDescent="0.3">
      <c r="B1" s="117" t="s">
        <v>315</v>
      </c>
      <c r="H1" s="117"/>
      <c r="I1" s="118"/>
      <c r="J1" s="118"/>
      <c r="K1" s="118"/>
      <c r="L1" s="117"/>
      <c r="M1" s="117"/>
      <c r="N1" s="118"/>
      <c r="O1" s="117"/>
      <c r="P1" s="119"/>
      <c r="Q1" s="119"/>
      <c r="R1" s="120"/>
      <c r="S1" s="119"/>
      <c r="T1" s="117"/>
      <c r="U1" s="117"/>
      <c r="V1" s="117"/>
      <c r="W1" s="117"/>
      <c r="X1" s="117"/>
      <c r="Y1" s="117"/>
      <c r="Z1" s="118"/>
      <c r="AA1" s="117"/>
      <c r="AB1" s="117"/>
      <c r="AC1" s="117"/>
      <c r="AD1" s="117"/>
      <c r="AE1" s="117"/>
      <c r="AF1" s="117"/>
      <c r="AG1" s="117"/>
      <c r="AH1" s="117"/>
      <c r="AI1" s="117"/>
      <c r="AJ1" s="117"/>
      <c r="AK1" s="117"/>
      <c r="AL1" s="117"/>
      <c r="AM1" s="117"/>
      <c r="AN1" s="117"/>
      <c r="AO1" s="117"/>
      <c r="AP1" s="117"/>
      <c r="AQ1" s="117"/>
      <c r="AR1" s="117"/>
      <c r="AS1" s="117"/>
      <c r="AT1" s="117"/>
      <c r="AU1" s="117"/>
    </row>
    <row r="2" spans="1:47" ht="87" customHeight="1" thickBot="1" x14ac:dyDescent="0.3">
      <c r="A2" s="116"/>
      <c r="B2" s="129" t="s">
        <v>229</v>
      </c>
      <c r="C2" s="129" t="s">
        <v>230</v>
      </c>
      <c r="D2" s="129" t="s">
        <v>252</v>
      </c>
      <c r="E2" s="129" t="s">
        <v>253</v>
      </c>
      <c r="F2" s="129" t="s">
        <v>254</v>
      </c>
      <c r="G2" s="129" t="s">
        <v>255</v>
      </c>
      <c r="H2" s="326"/>
      <c r="I2" s="327"/>
      <c r="J2" s="327"/>
      <c r="K2" s="266"/>
      <c r="L2" s="182" t="str">
        <f>IF(INDEX(F3:G3,'Combustion Emissions'!$J$54)="","",INDEX(F3:G3,'Combustion Emissions'!$J$54))</f>
        <v>Aanwijzingen voor gebruik van dit werkblad</v>
      </c>
      <c r="M2" s="4"/>
      <c r="N2" s="4"/>
      <c r="O2" s="4"/>
      <c r="P2" s="4"/>
      <c r="Q2" s="4"/>
      <c r="R2" s="4"/>
      <c r="S2" s="4"/>
      <c r="T2" s="4"/>
      <c r="U2" s="4"/>
      <c r="V2" s="4"/>
      <c r="W2" s="4"/>
      <c r="X2" s="16"/>
      <c r="Y2" s="4"/>
      <c r="Z2" s="4"/>
      <c r="AA2" s="4"/>
      <c r="AB2" s="4"/>
      <c r="AC2" s="4"/>
      <c r="AD2" s="4"/>
      <c r="AE2" s="4"/>
      <c r="AF2" s="4"/>
      <c r="AG2" s="4"/>
      <c r="AH2" s="1"/>
      <c r="AI2" s="1"/>
      <c r="AJ2" s="1"/>
      <c r="AK2" s="1"/>
      <c r="AL2" s="1"/>
      <c r="AM2" s="1"/>
      <c r="AN2" s="1"/>
      <c r="AO2" s="1"/>
      <c r="AP2" s="1"/>
      <c r="AQ2" s="1"/>
      <c r="AR2" s="1"/>
      <c r="AS2" s="1"/>
      <c r="AT2" s="1"/>
      <c r="AU2" s="1"/>
    </row>
    <row r="3" spans="1:47" ht="15" customHeight="1" x14ac:dyDescent="0.25">
      <c r="A3" s="116"/>
      <c r="B3" s="137" t="s">
        <v>293</v>
      </c>
      <c r="C3" s="148" t="s">
        <v>294</v>
      </c>
      <c r="D3" s="137"/>
      <c r="E3" s="148"/>
      <c r="F3" s="151" t="s">
        <v>247</v>
      </c>
      <c r="G3" s="148" t="s">
        <v>251</v>
      </c>
      <c r="H3" s="328" t="str">
        <f>IF(AND(OR('Combustion Emissions'!H63=7,'Combustion Emissions'!H73=7),'Combustion Emissions'!I7&lt;&gt;""),IF($J$54=2,"Short extract of entered and calculated data","Korte samenvatting ingevoerde en berekende gegevens"),IF($J$54=2,"Short description","Korte beschrijving"))</f>
        <v>Korte beschrijving</v>
      </c>
      <c r="I3" s="329"/>
      <c r="J3" s="329"/>
      <c r="K3" s="264"/>
      <c r="L3" s="187"/>
      <c r="M3" s="4"/>
      <c r="N3" s="4"/>
      <c r="O3" s="4"/>
      <c r="P3" s="4"/>
      <c r="Q3" s="4"/>
      <c r="R3" s="4"/>
      <c r="S3" s="4"/>
      <c r="T3" s="4"/>
      <c r="U3" s="4"/>
      <c r="V3" s="4"/>
      <c r="W3" s="4"/>
      <c r="X3" s="16"/>
      <c r="Y3" s="4"/>
      <c r="Z3" s="4"/>
      <c r="AA3" s="4"/>
      <c r="AB3" s="4"/>
      <c r="AC3" s="4"/>
      <c r="AD3" s="4"/>
      <c r="AE3" s="4"/>
      <c r="AF3" s="4"/>
      <c r="AG3" s="4"/>
      <c r="AH3" s="1"/>
      <c r="AI3" s="1"/>
      <c r="AJ3" s="1"/>
      <c r="AK3" s="1"/>
      <c r="AL3" s="1"/>
      <c r="AM3" s="1"/>
      <c r="AN3" s="1"/>
      <c r="AO3" s="1"/>
      <c r="AP3" s="1"/>
      <c r="AQ3" s="1"/>
      <c r="AR3" s="1"/>
      <c r="AS3" s="1"/>
      <c r="AT3" s="1"/>
      <c r="AU3" s="1"/>
    </row>
    <row r="4" spans="1:47" ht="39.75" customHeight="1" x14ac:dyDescent="0.25">
      <c r="A4" s="116"/>
      <c r="B4" s="137" t="str">
        <f ca="1">'Combustion Emissions'!B4</f>
        <v>Deze versie van CalComEmis.xlsx (4-7) is te gebruiken tot 01-01-2025.
Ondanks de zorgvuldigheid waarmee dit spreadsheet is opgesteld, kunnen fouten niet worden uitgesloten. 
Suggesties voor aanpassingen naar wim.burgers@rws.nl.</v>
      </c>
      <c r="C4" s="148" t="str">
        <f ca="1">'Combustion Emissions'!C4</f>
        <v>This version of CalComEmis.xlsx (4-7) can be used until 01-01-2025.
Although this spreadsheet has been carefully developed, mistakes can not be excluded.
Proposals for changes to wim.burgers@rws.nl.</v>
      </c>
      <c r="D4" s="137"/>
      <c r="E4" s="148"/>
      <c r="F4" s="138" t="s">
        <v>263</v>
      </c>
      <c r="G4" s="149" t="s">
        <v>261</v>
      </c>
      <c r="H4" s="335" t="str">
        <f>IF(AND(OR('Combustion Emissions'!H63=7,'Combustion Emissions'!H73=7),'Combustion Emissions'!I7&lt;&gt;""),'Combustion Emissions'!H4:J4,CONCATENATE(INDEX(B3:C3,'Combustion Emissions'!$J$54)))</f>
        <v>Met het werkblad &lt;Fuel1&gt; kunnen de verbrandingsparameters van een eigen brandstof 1 worden berekenend die noodzakelijk zijn voor de emissieberekeningen in het werkblad &lt;Combustion Emissions&gt;.</v>
      </c>
      <c r="I4" s="336"/>
      <c r="J4" s="336"/>
      <c r="K4" s="337"/>
      <c r="L4" s="179" t="str">
        <f>IF(INDEX(F4:G4,'Combustion Emissions'!$J$54)="","",INDEX(F4:G4,'Combustion Emissions'!$J$54))</f>
        <v xml:space="preserve">Met de pulldownmenu's in kolom H en de gele cellen in kolom I voert u de gegevens van de brandstof in. De berekende verbrandingsparameters staan in I10..I22. </v>
      </c>
      <c r="M4" s="4"/>
      <c r="N4" s="4"/>
      <c r="O4" s="4"/>
      <c r="P4" s="4"/>
      <c r="Q4" s="4"/>
      <c r="R4" s="4"/>
      <c r="S4" s="4"/>
      <c r="T4" s="4"/>
      <c r="U4" s="4"/>
      <c r="V4" s="4"/>
      <c r="W4" s="4"/>
      <c r="X4" s="16"/>
      <c r="Y4" s="4"/>
      <c r="Z4" s="4"/>
      <c r="AA4" s="4"/>
      <c r="AB4" s="4"/>
      <c r="AC4" s="4"/>
      <c r="AD4" s="4"/>
      <c r="AE4" s="4"/>
      <c r="AF4" s="4"/>
      <c r="AG4" s="4"/>
      <c r="AH4" s="1"/>
      <c r="AI4" s="1"/>
      <c r="AJ4" s="1"/>
      <c r="AK4" s="1"/>
      <c r="AL4" s="1"/>
      <c r="AM4" s="1"/>
      <c r="AN4" s="1"/>
      <c r="AO4" s="1"/>
      <c r="AP4" s="1"/>
      <c r="AQ4" s="1"/>
      <c r="AR4" s="1"/>
      <c r="AS4" s="1"/>
      <c r="AT4" s="1"/>
      <c r="AU4" s="1"/>
    </row>
    <row r="5" spans="1:47" ht="34.5" customHeight="1" thickBot="1" x14ac:dyDescent="0.3">
      <c r="A5" s="116"/>
      <c r="B5" s="138"/>
      <c r="C5" s="149"/>
      <c r="D5" s="137"/>
      <c r="E5" s="148"/>
      <c r="F5" s="148" t="str">
        <f>IF(Examples!F2="","","● Selecteer een voorbeeld samenstelling in cel K7 om deze in te zien. Kopieer de gegevens in kolom I om er berekeningen mee uit te voeren.")</f>
        <v>● Selecteer een voorbeeld samenstelling in cel K7 om deze in te zien. Kopieer de gegevens in kolom I om er berekeningen mee uit te voeren.</v>
      </c>
      <c r="G5" s="148" t="str">
        <f>IF(Examples!F2="","","● Select a fuel in cel K7 in order to see an example composition. Copy the data in column I to perform calculations with the example composition.")</f>
        <v>● Select a fuel in cel K7 in order to see an example composition. Copy the data in column I to perform calculations with the example composition.</v>
      </c>
      <c r="H5" s="338"/>
      <c r="I5" s="339"/>
      <c r="J5" s="339"/>
      <c r="K5" s="340"/>
      <c r="L5" s="295" t="str">
        <f>IF(INDEX(F5:G5,'Combustion Emissions'!$J$54)="","",INDEX(F5:G5,'Combustion Emissions'!$J$54))</f>
        <v>● Selecteer een voorbeeld samenstelling in cel K7 om deze in te zien. Kopieer de gegevens in kolom I om er berekeningen mee uit te voeren.</v>
      </c>
      <c r="M5" s="330"/>
      <c r="N5" s="330"/>
      <c r="O5" s="330"/>
      <c r="P5" s="331"/>
      <c r="Q5" s="331"/>
      <c r="R5" s="331"/>
      <c r="S5" s="1"/>
      <c r="T5" s="1"/>
      <c r="U5" s="1"/>
      <c r="V5" s="1"/>
      <c r="W5" s="1"/>
      <c r="X5" s="8"/>
      <c r="Y5" s="330"/>
      <c r="Z5" s="330"/>
      <c r="AA5" s="330"/>
      <c r="AB5" s="1"/>
      <c r="AC5" s="1"/>
      <c r="AD5" s="1"/>
      <c r="AE5" s="1"/>
      <c r="AF5" s="1"/>
      <c r="AG5" s="1"/>
      <c r="AH5" s="1"/>
      <c r="AI5" s="10"/>
      <c r="AJ5" s="10"/>
      <c r="AK5" s="10"/>
      <c r="AL5" s="8"/>
      <c r="AM5" s="8"/>
      <c r="AN5" s="8"/>
      <c r="AO5" s="8"/>
      <c r="AP5" s="8"/>
      <c r="AQ5" s="8"/>
      <c r="AR5" s="8"/>
      <c r="AS5" s="8"/>
      <c r="AT5" s="8"/>
      <c r="AU5" s="8"/>
    </row>
    <row r="6" spans="1:47" ht="15" customHeight="1" thickBot="1" x14ac:dyDescent="0.3">
      <c r="A6" s="122"/>
      <c r="B6" s="137" t="s">
        <v>155</v>
      </c>
      <c r="C6" s="148" t="s">
        <v>211</v>
      </c>
      <c r="D6" s="137"/>
      <c r="E6" s="148"/>
      <c r="F6" s="148"/>
      <c r="G6" s="148"/>
      <c r="H6" s="178" t="str">
        <f>INDEX(B6:C6,'Combustion Emissions'!$J$54)</f>
        <v>Verbrandingsparameters</v>
      </c>
      <c r="I6" s="186"/>
      <c r="J6" s="341" t="str">
        <f>IF(Examples!D18="","",IF('Combustion Emissions'!$J$54=1,CONCATENATE("Voorbeeld: ",K7),CONCATENATE("Example: ",K7)))</f>
        <v/>
      </c>
      <c r="K6" s="342"/>
      <c r="L6" s="187"/>
      <c r="M6" s="307" t="s">
        <v>214</v>
      </c>
      <c r="N6" s="307"/>
      <c r="O6" s="307"/>
      <c r="P6" s="7"/>
      <c r="Q6" s="307" t="s">
        <v>215</v>
      </c>
      <c r="R6" s="307"/>
      <c r="S6" s="307"/>
      <c r="T6" s="7"/>
      <c r="U6" s="307" t="s">
        <v>216</v>
      </c>
      <c r="V6" s="307"/>
      <c r="W6" s="307"/>
      <c r="X6" s="8"/>
      <c r="Y6" s="307" t="s">
        <v>217</v>
      </c>
      <c r="Z6" s="307"/>
      <c r="AA6" s="307"/>
      <c r="AB6" s="7"/>
      <c r="AC6" s="307" t="s">
        <v>218</v>
      </c>
      <c r="AD6" s="307"/>
      <c r="AE6" s="307"/>
      <c r="AF6" s="10"/>
      <c r="AG6" s="343" t="s">
        <v>221</v>
      </c>
      <c r="AH6" s="343"/>
      <c r="AI6" s="343"/>
      <c r="AJ6" s="343"/>
      <c r="AK6" s="343"/>
      <c r="AL6" s="343"/>
      <c r="AM6" s="126"/>
      <c r="AN6" s="8"/>
      <c r="AO6" s="8"/>
      <c r="AP6" s="8"/>
      <c r="AQ6" s="8"/>
      <c r="AR6" s="8"/>
      <c r="AS6" s="8"/>
      <c r="AT6" s="8"/>
      <c r="AU6" s="8"/>
    </row>
    <row r="7" spans="1:47" ht="18" customHeight="1" thickBot="1" x14ac:dyDescent="0.3">
      <c r="B7" s="137" t="s">
        <v>157</v>
      </c>
      <c r="C7" s="148" t="s">
        <v>212</v>
      </c>
      <c r="D7" s="137" t="str">
        <f>IF('Combustion Emissions'!$J$54=1,"Omschrijving","Description")</f>
        <v>Omschrijving</v>
      </c>
      <c r="E7" s="148"/>
      <c r="F7" s="138" t="s">
        <v>256</v>
      </c>
      <c r="G7" s="149" t="s">
        <v>313</v>
      </c>
      <c r="H7" s="169" t="str">
        <f>INDEX(B7:C7,'Combustion Emissions'!$J$54)</f>
        <v>Brandstoftype</v>
      </c>
      <c r="I7" s="123"/>
      <c r="J7" s="267"/>
      <c r="K7" s="290" t="s">
        <v>316</v>
      </c>
      <c r="L7" s="188" t="str">
        <f>IF(INDEX(F7:G7,'Combustion Emissions'!$J$54)="","",INDEX(F7:G7,'Combustion Emissions'!$J$54))</f>
        <v>● Selecteer het type brandstof en voer de omschrijving in.</v>
      </c>
      <c r="M7" s="158"/>
      <c r="N7" s="38" t="s">
        <v>152</v>
      </c>
      <c r="O7" s="86" t="str">
        <f>IF($AI$7&lt;&gt;1,"",IF($I7="","",$I7))</f>
        <v/>
      </c>
      <c r="P7" s="8"/>
      <c r="Q7" s="37"/>
      <c r="R7" s="38" t="s">
        <v>153</v>
      </c>
      <c r="S7" s="86" t="str">
        <f>IF($AI$7&lt;&gt;2,"",IF($I7="","",$I7))</f>
        <v/>
      </c>
      <c r="T7" s="8"/>
      <c r="U7" s="37"/>
      <c r="V7" s="38" t="s">
        <v>154</v>
      </c>
      <c r="W7" s="86" t="str">
        <f>IF($AI$7&lt;&gt;3,"",IF($I7="","",$I7))</f>
        <v/>
      </c>
      <c r="X7" s="8"/>
      <c r="Y7" s="37"/>
      <c r="Z7" s="38" t="s">
        <v>152</v>
      </c>
      <c r="AA7" s="86" t="str">
        <f>IF('Combustion Emissions'!$J$54=1,"Vergistingsgas","Fermentation gas")</f>
        <v>Vergistingsgas</v>
      </c>
      <c r="AB7" s="8"/>
      <c r="AC7" s="37"/>
      <c r="AD7" s="38" t="s">
        <v>154</v>
      </c>
      <c r="AE7" s="86" t="str">
        <f>IF('Combustion Emissions'!$J$54=1,"Hout","Wood")</f>
        <v>Hout</v>
      </c>
      <c r="AF7" s="110"/>
      <c r="AG7" s="8" t="s">
        <v>141</v>
      </c>
      <c r="AH7" s="10">
        <f>IF(AK7=1,1,IF(AK7=2,1+AM7,3+AM7))</f>
        <v>1</v>
      </c>
      <c r="AI7" s="8">
        <f>INDEX(AI8:AI12,AH7)</f>
        <v>1</v>
      </c>
      <c r="AJ7" s="8" t="str">
        <f>IF('Combustion Emissions'!$J$54=1,"Brandstof","Fuel")</f>
        <v>Brandstof</v>
      </c>
      <c r="AK7" s="84">
        <v>1</v>
      </c>
      <c r="AL7" s="8" t="s">
        <v>156</v>
      </c>
      <c r="AM7" s="84">
        <v>2</v>
      </c>
      <c r="AN7" s="8"/>
      <c r="AO7" s="8"/>
      <c r="AP7" s="8"/>
      <c r="AQ7" s="8"/>
      <c r="AR7" s="8"/>
      <c r="AS7" s="8"/>
      <c r="AT7" s="8"/>
      <c r="AU7" s="8"/>
    </row>
    <row r="8" spans="1:47" ht="18" customHeight="1" x14ac:dyDescent="0.25">
      <c r="B8" s="137" t="str">
        <f>IF($AH$7=1,IF(M8="","",M8),IF($AI$7=2,IF(Q8="","",Q8),IF(U8="","",U8)))</f>
        <v>Onderste verbrandingswaarde (stookwaarde)</v>
      </c>
      <c r="C8" s="148" t="str">
        <f>IF(B8="","","Lower heating value (net calorific value)")</f>
        <v>Lower heating value (net calorific value)</v>
      </c>
      <c r="D8" s="137" t="str">
        <f>IF($AH$7=1,IF(N8="","",N8),IF($AI$7=2,IF(R8="","",R8),IF(V8="","",V8)))</f>
        <v>kJ/Nm³</v>
      </c>
      <c r="E8" s="148" t="str">
        <f>D8</f>
        <v>kJ/Nm³</v>
      </c>
      <c r="F8" s="138" t="s">
        <v>258</v>
      </c>
      <c r="G8" s="149" t="s">
        <v>257</v>
      </c>
      <c r="H8" s="169" t="str">
        <f>INDEX(B8:C8,'Combustion Emissions'!$J$54)</f>
        <v>Onderste verbrandingswaarde (stookwaarde)</v>
      </c>
      <c r="I8" s="103"/>
      <c r="J8" s="268" t="str">
        <f>INDEX(D8:E8,'Combustion Emissions'!$J$54)</f>
        <v>kJ/Nm³</v>
      </c>
      <c r="K8" s="293" t="str">
        <f>IF(Examples!D21="","",Examples!D21)</f>
        <v/>
      </c>
      <c r="L8" s="333" t="str">
        <f>IF(INDEX(F8:G8,'Combustion Emissions'!$J$54)="","",INDEX(F8:G8,'Combustion Emissions'!$J$54))</f>
        <v>● Voor vloeibare en vaste brandstoffen moet u de stookwaarde in kJ/kg invoeren. Voor gasvormige brandstoffen is dat niet verplicht, omdat de stookwaarde wordt berekend op basis van de samenstelling.</v>
      </c>
      <c r="M8" s="16" t="s">
        <v>174</v>
      </c>
      <c r="N8" s="13" t="s">
        <v>284</v>
      </c>
      <c r="O8" s="86" t="str">
        <f>IF($AI$7&lt;&gt;1,"",IF($I8="","",$I8))</f>
        <v/>
      </c>
      <c r="P8" s="10"/>
      <c r="Q8" s="39" t="s">
        <v>174</v>
      </c>
      <c r="R8" s="14" t="s">
        <v>53</v>
      </c>
      <c r="S8" s="86" t="str">
        <f>IF($AI$7&lt;&gt;2,"",IF($I8="","",$I8))</f>
        <v/>
      </c>
      <c r="T8" s="10"/>
      <c r="U8" s="39" t="s">
        <v>174</v>
      </c>
      <c r="V8" s="14" t="s">
        <v>53</v>
      </c>
      <c r="W8" s="94" t="str">
        <f>IF($AI$7&lt;&gt;3,"",IF($I8="","",$I8))</f>
        <v/>
      </c>
      <c r="X8" s="10"/>
      <c r="Y8" s="39" t="s">
        <v>174</v>
      </c>
      <c r="Z8" s="13" t="s">
        <v>52</v>
      </c>
      <c r="AA8" s="86"/>
      <c r="AB8" s="10"/>
      <c r="AC8" s="39" t="s">
        <v>174</v>
      </c>
      <c r="AD8" s="14" t="s">
        <v>53</v>
      </c>
      <c r="AE8" s="94">
        <f ca="1">IF('Combustion Emissions'!$I$56=1,(18500*(1-AE35)-AE35*2300),"")</f>
        <v>10180</v>
      </c>
      <c r="AF8" s="111"/>
      <c r="AG8" s="8" t="s">
        <v>142</v>
      </c>
      <c r="AH8" s="8"/>
      <c r="AI8" s="8">
        <v>1</v>
      </c>
      <c r="AJ8" s="8" t="str">
        <f>IF('Combustion Emissions'!$J$54=1,"gasvormige brandstof","gaseous fuel")</f>
        <v>gasvormige brandstof</v>
      </c>
      <c r="AK8" s="8"/>
      <c r="AL8" s="8" t="str">
        <f>IF(AK7=1,"mol%","mol/kg")</f>
        <v>mol%</v>
      </c>
      <c r="AM8" s="185"/>
      <c r="AN8" s="8"/>
      <c r="AO8" s="8"/>
      <c r="AP8" s="8"/>
      <c r="AQ8" s="8"/>
      <c r="AR8" s="8"/>
      <c r="AS8" s="8"/>
      <c r="AT8" s="8"/>
      <c r="AU8" s="8"/>
    </row>
    <row r="9" spans="1:47" ht="18" customHeight="1" x14ac:dyDescent="0.25">
      <c r="B9" s="137" t="s">
        <v>58</v>
      </c>
      <c r="C9" s="148" t="s">
        <v>213</v>
      </c>
      <c r="D9" s="137" t="str">
        <f ca="1">IF($AH$7=1,IF(O9="","",O9),IF($AI$7=2,IF(S9="","",S9),IF(W9="","",W9)))</f>
        <v/>
      </c>
      <c r="E9" s="148" t="str">
        <f ca="1">IF(D9="samenstelling","composition",D9)</f>
        <v/>
      </c>
      <c r="F9" s="148"/>
      <c r="G9" s="148"/>
      <c r="H9" s="170" t="str">
        <f>INDEX(B9:C9,'Combustion Emissions'!$J$54)</f>
        <v>Berekeningsmethode</v>
      </c>
      <c r="I9" s="130" t="str">
        <f ca="1">INDEX(D9:E9,'Combustion Emissions'!$J$54)</f>
        <v/>
      </c>
      <c r="J9" s="270" t="str">
        <f>IF($AH$7=1,IF(N9="","",N9),IF($AI$7=2,IF(R9="","",R9),IF(V9="","",V9)))</f>
        <v/>
      </c>
      <c r="K9" s="284"/>
      <c r="L9" s="334"/>
      <c r="M9" s="159" t="s">
        <v>58</v>
      </c>
      <c r="N9" s="23"/>
      <c r="O9" s="81" t="str">
        <f ca="1">IF('Combustion Emissions'!$I$56=1,IF(O90="",IF(O10="","","DIN1942"),"samenstelling"),"")</f>
        <v/>
      </c>
      <c r="P9" s="10"/>
      <c r="Q9" s="46" t="s">
        <v>58</v>
      </c>
      <c r="R9" s="83"/>
      <c r="S9" s="81" t="str">
        <f ca="1">IF('Combustion Emissions'!$I$56=1,IF(OR(S80=0,S80=""),IF(S8="","","DIN1942"),"samenstelling"),"")</f>
        <v/>
      </c>
      <c r="T9" s="10"/>
      <c r="U9" s="46" t="s">
        <v>58</v>
      </c>
      <c r="V9" s="83"/>
      <c r="W9" s="81" t="str">
        <f ca="1">IF('Combustion Emissions'!$I$56=1,IF(OR(W80=0,W80=""),IF(W8="","","DIN1942"),"samenstelling"),"")</f>
        <v/>
      </c>
      <c r="X9" s="10"/>
      <c r="Y9" s="46" t="s">
        <v>58</v>
      </c>
      <c r="Z9" s="23"/>
      <c r="AA9" s="81" t="str">
        <f ca="1">IF('Combustion Emissions'!$I$56=1,IF(AA90="",IF(AA10="","","DIN1942"),"samenstelling"),"")</f>
        <v>samenstelling</v>
      </c>
      <c r="AB9" s="10"/>
      <c r="AC9" s="46" t="s">
        <v>58</v>
      </c>
      <c r="AD9" s="83"/>
      <c r="AE9" s="81" t="str">
        <f ca="1">IF('Combustion Emissions'!$I$56=1,IF(OR(AE80=0,AE80=""),IF(AE8="","","DIN1942"),"samenstelling"),"")</f>
        <v>samenstelling</v>
      </c>
      <c r="AF9" s="74"/>
      <c r="AG9" s="8" t="s">
        <v>143</v>
      </c>
      <c r="AH9" s="8"/>
      <c r="AI9" s="8">
        <v>2</v>
      </c>
      <c r="AJ9" s="8" t="str">
        <f>IF('Combustion Emissions'!$J$54=1,"vloeibare brandstof","liquid fuel")</f>
        <v>vloeibare brandstof</v>
      </c>
      <c r="AK9" s="8"/>
      <c r="AL9" s="8" t="str">
        <f>IF(AK7=1,"mol%",IF(AK7=2,IF('Combustion Emissions'!$J$54=1,"gew%","weight%"),IF('Combustion Emissions'!$J$54=1,"gew% droog","weight% dry")))</f>
        <v>mol%</v>
      </c>
      <c r="AM9" s="8"/>
      <c r="AN9" s="8"/>
      <c r="AO9" s="8"/>
      <c r="AP9" s="8"/>
      <c r="AQ9" s="8"/>
      <c r="AR9" s="8"/>
      <c r="AS9" s="8"/>
      <c r="AT9" s="8"/>
      <c r="AU9" s="8"/>
    </row>
    <row r="10" spans="1:47" x14ac:dyDescent="0.25">
      <c r="B10" s="137" t="str">
        <f t="shared" ref="B10:B22" si="0">IF($AH$7=1,IF(M10="","",M10),IF($AI$7=2,IF(Q10="","",Q10),IF(U10="","",U10)))</f>
        <v>Berekende onderste verbrandingswaarde (stookwaarde)</v>
      </c>
      <c r="C10" s="148" t="str">
        <f>IF(LEFT(B10,1)="B","Calculated lower heating value (net calorific value)","Lower heating value (net calorific value)")</f>
        <v>Calculated lower heating value (net calorific value)</v>
      </c>
      <c r="D10" s="137" t="str">
        <f t="shared" ref="D10:D22" si="1">IF($AH$7=1,IF(N10="","",N10),IF($AI$7=2,IF(R10="","",R10),IF(V10="","",V10)))</f>
        <v>MJ/Nm³</v>
      </c>
      <c r="E10" s="148" t="str">
        <f>D10</f>
        <v>MJ/Nm³</v>
      </c>
      <c r="F10" s="148"/>
      <c r="G10" s="148"/>
      <c r="H10" s="169" t="str">
        <f>INDEX(B10:C10,'Combustion Emissions'!$J$54)</f>
        <v>Berekende onderste verbrandingswaarde (stookwaarde)</v>
      </c>
      <c r="I10" s="104" t="str">
        <f t="shared" ref="I10:I22" ca="1" si="2">IF($AH$7=1,IF(O10="","",O10),IF($AI$7=2,IF(S10="","",S10),IF(W10="","",W10)))</f>
        <v/>
      </c>
      <c r="J10" s="267" t="str">
        <f>INDEX(D10:E10,'Combustion Emissions'!$J$54)</f>
        <v>MJ/Nm³</v>
      </c>
      <c r="K10" s="292"/>
      <c r="L10" s="179" t="str">
        <f>IF(INDEX(F10:G10,'Combustion Emissions'!$J$54)="","",INDEX(F10:G10,'Combustion Emissions'!$J$54))</f>
        <v/>
      </c>
      <c r="M10" s="160" t="s">
        <v>175</v>
      </c>
      <c r="N10" s="12" t="s">
        <v>280</v>
      </c>
      <c r="O10" s="41" t="str">
        <f ca="1">IF('Combustion Emissions'!$I$56=1,IF(O91="",IF(O8="","",O8/1000),O91),"")</f>
        <v/>
      </c>
      <c r="P10" s="10"/>
      <c r="Q10" s="40" t="s">
        <v>174</v>
      </c>
      <c r="R10" s="17" t="s">
        <v>55</v>
      </c>
      <c r="S10" s="41" t="str">
        <f ca="1">IF('Combustion Emissions'!$I$56=1,IF(S8="","",S8/1000),"")</f>
        <v/>
      </c>
      <c r="T10" s="10"/>
      <c r="U10" s="40" t="s">
        <v>174</v>
      </c>
      <c r="V10" s="17" t="s">
        <v>55</v>
      </c>
      <c r="W10" s="41" t="str">
        <f ca="1">IF('Combustion Emissions'!$I$56=1,IF(W8="","",W8/1000),"")</f>
        <v/>
      </c>
      <c r="X10" s="10"/>
      <c r="Y10" s="40" t="s">
        <v>51</v>
      </c>
      <c r="Z10" s="12" t="str">
        <f>N10</f>
        <v>MJ/Nm³</v>
      </c>
      <c r="AA10" s="41">
        <f ca="1">IF('Combustion Emissions'!$I$56=1,IF(AA91="",IF(AA8="","",AA8/1000),AA91),"")</f>
        <v>14.369836623354386</v>
      </c>
      <c r="AB10" s="10"/>
      <c r="AC10" s="40" t="s">
        <v>51</v>
      </c>
      <c r="AD10" s="17" t="s">
        <v>55</v>
      </c>
      <c r="AE10" s="41">
        <f ca="1">IF('Combustion Emissions'!$I$56=1,IF(AE8="","",AE8/1000),"")</f>
        <v>10.18</v>
      </c>
      <c r="AF10" s="75"/>
      <c r="AG10" s="8" t="s">
        <v>145</v>
      </c>
      <c r="AH10" s="8"/>
      <c r="AI10" s="8">
        <v>2</v>
      </c>
      <c r="AJ10" s="8" t="str">
        <f>IF('Combustion Emissions'!$J$54=1,"vaste brandstof","solid fuel")</f>
        <v>vaste brandstof</v>
      </c>
      <c r="AK10" s="8"/>
      <c r="AL10" s="8"/>
      <c r="AM10" s="8"/>
      <c r="AN10" s="8"/>
      <c r="AO10" s="8"/>
      <c r="AP10" s="8"/>
      <c r="AQ10" s="8"/>
      <c r="AR10" s="8"/>
      <c r="AS10" s="8"/>
      <c r="AT10" s="8"/>
      <c r="AU10" s="8"/>
    </row>
    <row r="11" spans="1:47" x14ac:dyDescent="0.25">
      <c r="B11" s="137" t="str">
        <f t="shared" si="0"/>
        <v>Bovenste verbrandingswaarde</v>
      </c>
      <c r="C11" s="148" t="str">
        <f>IF(B11="","","Higher heating value (gross calorific value)")</f>
        <v>Higher heating value (gross calorific value)</v>
      </c>
      <c r="D11" s="137" t="str">
        <f t="shared" si="1"/>
        <v>MJ/Nm³</v>
      </c>
      <c r="E11" s="148" t="str">
        <f>D11</f>
        <v>MJ/Nm³</v>
      </c>
      <c r="F11" s="148"/>
      <c r="G11" s="148"/>
      <c r="H11" s="169" t="str">
        <f>INDEX(B11:C11,'Combustion Emissions'!$J$54)</f>
        <v>Bovenste verbrandingswaarde</v>
      </c>
      <c r="I11" s="105" t="str">
        <f t="shared" ca="1" si="2"/>
        <v/>
      </c>
      <c r="J11" s="267" t="str">
        <f>INDEX(D11:E11,'Combustion Emissions'!$J$54)</f>
        <v>MJ/Nm³</v>
      </c>
      <c r="K11" s="292"/>
      <c r="L11" s="179" t="str">
        <f>IF(INDEX(F11:G11,'Combustion Emissions'!$J$54)="","",INDEX(F11:G11,'Combustion Emissions'!$J$54))</f>
        <v/>
      </c>
      <c r="M11" s="16" t="s">
        <v>56</v>
      </c>
      <c r="N11" s="13" t="str">
        <f>N10</f>
        <v>MJ/Nm³</v>
      </c>
      <c r="O11" s="42" t="str">
        <f ca="1">IF(O88="",IF(O10="","",O10+(IF(O9="DIN1942",O79,O71)-O18)*44.0136/21.629),O88)</f>
        <v/>
      </c>
      <c r="P11" s="8"/>
      <c r="Q11" s="39" t="s">
        <v>56</v>
      </c>
      <c r="R11" s="14" t="s">
        <v>55</v>
      </c>
      <c r="S11" s="42" t="str">
        <f>IF(S8="","",S10+(IF(S9="DIN1942",S79,S71)-S18)*44.0136/21.629)</f>
        <v/>
      </c>
      <c r="T11" s="8"/>
      <c r="U11" s="39" t="s">
        <v>56</v>
      </c>
      <c r="V11" s="14" t="s">
        <v>55</v>
      </c>
      <c r="W11" s="42" t="str">
        <f ca="1">IF(W10="","",W10+(IF(W9="DIN1942",W79,W71)-W18)*44.0136/21.629)</f>
        <v/>
      </c>
      <c r="X11" s="8"/>
      <c r="Y11" s="39" t="s">
        <v>56</v>
      </c>
      <c r="Z11" s="13" t="str">
        <f>Z10</f>
        <v>MJ/Nm³</v>
      </c>
      <c r="AA11" s="42">
        <f ca="1">IF(AA88="",IF(AA10="","",AA10+(IF(AA9="DIN1942",AA79,AA71)-AA18)*44.0136/21.629),AA88)</f>
        <v>15.946521060520519</v>
      </c>
      <c r="AB11" s="8"/>
      <c r="AC11" s="39" t="s">
        <v>56</v>
      </c>
      <c r="AD11" s="14" t="s">
        <v>55</v>
      </c>
      <c r="AE11" s="42">
        <f ca="1">IF(AE10="","",AE10+(IF(AE9="DIN1942",AE79,AE71)-AE18)*44.0136/21.629)</f>
        <v>11.969491055927941</v>
      </c>
      <c r="AF11" s="112"/>
      <c r="AG11" s="8" t="s">
        <v>144</v>
      </c>
      <c r="AH11" s="8"/>
      <c r="AI11" s="8">
        <v>3</v>
      </c>
      <c r="AJ11" s="8" t="str">
        <f ca="1">IF(I10="",CONCATENATE(AJ7," 1",IF('Combustion Emissions'!$J$54=1," (vul gegevens in werkblad &lt;Fuel1&gt; in)"," (enter data in worksheet &lt;Fuel1&gt;)")),CONCATENATE(IF(I7&lt;&gt;"",I7,CONCATENATE(INDEX(AJ8:AJ10,AK7)," 1"))))</f>
        <v>Brandstof 1 (vul gegevens in werkblad &lt;Fuel1&gt; in)</v>
      </c>
      <c r="AK11" s="8"/>
      <c r="AL11" s="8"/>
      <c r="AM11" s="8"/>
      <c r="AN11" s="8"/>
      <c r="AO11" s="8"/>
      <c r="AP11" s="8"/>
      <c r="AQ11" s="8"/>
      <c r="AR11" s="8"/>
      <c r="AS11" s="8"/>
      <c r="AT11" s="8"/>
      <c r="AU11" s="8"/>
    </row>
    <row r="12" spans="1:47" x14ac:dyDescent="0.25">
      <c r="B12" s="137" t="str">
        <f t="shared" si="0"/>
        <v>Wobbe-index</v>
      </c>
      <c r="C12" s="148" t="str">
        <f>IF(B12="","","Wobbe index")</f>
        <v>Wobbe index</v>
      </c>
      <c r="D12" s="137" t="str">
        <f t="shared" si="1"/>
        <v>MJ/Nm³</v>
      </c>
      <c r="E12" s="148" t="str">
        <f>D12</f>
        <v>MJ/Nm³</v>
      </c>
      <c r="F12" s="148"/>
      <c r="G12" s="148"/>
      <c r="H12" s="169" t="str">
        <f>INDEX(B12:C12,'Combustion Emissions'!$J$54)</f>
        <v>Wobbe-index</v>
      </c>
      <c r="I12" s="105" t="str">
        <f t="shared" ca="1" si="2"/>
        <v/>
      </c>
      <c r="J12" s="267" t="str">
        <f>INDEX(D12:E12,'Combustion Emissions'!$J$54)</f>
        <v>MJ/Nm³</v>
      </c>
      <c r="K12" s="284"/>
      <c r="L12" s="281" t="str">
        <f>IF(INDEX(F12:G12,'Combustion Emissions'!$J$54)="","",INDEX(F12:G12,'Combustion Emissions'!$J$54))</f>
        <v/>
      </c>
      <c r="M12" s="16" t="s">
        <v>57</v>
      </c>
      <c r="N12" s="13" t="str">
        <f>N11</f>
        <v>MJ/Nm³</v>
      </c>
      <c r="O12" s="42" t="str">
        <f ca="1">IF(O89="",IF(OR(O8="",$A5=0),"",O11/SQRT(0.82/1.293)),O89)</f>
        <v/>
      </c>
      <c r="P12" s="8"/>
      <c r="Q12" s="39"/>
      <c r="R12" s="14"/>
      <c r="S12" s="59"/>
      <c r="T12" s="8"/>
      <c r="U12" s="39"/>
      <c r="V12" s="14"/>
      <c r="W12" s="59"/>
      <c r="X12" s="8"/>
      <c r="Y12" s="39" t="s">
        <v>57</v>
      </c>
      <c r="Z12" s="13" t="str">
        <f>Z11</f>
        <v>MJ/Nm³</v>
      </c>
      <c r="AA12" s="42">
        <f ca="1">IF(AA89="",IF(OR(AA8="",$A5=0),"",AA11/SQRT(0.82/1.293)),AA89)</f>
        <v>14.943344590554805</v>
      </c>
      <c r="AB12" s="8"/>
      <c r="AC12" s="39"/>
      <c r="AD12" s="14"/>
      <c r="AE12" s="59"/>
      <c r="AF12" s="113"/>
      <c r="AG12" s="8" t="s">
        <v>146</v>
      </c>
      <c r="AH12" s="8"/>
      <c r="AI12" s="8">
        <v>3</v>
      </c>
      <c r="AJ12" s="8"/>
      <c r="AK12" s="8"/>
      <c r="AL12" s="8"/>
      <c r="AM12" s="8"/>
      <c r="AN12" s="8"/>
      <c r="AO12" s="8"/>
      <c r="AP12" s="8"/>
      <c r="AQ12" s="8"/>
      <c r="AR12" s="8"/>
      <c r="AS12" s="8"/>
      <c r="AT12" s="8"/>
      <c r="AU12" s="8"/>
    </row>
    <row r="13" spans="1:47" x14ac:dyDescent="0.25">
      <c r="B13" s="137" t="str">
        <f t="shared" si="0"/>
        <v>Stoichiometrisch droog rookgasvolume</v>
      </c>
      <c r="C13" s="148" t="str">
        <f>IF(B13="","","Stoichiometric flue gas flow")</f>
        <v>Stoichiometric flue gas flow</v>
      </c>
      <c r="D13" s="137" t="str">
        <f t="shared" si="1"/>
        <v>Nm³/MJ</v>
      </c>
      <c r="E13" s="148" t="str">
        <f>D13</f>
        <v>Nm³/MJ</v>
      </c>
      <c r="F13" s="148"/>
      <c r="G13" s="148"/>
      <c r="H13" s="171" t="str">
        <f>INDEX(B13:C13,'Combustion Emissions'!$J$54)</f>
        <v>Stoichiometrisch droog rookgasvolume</v>
      </c>
      <c r="I13" s="131" t="str">
        <f t="shared" ca="1" si="2"/>
        <v/>
      </c>
      <c r="J13" s="269" t="str">
        <f>INDEX(D13:E13,'Combustion Emissions'!$J$54)</f>
        <v>Nm³/MJ</v>
      </c>
      <c r="K13" s="292"/>
      <c r="L13" s="179" t="str">
        <f>IF(INDEX(F13:G13,'Combustion Emissions'!$J$54)="","",INDEX(F13:G13,'Combustion Emissions'!$J$54))</f>
        <v/>
      </c>
      <c r="M13" s="161" t="str">
        <f>M18</f>
        <v>Stoichiometrisch droog rookgasvolume</v>
      </c>
      <c r="N13" s="25" t="s">
        <v>281</v>
      </c>
      <c r="O13" s="97" t="str">
        <f ca="1">IF(O18="","",O18/O$10)</f>
        <v/>
      </c>
      <c r="P13" s="10"/>
      <c r="Q13" s="47" t="str">
        <f>Q18</f>
        <v>Stoichiometrisch droog rookgasvolume</v>
      </c>
      <c r="R13" s="25" t="str">
        <f>N13</f>
        <v>Nm³/MJ</v>
      </c>
      <c r="S13" s="97" t="str">
        <f>IF(S18="","",S18/S$10)</f>
        <v/>
      </c>
      <c r="T13" s="10"/>
      <c r="U13" s="47" t="str">
        <f>U18</f>
        <v>Stoichiometrisch droog rookgasvolume</v>
      </c>
      <c r="V13" s="25" t="str">
        <f>R13</f>
        <v>Nm³/MJ</v>
      </c>
      <c r="W13" s="97" t="str">
        <f ca="1">IF(W18="","",W18/W$10)</f>
        <v/>
      </c>
      <c r="X13" s="10"/>
      <c r="Y13" s="47" t="str">
        <f>Y18</f>
        <v>Stoichiometrisch droog rookgasvolume</v>
      </c>
      <c r="Z13" s="25" t="str">
        <f>N13</f>
        <v>Nm³/MJ</v>
      </c>
      <c r="AA13" s="97">
        <f ca="1">IF(AA18="","",AA18/AA$10)</f>
        <v>0.28001295750081329</v>
      </c>
      <c r="AB13" s="10"/>
      <c r="AC13" s="47" t="str">
        <f>AC18</f>
        <v>Stoichiometrisch droog rookgasvolume</v>
      </c>
      <c r="AD13" s="25" t="str">
        <f>Z13</f>
        <v>Nm³/MJ</v>
      </c>
      <c r="AE13" s="97">
        <f ca="1">IF(AE18="","",AE18/AE$10)</f>
        <v>0.23236431852811609</v>
      </c>
      <c r="AF13" s="74"/>
      <c r="AG13" s="74"/>
      <c r="AH13" s="74"/>
      <c r="AI13" s="74"/>
      <c r="AJ13" s="74"/>
      <c r="AK13" s="74"/>
      <c r="AL13" s="18"/>
      <c r="AM13" s="8"/>
      <c r="AN13" s="8"/>
      <c r="AO13" s="8"/>
      <c r="AP13" s="8"/>
      <c r="AQ13" s="8"/>
      <c r="AR13" s="8"/>
      <c r="AS13" s="8"/>
      <c r="AT13" s="8"/>
      <c r="AU13" s="8"/>
    </row>
    <row r="14" spans="1:47" x14ac:dyDescent="0.25">
      <c r="B14" s="137" t="str">
        <f t="shared" si="0"/>
        <v>Stoichiometrisch luchtverbruik</v>
      </c>
      <c r="C14" s="148" t="str">
        <f>IF(B14="","","Stoichiometric air demand")</f>
        <v>Stoichiometric air demand</v>
      </c>
      <c r="D14" s="137" t="str">
        <f t="shared" si="1"/>
        <v>Nm³/MJ</v>
      </c>
      <c r="E14" s="148" t="str">
        <f t="shared" ref="E14:E22" si="3">D14</f>
        <v>Nm³/MJ</v>
      </c>
      <c r="F14" s="148"/>
      <c r="G14" s="148"/>
      <c r="H14" s="169" t="str">
        <f>INDEX(B14:C14,'Combustion Emissions'!$J$54)</f>
        <v>Stoichiometrisch luchtverbruik</v>
      </c>
      <c r="I14" s="106" t="str">
        <f t="shared" ca="1" si="2"/>
        <v/>
      </c>
      <c r="J14" s="267" t="str">
        <f>INDEX(D14:E14,'Combustion Emissions'!$J$54)</f>
        <v>Nm³/MJ</v>
      </c>
      <c r="K14" s="292"/>
      <c r="L14" s="179" t="str">
        <f>IF(INDEX(F14:G14,'Combustion Emissions'!$J$54)="","",INDEX(F14:G14,'Combustion Emissions'!$J$54))</f>
        <v/>
      </c>
      <c r="M14" s="16" t="str">
        <f>M19</f>
        <v>Stoichiometrisch luchtverbruik</v>
      </c>
      <c r="N14" s="13" t="str">
        <f>N13</f>
        <v>Nm³/MJ</v>
      </c>
      <c r="O14" s="43" t="str">
        <f ca="1">IF(O19="","",O19/O$10)</f>
        <v/>
      </c>
      <c r="P14" s="10"/>
      <c r="Q14" s="39" t="str">
        <f>Q19</f>
        <v>Stoichiometrisch luchtverbruik</v>
      </c>
      <c r="R14" s="13" t="str">
        <f>R13</f>
        <v>Nm³/MJ</v>
      </c>
      <c r="S14" s="43" t="str">
        <f>IF(S19="","",S19/S$10)</f>
        <v/>
      </c>
      <c r="T14" s="10"/>
      <c r="U14" s="39" t="str">
        <f>U19</f>
        <v>Stoichiometrisch luchtverbruik</v>
      </c>
      <c r="V14" s="13" t="str">
        <f>V13</f>
        <v>Nm³/MJ</v>
      </c>
      <c r="W14" s="43" t="str">
        <f ca="1">IF(W19="","",W19/W$10)</f>
        <v/>
      </c>
      <c r="X14" s="10"/>
      <c r="Y14" s="39" t="str">
        <f>Y19</f>
        <v>Stoichiometrisch luchtverbruik</v>
      </c>
      <c r="Z14" s="13" t="str">
        <f>Z13</f>
        <v>Nm³/MJ</v>
      </c>
      <c r="AA14" s="43">
        <f ca="1">IF(AA19="","",AA19/AA$10)</f>
        <v>0.26653373474679987</v>
      </c>
      <c r="AB14" s="10"/>
      <c r="AC14" s="39" t="str">
        <f>AC19</f>
        <v>Stoichiometrisch luchtverbruik</v>
      </c>
      <c r="AD14" s="13" t="str">
        <f>AD13</f>
        <v>Nm³/MJ</v>
      </c>
      <c r="AE14" s="43">
        <f ca="1">IF(AE19="","",AE19/AE$10)</f>
        <v>0.23262161996756878</v>
      </c>
      <c r="AF14" s="74"/>
      <c r="AG14" s="74"/>
      <c r="AH14" s="74"/>
      <c r="AI14" s="74"/>
      <c r="AJ14" s="74"/>
      <c r="AK14" s="74"/>
      <c r="AL14" s="18"/>
      <c r="AM14" s="8"/>
      <c r="AN14" s="8"/>
      <c r="AO14" s="8"/>
      <c r="AP14" s="8"/>
      <c r="AQ14" s="8"/>
      <c r="AR14" s="8"/>
      <c r="AS14" s="8"/>
      <c r="AT14" s="8"/>
      <c r="AU14" s="8"/>
    </row>
    <row r="15" spans="1:47" x14ac:dyDescent="0.25">
      <c r="B15" s="137" t="str">
        <f t="shared" si="0"/>
        <v>Waterdamp</v>
      </c>
      <c r="C15" s="148" t="str">
        <f>IF(B15="","","Water vapour")</f>
        <v>Water vapour</v>
      </c>
      <c r="D15" s="137" t="str">
        <f t="shared" si="1"/>
        <v>Nm³/MJ</v>
      </c>
      <c r="E15" s="148" t="str">
        <f t="shared" si="3"/>
        <v>Nm³/MJ</v>
      </c>
      <c r="F15" s="148"/>
      <c r="G15" s="148"/>
      <c r="H15" s="172" t="str">
        <f>INDEX(B15:C15,'Combustion Emissions'!$J$54)</f>
        <v>Waterdamp</v>
      </c>
      <c r="I15" s="106" t="str">
        <f t="shared" ca="1" si="2"/>
        <v/>
      </c>
      <c r="J15" s="267" t="str">
        <f>INDEX(D15:E15,'Combustion Emissions'!$J$54)</f>
        <v>Nm³/MJ</v>
      </c>
      <c r="K15" s="292"/>
      <c r="L15" s="179" t="str">
        <f>IF(INDEX(F15:G15,'Combustion Emissions'!$J$54)="","",INDEX(F15:G15,'Combustion Emissions'!$J$54))</f>
        <v/>
      </c>
      <c r="M15" s="30" t="str">
        <f>M20</f>
        <v>Waterdamp</v>
      </c>
      <c r="N15" s="13" t="str">
        <f>N14</f>
        <v>Nm³/MJ</v>
      </c>
      <c r="O15" s="43" t="str">
        <f ca="1">IF(O20="","",O20/O$10)</f>
        <v/>
      </c>
      <c r="P15" s="10"/>
      <c r="Q15" s="44" t="str">
        <f>Q20</f>
        <v>Waterdamp</v>
      </c>
      <c r="R15" s="13" t="str">
        <f>R14</f>
        <v>Nm³/MJ</v>
      </c>
      <c r="S15" s="43" t="str">
        <f>IF(S20="","",S20/S$10)</f>
        <v/>
      </c>
      <c r="T15" s="10"/>
      <c r="U15" s="44" t="str">
        <f>U20</f>
        <v>Waterdamp</v>
      </c>
      <c r="V15" s="13" t="str">
        <f>V14</f>
        <v>Nm³/MJ</v>
      </c>
      <c r="W15" s="43" t="str">
        <f>IF(W20="","",W20/W$10)</f>
        <v/>
      </c>
      <c r="X15" s="10"/>
      <c r="Y15" s="44" t="str">
        <f>Y20</f>
        <v>Waterdamp</v>
      </c>
      <c r="Z15" s="13" t="str">
        <f>Z14</f>
        <v>Nm³/MJ</v>
      </c>
      <c r="AA15" s="43">
        <f ca="1">IF(AA20="","",AA20/AA$10)</f>
        <v>5.3916143184764183E-2</v>
      </c>
      <c r="AB15" s="10"/>
      <c r="AC15" s="44" t="str">
        <f>AC20</f>
        <v>Waterdamp</v>
      </c>
      <c r="AD15" s="13" t="str">
        <f>AD14</f>
        <v>Nm³/MJ</v>
      </c>
      <c r="AE15" s="43">
        <f ca="1">IF(AE20="","",AE20/AE$10)</f>
        <v>8.6383600669583754E-2</v>
      </c>
      <c r="AF15" s="74"/>
      <c r="AG15" s="74"/>
      <c r="AH15" s="74"/>
      <c r="AI15" s="74"/>
      <c r="AJ15" s="74"/>
      <c r="AK15" s="74"/>
      <c r="AL15" s="18"/>
      <c r="AM15" s="8"/>
      <c r="AN15" s="8"/>
      <c r="AO15" s="8"/>
      <c r="AP15" s="8"/>
      <c r="AQ15" s="8"/>
      <c r="AR15" s="8"/>
      <c r="AS15" s="8"/>
      <c r="AT15" s="8"/>
      <c r="AU15" s="8"/>
    </row>
    <row r="16" spans="1:47" x14ac:dyDescent="0.25">
      <c r="B16" s="137" t="str">
        <f t="shared" si="0"/>
        <v>Koolstofdioxide</v>
      </c>
      <c r="C16" s="148" t="str">
        <f>IF(B16="","","Carbondioxide")</f>
        <v>Carbondioxide</v>
      </c>
      <c r="D16" s="137" t="str">
        <f t="shared" si="1"/>
        <v>Nm³/MJ</v>
      </c>
      <c r="E16" s="148" t="str">
        <f t="shared" si="3"/>
        <v>Nm³/MJ</v>
      </c>
      <c r="F16" s="148"/>
      <c r="G16" s="148"/>
      <c r="H16" s="172" t="str">
        <f>INDEX(B16:C16,'Combustion Emissions'!$J$54)</f>
        <v>Koolstofdioxide</v>
      </c>
      <c r="I16" s="106" t="str">
        <f t="shared" ca="1" si="2"/>
        <v/>
      </c>
      <c r="J16" s="267" t="str">
        <f>INDEX(D16:E16,'Combustion Emissions'!$J$54)</f>
        <v>Nm³/MJ</v>
      </c>
      <c r="K16" s="292"/>
      <c r="L16" s="179" t="str">
        <f>IF(INDEX(F16:G16,'Combustion Emissions'!$J$54)="","",INDEX(F16:G16,'Combustion Emissions'!$J$54))</f>
        <v/>
      </c>
      <c r="M16" s="30" t="str">
        <f>M21</f>
        <v>Koolstofdioxide</v>
      </c>
      <c r="N16" s="13" t="str">
        <f>N15</f>
        <v>Nm³/MJ</v>
      </c>
      <c r="O16" s="43" t="str">
        <f ca="1">IF(O21="","",O21/O$10)</f>
        <v/>
      </c>
      <c r="P16" s="10"/>
      <c r="Q16" s="44" t="str">
        <f>Q21</f>
        <v>Koolstofdioxide</v>
      </c>
      <c r="R16" s="13" t="str">
        <f>R15</f>
        <v>Nm³/MJ</v>
      </c>
      <c r="S16" s="43" t="str">
        <f>IF(S21="","",S21/S$10)</f>
        <v/>
      </c>
      <c r="T16" s="10"/>
      <c r="U16" s="44" t="str">
        <f>U21</f>
        <v>Koolstofdioxide</v>
      </c>
      <c r="V16" s="13" t="str">
        <f>V15</f>
        <v>Nm³/MJ</v>
      </c>
      <c r="W16" s="43" t="str">
        <f>IF(W21="","",W21/W$10)</f>
        <v/>
      </c>
      <c r="X16" s="10"/>
      <c r="Y16" s="44" t="str">
        <f>Y21</f>
        <v>Koolstofdioxide</v>
      </c>
      <c r="Z16" s="13" t="str">
        <f>Z15</f>
        <v>Nm³/MJ</v>
      </c>
      <c r="AA16" s="43">
        <f ca="1">IF(AA21="","",AA21/AA$10)</f>
        <v>6.9318040183467933E-2</v>
      </c>
      <c r="AB16" s="10"/>
      <c r="AC16" s="44" t="str">
        <f>AC21</f>
        <v>Koolstofdioxide</v>
      </c>
      <c r="AD16" s="13" t="str">
        <f>AD15</f>
        <v>Nm³/MJ</v>
      </c>
      <c r="AE16" s="43">
        <f ca="1">IF(AE21="","",AE21/AE$10)</f>
        <v>4.8468676470275522E-2</v>
      </c>
      <c r="AF16" s="74"/>
      <c r="AG16" s="74"/>
      <c r="AH16" s="74"/>
      <c r="AI16" s="74"/>
      <c r="AJ16" s="74"/>
      <c r="AK16" s="74"/>
      <c r="AL16" s="18"/>
      <c r="AM16" s="8"/>
      <c r="AN16" s="8"/>
      <c r="AO16" s="8"/>
      <c r="AP16" s="8"/>
      <c r="AQ16" s="8"/>
      <c r="AR16" s="8"/>
      <c r="AS16" s="8"/>
      <c r="AT16" s="8"/>
      <c r="AU16" s="8"/>
    </row>
    <row r="17" spans="1:48" x14ac:dyDescent="0.25">
      <c r="B17" s="137" t="str">
        <f t="shared" si="0"/>
        <v>Zwaveldioxide</v>
      </c>
      <c r="C17" s="148" t="str">
        <f>IF(B17="","","Sulphurdioxide")</f>
        <v>Sulphurdioxide</v>
      </c>
      <c r="D17" s="137" t="str">
        <f t="shared" si="1"/>
        <v>Nm³/MJ</v>
      </c>
      <c r="E17" s="148" t="str">
        <f t="shared" si="3"/>
        <v>Nm³/MJ</v>
      </c>
      <c r="F17" s="148"/>
      <c r="G17" s="148"/>
      <c r="H17" s="173" t="str">
        <f>INDEX(B17:C17,'Combustion Emissions'!$J$54)</f>
        <v>Zwaveldioxide</v>
      </c>
      <c r="I17" s="132" t="str">
        <f t="shared" ca="1" si="2"/>
        <v/>
      </c>
      <c r="J17" s="270" t="str">
        <f>INDEX(D17:E17,'Combustion Emissions'!$J$54)</f>
        <v>Nm³/MJ</v>
      </c>
      <c r="K17" s="284"/>
      <c r="L17" s="281" t="str">
        <f>IF(INDEX(F17:G17,'Combustion Emissions'!$J$54)="","",INDEX(F17:G17,'Combustion Emissions'!$J$54))</f>
        <v/>
      </c>
      <c r="M17" s="162" t="str">
        <f>M22</f>
        <v>Zwaveldioxide</v>
      </c>
      <c r="N17" s="192" t="str">
        <f>N16</f>
        <v>Nm³/MJ</v>
      </c>
      <c r="O17" s="81" t="str">
        <f ca="1">IF(O22="","",O22/O$10)</f>
        <v/>
      </c>
      <c r="P17" s="10"/>
      <c r="Q17" s="82" t="str">
        <f>Q22</f>
        <v>Zwaveldioxide</v>
      </c>
      <c r="R17" s="192" t="str">
        <f>R16</f>
        <v>Nm³/MJ</v>
      </c>
      <c r="S17" s="81" t="str">
        <f>IF(S22="","",S22/S$10)</f>
        <v/>
      </c>
      <c r="T17" s="10"/>
      <c r="U17" s="82" t="str">
        <f>U22</f>
        <v>Zwaveldioxide</v>
      </c>
      <c r="V17" s="192" t="str">
        <f>V16</f>
        <v>Nm³/MJ</v>
      </c>
      <c r="W17" s="81" t="str">
        <f>IF(W22="","",W22/W$10)</f>
        <v/>
      </c>
      <c r="X17" s="10"/>
      <c r="Y17" s="82" t="str">
        <f>Y22</f>
        <v>Zwaveldioxide</v>
      </c>
      <c r="Z17" s="23" t="str">
        <f>Z16</f>
        <v>Nm³/MJ</v>
      </c>
      <c r="AA17" s="81">
        <f ca="1">IF(AA22="","",AA22/AA$10)</f>
        <v>0</v>
      </c>
      <c r="AB17" s="10"/>
      <c r="AC17" s="82" t="str">
        <f>AC22</f>
        <v>Zwaveldioxide</v>
      </c>
      <c r="AD17" s="192" t="str">
        <f>AD16</f>
        <v>Nm³/MJ</v>
      </c>
      <c r="AE17" s="81">
        <f ca="1">IF(AE22="","",AE22/AE$10)</f>
        <v>8.2514734774066799E-6</v>
      </c>
      <c r="AF17" s="74"/>
      <c r="AG17" s="74"/>
      <c r="AH17" s="74"/>
      <c r="AI17" s="74"/>
      <c r="AJ17" s="74"/>
      <c r="AK17" s="74"/>
      <c r="AL17" s="18"/>
      <c r="AM17" s="8"/>
      <c r="AN17" s="8"/>
      <c r="AO17" s="8"/>
      <c r="AP17" s="8"/>
      <c r="AQ17" s="8"/>
      <c r="AR17" s="8"/>
      <c r="AS17" s="8"/>
      <c r="AT17" s="8"/>
      <c r="AU17" s="8"/>
    </row>
    <row r="18" spans="1:48" x14ac:dyDescent="0.25">
      <c r="B18" s="137" t="str">
        <f t="shared" si="0"/>
        <v>Stoichiometrisch droog rookgasvolume</v>
      </c>
      <c r="C18" s="148" t="str">
        <f>IF(B18="","","Stoichiometric flue gas flow")</f>
        <v>Stoichiometric flue gas flow</v>
      </c>
      <c r="D18" s="137" t="str">
        <f t="shared" si="1"/>
        <v>Nm³/Nm³</v>
      </c>
      <c r="E18" s="148" t="str">
        <f t="shared" si="3"/>
        <v>Nm³/Nm³</v>
      </c>
      <c r="F18" s="148"/>
      <c r="G18" s="148"/>
      <c r="H18" s="169" t="str">
        <f>INDEX(B18:C18,'Combustion Emissions'!$J$54)</f>
        <v>Stoichiometrisch droog rookgasvolume</v>
      </c>
      <c r="I18" s="106" t="str">
        <f t="shared" ca="1" si="2"/>
        <v/>
      </c>
      <c r="J18" s="267" t="str">
        <f>INDEX(D18:E18,'Combustion Emissions'!$J$54)</f>
        <v>Nm³/Nm³</v>
      </c>
      <c r="K18" s="292"/>
      <c r="L18" s="179" t="str">
        <f>IF(INDEX(F18:G18,'Combustion Emissions'!$J$54)="","",INDEX(F18:G18,'Combustion Emissions'!$J$54))</f>
        <v/>
      </c>
      <c r="M18" s="16" t="s">
        <v>140</v>
      </c>
      <c r="N18" s="13" t="s">
        <v>282</v>
      </c>
      <c r="O18" s="43" t="str">
        <f ca="1">IF(O10="","",IF(O9="DIN1942",O78,O70))</f>
        <v/>
      </c>
      <c r="P18" s="10"/>
      <c r="Q18" s="39" t="s">
        <v>140</v>
      </c>
      <c r="R18" s="13" t="s">
        <v>283</v>
      </c>
      <c r="S18" s="43" t="str">
        <f>IF(S8="","",IF(S9="DIN1942",S78,S70))</f>
        <v/>
      </c>
      <c r="T18" s="10"/>
      <c r="U18" s="39" t="s">
        <v>140</v>
      </c>
      <c r="V18" s="13" t="str">
        <f>R18</f>
        <v>Nm³/kg</v>
      </c>
      <c r="W18" s="43" t="str">
        <f ca="1">IF(W10="","",IF(W9="DIN1942",W78,W70))</f>
        <v/>
      </c>
      <c r="X18" s="10"/>
      <c r="Y18" s="39" t="s">
        <v>140</v>
      </c>
      <c r="Z18" s="13" t="str">
        <f>N18</f>
        <v>Nm³/Nm³</v>
      </c>
      <c r="AA18" s="43">
        <f ca="1">IF(AA10="","",IF(AA9="DIN1942",AA78,AA70))</f>
        <v>4.0237404517089619</v>
      </c>
      <c r="AB18" s="10"/>
      <c r="AC18" s="39" t="s">
        <v>140</v>
      </c>
      <c r="AD18" s="13" t="str">
        <f>V18</f>
        <v>Nm³/kg</v>
      </c>
      <c r="AE18" s="43">
        <f ca="1">IF(AE10="","",IF(AE9="DIN1942",AE78,AE70))</f>
        <v>2.3654687626162216</v>
      </c>
      <c r="AF18" s="74"/>
      <c r="AG18" s="74"/>
      <c r="AH18" s="74"/>
      <c r="AI18" s="74"/>
      <c r="AJ18" s="74"/>
      <c r="AK18" s="74"/>
      <c r="AL18" s="18"/>
      <c r="AM18" s="8"/>
      <c r="AN18" s="8"/>
      <c r="AO18" s="8"/>
      <c r="AP18" s="8"/>
      <c r="AQ18" s="8"/>
      <c r="AR18" s="8"/>
      <c r="AS18" s="8"/>
      <c r="AT18" s="8"/>
      <c r="AU18" s="8"/>
    </row>
    <row r="19" spans="1:48" x14ac:dyDescent="0.25">
      <c r="B19" s="137" t="str">
        <f t="shared" si="0"/>
        <v>Stoichiometrisch luchtverbruik</v>
      </c>
      <c r="C19" s="148" t="str">
        <f>IF(B19="","","Stoichiometric air demand")</f>
        <v>Stoichiometric air demand</v>
      </c>
      <c r="D19" s="137" t="str">
        <f t="shared" si="1"/>
        <v>Nm³/Nm³</v>
      </c>
      <c r="E19" s="148" t="str">
        <f t="shared" si="3"/>
        <v>Nm³/Nm³</v>
      </c>
      <c r="F19" s="148"/>
      <c r="G19" s="148"/>
      <c r="H19" s="169" t="str">
        <f>INDEX(B19:C19,'Combustion Emissions'!$J$54)</f>
        <v>Stoichiometrisch luchtverbruik</v>
      </c>
      <c r="I19" s="106" t="str">
        <f t="shared" ca="1" si="2"/>
        <v/>
      </c>
      <c r="J19" s="267" t="str">
        <f>INDEX(D19:E19,'Combustion Emissions'!$J$54)</f>
        <v>Nm³/Nm³</v>
      </c>
      <c r="K19" s="292"/>
      <c r="L19" s="179" t="str">
        <f>IF(INDEX(F19:G19,'Combustion Emissions'!$J$54)="","",INDEX(F19:G19,'Combustion Emissions'!$J$54))</f>
        <v/>
      </c>
      <c r="M19" s="16" t="s">
        <v>65</v>
      </c>
      <c r="N19" s="13" t="str">
        <f>N18</f>
        <v>Nm³/Nm³</v>
      </c>
      <c r="O19" s="43" t="str">
        <f ca="1">IF(O10="","",IF(O9="DIN1942",O77,O69))</f>
        <v/>
      </c>
      <c r="P19" s="10"/>
      <c r="Q19" s="39" t="s">
        <v>65</v>
      </c>
      <c r="R19" s="13" t="str">
        <f>R18</f>
        <v>Nm³/kg</v>
      </c>
      <c r="S19" s="43" t="str">
        <f>IF(S8="","",IF(S9="DIN1942",S77,S69))</f>
        <v/>
      </c>
      <c r="T19" s="10"/>
      <c r="U19" s="39" t="s">
        <v>65</v>
      </c>
      <c r="V19" s="13" t="str">
        <f>V18</f>
        <v>Nm³/kg</v>
      </c>
      <c r="W19" s="43" t="str">
        <f ca="1">IF(W10="","",IF(W9="DIN1942",W77,W69))</f>
        <v/>
      </c>
      <c r="X19" s="10"/>
      <c r="Y19" s="39" t="s">
        <v>65</v>
      </c>
      <c r="Z19" s="13" t="str">
        <f>Z18</f>
        <v>Nm³/Nm³</v>
      </c>
      <c r="AA19" s="43">
        <f ca="1">IF(AA10="","",IF(AA9="DIN1942",AA77,AA69))</f>
        <v>3.8300462229239884</v>
      </c>
      <c r="AB19" s="10"/>
      <c r="AC19" s="39" t="s">
        <v>65</v>
      </c>
      <c r="AD19" s="13" t="str">
        <f>AD18</f>
        <v>Nm³/kg</v>
      </c>
      <c r="AE19" s="43">
        <f ca="1">IF(AE10="","",IF(AE9="DIN1942",AE77,AE69))</f>
        <v>2.3680880912698501</v>
      </c>
      <c r="AF19" s="74"/>
      <c r="AG19" s="74"/>
      <c r="AH19" s="74"/>
      <c r="AI19" s="74"/>
      <c r="AJ19" s="74"/>
      <c r="AK19" s="74"/>
      <c r="AL19" s="18"/>
      <c r="AM19" s="8"/>
      <c r="AN19" s="8"/>
      <c r="AO19" s="8"/>
      <c r="AP19" s="8"/>
      <c r="AQ19" s="8"/>
      <c r="AR19" s="8"/>
      <c r="AS19" s="8"/>
      <c r="AT19" s="8"/>
      <c r="AU19" s="8"/>
    </row>
    <row r="20" spans="1:48" x14ac:dyDescent="0.25">
      <c r="B20" s="137" t="str">
        <f t="shared" si="0"/>
        <v>Waterdamp</v>
      </c>
      <c r="C20" s="148" t="str">
        <f>IF(B20="","","Water vapour")</f>
        <v>Water vapour</v>
      </c>
      <c r="D20" s="137" t="str">
        <f t="shared" si="1"/>
        <v>Nm³/Nm³</v>
      </c>
      <c r="E20" s="148" t="str">
        <f t="shared" si="3"/>
        <v>Nm³/Nm³</v>
      </c>
      <c r="F20" s="148"/>
      <c r="G20" s="148"/>
      <c r="H20" s="172" t="str">
        <f>INDEX(B20:C20,'Combustion Emissions'!$J$54)</f>
        <v>Waterdamp</v>
      </c>
      <c r="I20" s="106" t="str">
        <f t="shared" ca="1" si="2"/>
        <v/>
      </c>
      <c r="J20" s="267" t="str">
        <f>INDEX(D20:E20,'Combustion Emissions'!$J$54)</f>
        <v>Nm³/Nm³</v>
      </c>
      <c r="K20" s="292"/>
      <c r="L20" s="179" t="str">
        <f>IF(INDEX(F20:G20,'Combustion Emissions'!$J$54)="","",INDEX(F20:G20,'Combustion Emissions'!$J$54))</f>
        <v/>
      </c>
      <c r="M20" s="30" t="s">
        <v>62</v>
      </c>
      <c r="N20" s="13" t="str">
        <f>N19</f>
        <v>Nm³/Nm³</v>
      </c>
      <c r="O20" s="43" t="str">
        <f ca="1">IF(O9="","",IF(O9="DIN1942",O74,O66))</f>
        <v/>
      </c>
      <c r="P20" s="10"/>
      <c r="Q20" s="44" t="s">
        <v>62</v>
      </c>
      <c r="R20" s="13" t="str">
        <f>R19</f>
        <v>Nm³/kg</v>
      </c>
      <c r="S20" s="43" t="str">
        <f>IF(S8="","",IF(S9="DIN1942",S74,S66))</f>
        <v/>
      </c>
      <c r="T20" s="10"/>
      <c r="U20" s="44" t="s">
        <v>62</v>
      </c>
      <c r="V20" s="13" t="str">
        <f>V19</f>
        <v>Nm³/kg</v>
      </c>
      <c r="W20" s="43" t="str">
        <f>IF(W8="","",IF(W9="DIN1942",W74,W66))</f>
        <v/>
      </c>
      <c r="X20" s="10"/>
      <c r="Y20" s="44" t="s">
        <v>62</v>
      </c>
      <c r="Z20" s="13" t="str">
        <f>Z19</f>
        <v>Nm³/Nm³</v>
      </c>
      <c r="AA20" s="43">
        <f ca="1">IF(AA9="","",IF(AA9="DIN1942",AA74,AA66))</f>
        <v>0.77476616892644334</v>
      </c>
      <c r="AB20" s="10"/>
      <c r="AC20" s="44" t="s">
        <v>62</v>
      </c>
      <c r="AD20" s="13" t="str">
        <f>AD19</f>
        <v>Nm³/kg</v>
      </c>
      <c r="AE20" s="43">
        <f ca="1">IF(AE8="","",IF(AE9="DIN1942",AE74,AE66))</f>
        <v>0.87938505481636253</v>
      </c>
      <c r="AF20" s="74"/>
      <c r="AG20" s="74"/>
      <c r="AH20" s="74"/>
      <c r="AI20" s="74"/>
      <c r="AJ20" s="74"/>
      <c r="AK20" s="74"/>
      <c r="AL20" s="18"/>
      <c r="AM20" s="8"/>
      <c r="AN20" s="8"/>
      <c r="AO20" s="8"/>
      <c r="AP20" s="8"/>
      <c r="AQ20" s="8"/>
      <c r="AR20" s="8"/>
      <c r="AS20" s="8"/>
      <c r="AT20" s="8"/>
      <c r="AU20" s="8"/>
    </row>
    <row r="21" spans="1:48" x14ac:dyDescent="0.25">
      <c r="B21" s="137" t="str">
        <f t="shared" si="0"/>
        <v>Koolstofdioxide</v>
      </c>
      <c r="C21" s="148" t="str">
        <f>IF(B21="","","Carbondioxide")</f>
        <v>Carbondioxide</v>
      </c>
      <c r="D21" s="137" t="str">
        <f t="shared" si="1"/>
        <v>Nm³/Nm³</v>
      </c>
      <c r="E21" s="148" t="str">
        <f t="shared" si="3"/>
        <v>Nm³/Nm³</v>
      </c>
      <c r="F21" s="148"/>
      <c r="G21" s="148"/>
      <c r="H21" s="172" t="str">
        <f>INDEX(B21:C21,'Combustion Emissions'!$J$54)</f>
        <v>Koolstofdioxide</v>
      </c>
      <c r="I21" s="106" t="str">
        <f t="shared" ca="1" si="2"/>
        <v/>
      </c>
      <c r="J21" s="267" t="str">
        <f>INDEX(D21:E21,'Combustion Emissions'!$J$54)</f>
        <v>Nm³/Nm³</v>
      </c>
      <c r="K21" s="292"/>
      <c r="L21" s="179" t="str">
        <f>IF(INDEX(F21:G21,'Combustion Emissions'!$J$54)="","",INDEX(F21:G21,'Combustion Emissions'!$J$54))</f>
        <v/>
      </c>
      <c r="M21" s="30" t="s">
        <v>59</v>
      </c>
      <c r="N21" s="13" t="str">
        <f>N20</f>
        <v>Nm³/Nm³</v>
      </c>
      <c r="O21" s="43" t="str">
        <f ca="1">IF(O9="","",IF(O9="DIN1942",O73,O65))</f>
        <v/>
      </c>
      <c r="P21" s="10"/>
      <c r="Q21" s="44" t="s">
        <v>59</v>
      </c>
      <c r="R21" s="13" t="str">
        <f>R20</f>
        <v>Nm³/kg</v>
      </c>
      <c r="S21" s="43" t="str">
        <f>IF(S8="","",IF(S9="DIN1942",S73,S65))</f>
        <v/>
      </c>
      <c r="T21" s="10"/>
      <c r="U21" s="44" t="s">
        <v>59</v>
      </c>
      <c r="V21" s="13" t="str">
        <f>V20</f>
        <v>Nm³/kg</v>
      </c>
      <c r="W21" s="43" t="str">
        <f>IF(W8="","",IF(W9="DIN1942",W73,W65))</f>
        <v/>
      </c>
      <c r="X21" s="10"/>
      <c r="Y21" s="44" t="s">
        <v>59</v>
      </c>
      <c r="Z21" s="13" t="str">
        <f>Z20</f>
        <v>Nm³/Nm³</v>
      </c>
      <c r="AA21" s="43">
        <f ca="1">IF(AA9="","",IF(AA9="DIN1942",AA73,AA65))</f>
        <v>0.99608891248754849</v>
      </c>
      <c r="AB21" s="10"/>
      <c r="AC21" s="44" t="s">
        <v>59</v>
      </c>
      <c r="AD21" s="13" t="str">
        <f>AD20</f>
        <v>Nm³/kg</v>
      </c>
      <c r="AE21" s="43">
        <f ca="1">IF(AE8="","",IF(AE9="DIN1942",AE73,AE65))</f>
        <v>0.49341112646740481</v>
      </c>
      <c r="AF21" s="74"/>
      <c r="AG21" s="74"/>
      <c r="AH21" s="74"/>
      <c r="AI21" s="74"/>
      <c r="AJ21" s="74"/>
      <c r="AK21" s="74"/>
      <c r="AL21" s="18"/>
      <c r="AM21" s="8"/>
      <c r="AN21" s="8"/>
      <c r="AO21" s="8"/>
      <c r="AP21" s="8"/>
      <c r="AQ21" s="8"/>
      <c r="AR21" s="8"/>
      <c r="AS21" s="8"/>
      <c r="AT21" s="8"/>
      <c r="AU21" s="8"/>
    </row>
    <row r="22" spans="1:48" ht="15.75" thickBot="1" x14ac:dyDescent="0.3">
      <c r="B22" s="137" t="str">
        <f t="shared" si="0"/>
        <v>Zwaveldioxide</v>
      </c>
      <c r="C22" s="148" t="str">
        <f>IF(B22="","","Sulphurdioxide")</f>
        <v>Sulphurdioxide</v>
      </c>
      <c r="D22" s="137" t="str">
        <f t="shared" si="1"/>
        <v>Nm³/Nm³</v>
      </c>
      <c r="E22" s="148" t="str">
        <f t="shared" si="3"/>
        <v>Nm³/Nm³</v>
      </c>
      <c r="F22" s="148"/>
      <c r="G22" s="148"/>
      <c r="H22" s="172" t="str">
        <f>INDEX(B22:C22,'Combustion Emissions'!$J$54)</f>
        <v>Zwaveldioxide</v>
      </c>
      <c r="I22" s="106" t="str">
        <f t="shared" ca="1" si="2"/>
        <v/>
      </c>
      <c r="J22" s="267" t="str">
        <f>INDEX(D22:E22,'Combustion Emissions'!$J$54)</f>
        <v>Nm³/Nm³</v>
      </c>
      <c r="K22" s="292"/>
      <c r="L22" s="179" t="str">
        <f>IF(INDEX(F22:G22,'Combustion Emissions'!$J$54)="","",INDEX(F22:G22,'Combustion Emissions'!$J$54))</f>
        <v/>
      </c>
      <c r="M22" s="163" t="s">
        <v>64</v>
      </c>
      <c r="N22" s="57" t="str">
        <f>N21</f>
        <v>Nm³/Nm³</v>
      </c>
      <c r="O22" s="76" t="str">
        <f ca="1">IF(O9="","",IF(O9="DIN1942",O76,O68))</f>
        <v/>
      </c>
      <c r="P22" s="10"/>
      <c r="Q22" s="61" t="s">
        <v>64</v>
      </c>
      <c r="R22" s="57" t="str">
        <f>R21</f>
        <v>Nm³/kg</v>
      </c>
      <c r="S22" s="76" t="str">
        <f>IF(S8="","",IF(S9="DIN1942",S76,S68))</f>
        <v/>
      </c>
      <c r="T22" s="10"/>
      <c r="U22" s="61" t="s">
        <v>64</v>
      </c>
      <c r="V22" s="57" t="str">
        <f>V21</f>
        <v>Nm³/kg</v>
      </c>
      <c r="W22" s="76" t="str">
        <f>IF(W8="","",IF(W9="DIN1942",W76,W68))</f>
        <v/>
      </c>
      <c r="X22" s="10"/>
      <c r="Y22" s="61" t="s">
        <v>64</v>
      </c>
      <c r="Z22" s="57" t="str">
        <f>Z21</f>
        <v>Nm³/Nm³</v>
      </c>
      <c r="AA22" s="76">
        <f ca="1">IF(AA9="","",IF(AA9="DIN1942",AA76,AA68))</f>
        <v>0</v>
      </c>
      <c r="AB22" s="10"/>
      <c r="AC22" s="61" t="s">
        <v>64</v>
      </c>
      <c r="AD22" s="57" t="str">
        <f>AD21</f>
        <v>Nm³/kg</v>
      </c>
      <c r="AE22" s="76">
        <f ca="1">IF(AE8="","",IF(AE9="DIN1942",AE76,AE68))</f>
        <v>8.3999999999999995E-5</v>
      </c>
      <c r="AF22" s="74"/>
      <c r="AG22" s="74"/>
      <c r="AH22" s="74"/>
      <c r="AI22" s="74"/>
      <c r="AJ22" s="74"/>
      <c r="AK22" s="74"/>
      <c r="AL22" s="18"/>
      <c r="AM22" s="8"/>
      <c r="AN22" s="8"/>
      <c r="AO22" s="8"/>
      <c r="AP22" s="8"/>
      <c r="AQ22" s="8"/>
      <c r="AR22" s="8"/>
      <c r="AS22" s="8"/>
      <c r="AT22" s="8"/>
      <c r="AU22" s="8"/>
    </row>
    <row r="23" spans="1:48" s="16" customFormat="1" ht="15" customHeight="1" thickBot="1" x14ac:dyDescent="0.3">
      <c r="A23" s="117"/>
      <c r="B23" s="137" t="s">
        <v>209</v>
      </c>
      <c r="C23" s="148" t="s">
        <v>210</v>
      </c>
      <c r="D23" s="137"/>
      <c r="E23" s="148"/>
      <c r="F23" s="138"/>
      <c r="G23" s="149"/>
      <c r="H23" s="328" t="str">
        <f>INDEX(B23:C23,'Combustion Emissions'!$J$54)</f>
        <v>Brandstof analyse</v>
      </c>
      <c r="I23" s="329"/>
      <c r="J23" s="341" t="str">
        <f>IF(J6="","",J6)</f>
        <v/>
      </c>
      <c r="K23" s="342"/>
      <c r="L23" s="187"/>
      <c r="M23" s="307" t="str">
        <f>H23</f>
        <v>Brandstof analyse</v>
      </c>
      <c r="N23" s="307"/>
      <c r="O23" s="307"/>
      <c r="P23" s="30"/>
      <c r="Q23" s="307" t="str">
        <f>M23</f>
        <v>Brandstof analyse</v>
      </c>
      <c r="R23" s="307"/>
      <c r="S23" s="307"/>
      <c r="T23" s="30"/>
      <c r="U23" s="307" t="str">
        <f>Q23</f>
        <v>Brandstof analyse</v>
      </c>
      <c r="V23" s="307"/>
      <c r="W23" s="307"/>
      <c r="X23" s="30"/>
      <c r="Y23" s="307" t="str">
        <f>U23</f>
        <v>Brandstof analyse</v>
      </c>
      <c r="Z23" s="307"/>
      <c r="AA23" s="307"/>
      <c r="AB23" s="30"/>
      <c r="AC23" s="307" t="str">
        <f>Y23</f>
        <v>Brandstof analyse</v>
      </c>
      <c r="AD23" s="307"/>
      <c r="AE23" s="307"/>
      <c r="AF23" s="74"/>
      <c r="AG23" s="343" t="s">
        <v>220</v>
      </c>
      <c r="AH23" s="343"/>
      <c r="AI23" s="343"/>
      <c r="AJ23" s="126"/>
      <c r="AK23" s="126"/>
      <c r="AL23" s="126"/>
      <c r="AM23" s="126"/>
      <c r="AN23" s="126"/>
      <c r="AO23" s="126"/>
      <c r="AP23" s="126"/>
      <c r="AQ23" s="126"/>
      <c r="AR23" s="126"/>
      <c r="AS23" s="126"/>
      <c r="AT23" s="126"/>
      <c r="AU23" s="126"/>
      <c r="AV23" s="121"/>
    </row>
    <row r="24" spans="1:48" ht="18" customHeight="1" x14ac:dyDescent="0.25">
      <c r="B24" s="137"/>
      <c r="C24" s="148"/>
      <c r="D24" s="137"/>
      <c r="E24" s="148"/>
      <c r="F24" s="138" t="s">
        <v>260</v>
      </c>
      <c r="G24" s="149" t="s">
        <v>259</v>
      </c>
      <c r="H24" s="169" t="s">
        <v>169</v>
      </c>
      <c r="I24" s="133"/>
      <c r="J24" s="267"/>
      <c r="K24" s="284"/>
      <c r="L24" s="282" t="str">
        <f>IF(INDEX(F24:G24,'Combustion Emissions'!$J$54)="","",INDEX(F24:G24,'Combustion Emissions'!$J$54))</f>
        <v>● Selecteer de eenheid van de analyseresultaten die u gaat invoeren.</v>
      </c>
      <c r="M24" s="164" t="s">
        <v>137</v>
      </c>
      <c r="N24" s="78"/>
      <c r="O24" s="79" t="s">
        <v>138</v>
      </c>
      <c r="P24" s="10"/>
      <c r="Q24" s="77" t="s">
        <v>136</v>
      </c>
      <c r="R24" s="78"/>
      <c r="S24" s="79" t="s">
        <v>138</v>
      </c>
      <c r="T24" s="10"/>
      <c r="U24" s="77" t="s">
        <v>136</v>
      </c>
      <c r="V24" s="78"/>
      <c r="W24" s="79" t="s">
        <v>138</v>
      </c>
      <c r="X24" s="10"/>
      <c r="Y24" s="77" t="s">
        <v>137</v>
      </c>
      <c r="Z24" s="78"/>
      <c r="AA24" s="79" t="s">
        <v>138</v>
      </c>
      <c r="AB24" s="10"/>
      <c r="AC24" s="77" t="s">
        <v>136</v>
      </c>
      <c r="AD24" s="78"/>
      <c r="AE24" s="79" t="s">
        <v>138</v>
      </c>
      <c r="AF24" s="14"/>
      <c r="AG24" s="14"/>
      <c r="AH24" s="14"/>
      <c r="AI24" s="14"/>
      <c r="AJ24" s="14"/>
      <c r="AK24" s="14"/>
      <c r="AL24" s="13" t="s">
        <v>67</v>
      </c>
      <c r="AM24" s="13" t="s">
        <v>67</v>
      </c>
      <c r="AN24" s="8"/>
      <c r="AO24" s="13" t="s">
        <v>68</v>
      </c>
      <c r="AP24" s="13"/>
      <c r="AQ24" s="9" t="s">
        <v>69</v>
      </c>
      <c r="AR24" s="9" t="s">
        <v>70</v>
      </c>
      <c r="AS24" s="9" t="s">
        <v>71</v>
      </c>
      <c r="AT24" s="9" t="s">
        <v>72</v>
      </c>
      <c r="AU24" s="9" t="s">
        <v>73</v>
      </c>
    </row>
    <row r="25" spans="1:48" ht="14.1" customHeight="1" x14ac:dyDescent="0.25">
      <c r="B25" s="137"/>
      <c r="C25" s="148"/>
      <c r="D25" s="137" t="str">
        <f t="shared" ref="D25:D61" si="4">IF($AH$7=1,IF(N25="","",N25),IF($AI$7=2,IF(R25="","",R25),IF(V25="","",V25)))</f>
        <v>mol%</v>
      </c>
      <c r="E25" s="148" t="str">
        <f>IF(D25="","",D25)</f>
        <v>mol%</v>
      </c>
      <c r="F25" s="138" t="str">
        <f>CONCATENATE("● Voer vanaf hier de analysegegevens in.",IF(AK7&lt;&gt;1,""," Als u geen analyseresultaten invoert, worden de verbrandingsparameters geschat op basis van de ingevoerde stookwaarde volgens DIN 1942."))</f>
        <v>● Voer vanaf hier de analysegegevens in. Als u geen analyseresultaten invoert, worden de verbrandingsparameters geschat op basis van de ingevoerde stookwaarde volgens DIN 1942.</v>
      </c>
      <c r="G25" s="149" t="str">
        <f>CONCATENATE("● Enter the analysis data from here.",IF(AK7&lt;&gt;1,"","If no analysis data are entered, the combustion parameters are estimated upon the entered lower heating valye according to DIN 1942."))</f>
        <v>● Enter the analysis data from here.If no analysis data are entered, the combustion parameters are estimated upon the entered lower heating valye according to DIN 1942.</v>
      </c>
      <c r="H25" s="171" t="str">
        <f>IF(INDEX(AG25:AK25,$AH$7)="","",INDEX(AG25:AK25,$AH$7))</f>
        <v>Helium</v>
      </c>
      <c r="I25" s="134" t="s">
        <v>312</v>
      </c>
      <c r="J25" s="269" t="str">
        <f>INDEX(D25:E25,'Combustion Emissions'!$J$54)</f>
        <v>mol%</v>
      </c>
      <c r="K25" s="285" t="str">
        <f>IF(Examples!D22="","",Examples!D22)</f>
        <v/>
      </c>
      <c r="L25" s="332" t="str">
        <f>IF(INDEX(F25:G25,'Combustion Emissions'!$J$54)="","",INDEX(F25:G25,'Combustion Emissions'!$J$54))</f>
        <v>● Voer vanaf hier de analysegegevens in. Als u geen analyseresultaten invoert, worden de verbrandingsparameters geschat op basis van de ingevoerde stookwaarde volgens DIN 1942.</v>
      </c>
      <c r="M25" s="16" t="str">
        <f>IF('Combustion Emissions'!$J$54=1,"Helium","Helium")</f>
        <v>Helium</v>
      </c>
      <c r="N25" s="13" t="s">
        <v>75</v>
      </c>
      <c r="O25" s="87">
        <f t="shared" ref="O25:O60" si="5">IF($AH$7&lt;&gt;1,"",IF($I25="",0,$I25))</f>
        <v>0</v>
      </c>
      <c r="P25" s="10"/>
      <c r="Q25" s="44" t="s">
        <v>66</v>
      </c>
      <c r="R25" s="14"/>
      <c r="S25" s="43" t="str">
        <f>IF($AH$7&lt;&gt;2,"",IF($I25="",0,$I25))</f>
        <v/>
      </c>
      <c r="T25" s="10"/>
      <c r="U25" s="44" t="s">
        <v>66</v>
      </c>
      <c r="V25" s="14"/>
      <c r="W25" s="95" t="str">
        <f>IF($AH$7&lt;&gt;4,"",IF($I25="",0,$I25))</f>
        <v/>
      </c>
      <c r="X25" s="10"/>
      <c r="Y25" s="39" t="s">
        <v>74</v>
      </c>
      <c r="Z25" s="13" t="s">
        <v>75</v>
      </c>
      <c r="AA25" s="87"/>
      <c r="AB25" s="10"/>
      <c r="AC25" s="44" t="s">
        <v>66</v>
      </c>
      <c r="AD25" s="14"/>
      <c r="AE25" s="95" t="str">
        <f>IF($AH$7&lt;&gt;4,"",IF($I25="",0,$I25))</f>
        <v/>
      </c>
      <c r="AF25" s="75"/>
      <c r="AG25" s="14" t="str">
        <f t="shared" ref="AG25:AG60" si="6">M25</f>
        <v>Helium</v>
      </c>
      <c r="AH25" s="14" t="str">
        <f>Q25</f>
        <v>mol C/kg</v>
      </c>
      <c r="AI25" s="14" t="str">
        <f>Q30</f>
        <v>C (gew%)</v>
      </c>
      <c r="AJ25" s="14" t="str">
        <f>U25</f>
        <v>mol C/kg</v>
      </c>
      <c r="AK25" s="14" t="str">
        <f t="shared" ref="AK25:AK30" si="7">U30</f>
        <v>C (gew%,droog)</v>
      </c>
      <c r="AL25" s="21">
        <f>AM25+AR25*22.008</f>
        <v>0</v>
      </c>
      <c r="AM25" s="21">
        <v>0</v>
      </c>
      <c r="AN25" s="21">
        <v>4.0026000000000002</v>
      </c>
      <c r="AO25" s="22">
        <v>22.424800000000001</v>
      </c>
      <c r="AP25" s="22">
        <v>-1.6E-2</v>
      </c>
      <c r="AQ25" s="8"/>
      <c r="AR25" s="8"/>
      <c r="AS25" s="8"/>
      <c r="AT25" s="8"/>
      <c r="AU25" s="8"/>
    </row>
    <row r="26" spans="1:48" ht="14.1" customHeight="1" x14ac:dyDescent="0.25">
      <c r="B26" s="137"/>
      <c r="C26" s="148"/>
      <c r="D26" s="137" t="str">
        <f t="shared" si="4"/>
        <v>mol%</v>
      </c>
      <c r="E26" s="148" t="str">
        <f t="shared" ref="E26:E61" si="8">IF(D26="","",D26)</f>
        <v>mol%</v>
      </c>
      <c r="F26" s="148"/>
      <c r="G26" s="148"/>
      <c r="H26" s="169" t="str">
        <f t="shared" ref="H26:H60" si="9">IF(INDEX(AG26:AK26,$AH$7)="","",INDEX(AG26:AK26,$AH$7))</f>
        <v>Argon</v>
      </c>
      <c r="I26" s="107" t="s">
        <v>312</v>
      </c>
      <c r="J26" s="267" t="str">
        <f>INDEX(D26:E26,'Combustion Emissions'!$J$54)</f>
        <v>mol%</v>
      </c>
      <c r="K26" s="286" t="str">
        <f>IF(Examples!D23="","",Examples!D23)</f>
        <v/>
      </c>
      <c r="L26" s="333"/>
      <c r="M26" s="16" t="str">
        <f>IF('Combustion Emissions'!$J$54=1,"Argon","Argon")</f>
        <v>Argon</v>
      </c>
      <c r="N26" s="13" t="s">
        <v>75</v>
      </c>
      <c r="O26" s="87">
        <f t="shared" si="5"/>
        <v>0</v>
      </c>
      <c r="P26" s="10"/>
      <c r="Q26" s="44" t="s">
        <v>76</v>
      </c>
      <c r="R26" s="14"/>
      <c r="S26" s="43" t="str">
        <f>IF($AH$7&lt;&gt;2,"",IF($I26="",0,$I26))</f>
        <v/>
      </c>
      <c r="T26" s="10"/>
      <c r="U26" s="44" t="s">
        <v>76</v>
      </c>
      <c r="V26" s="14"/>
      <c r="W26" s="95" t="str">
        <f>IF($AH$7&lt;&gt;4,"",IF($I26="",0,$I26))</f>
        <v/>
      </c>
      <c r="X26" s="10"/>
      <c r="Y26" s="39" t="s">
        <v>77</v>
      </c>
      <c r="Z26" s="13" t="s">
        <v>75</v>
      </c>
      <c r="AA26" s="87"/>
      <c r="AB26" s="10"/>
      <c r="AC26" s="44" t="s">
        <v>76</v>
      </c>
      <c r="AD26" s="14"/>
      <c r="AE26" s="95" t="str">
        <f>IF($AH$7&lt;&gt;4,"",IF($I26="",0,$I26))</f>
        <v/>
      </c>
      <c r="AF26" s="75"/>
      <c r="AG26" s="14" t="str">
        <f t="shared" si="6"/>
        <v>Argon</v>
      </c>
      <c r="AH26" s="14" t="str">
        <f>Q26</f>
        <v>mol H/kg</v>
      </c>
      <c r="AI26" s="14" t="str">
        <f>Q31</f>
        <v>H (gew%)</v>
      </c>
      <c r="AJ26" s="14" t="str">
        <f>U26</f>
        <v>mol H/kg</v>
      </c>
      <c r="AK26" s="14" t="str">
        <f t="shared" si="7"/>
        <v>H (gew%,droog)</v>
      </c>
      <c r="AL26" s="21">
        <f>AM26+AR26*22.008</f>
        <v>0</v>
      </c>
      <c r="AM26" s="21">
        <v>0</v>
      </c>
      <c r="AN26" s="21">
        <v>39.948</v>
      </c>
      <c r="AO26" s="22">
        <v>22.392499999999998</v>
      </c>
      <c r="AP26" s="22">
        <v>3.1600000000000003E-2</v>
      </c>
      <c r="AQ26" s="8"/>
      <c r="AR26" s="8"/>
      <c r="AS26" s="8"/>
      <c r="AT26" s="8"/>
      <c r="AU26" s="8"/>
    </row>
    <row r="27" spans="1:48" ht="14.1" customHeight="1" x14ac:dyDescent="0.25">
      <c r="B27" s="137"/>
      <c r="C27" s="148"/>
      <c r="D27" s="137" t="str">
        <f t="shared" si="4"/>
        <v>mol%</v>
      </c>
      <c r="E27" s="148" t="str">
        <f t="shared" si="8"/>
        <v>mol%</v>
      </c>
      <c r="F27" s="148"/>
      <c r="G27" s="148"/>
      <c r="H27" s="170" t="str">
        <f t="shared" si="9"/>
        <v>Waterstofsulfide</v>
      </c>
      <c r="I27" s="135" t="s">
        <v>312</v>
      </c>
      <c r="J27" s="270" t="str">
        <f>INDEX(D27:E27,'Combustion Emissions'!$J$54)</f>
        <v>mol%</v>
      </c>
      <c r="K27" s="287" t="str">
        <f>IF(Examples!D24="","",Examples!D24)</f>
        <v/>
      </c>
      <c r="L27" s="334"/>
      <c r="M27" s="159" t="str">
        <f>IF('Combustion Emissions'!$J$54=1,"Waterstofsulfide","Hydrogensulphide")</f>
        <v>Waterstofsulfide</v>
      </c>
      <c r="N27" s="23" t="s">
        <v>75</v>
      </c>
      <c r="O27" s="88">
        <f t="shared" si="5"/>
        <v>0</v>
      </c>
      <c r="P27" s="10"/>
      <c r="Q27" s="44" t="s">
        <v>78</v>
      </c>
      <c r="R27" s="14"/>
      <c r="S27" s="43" t="str">
        <f>IF($AH$7&lt;&gt;2,"",IF($I27="",0,$I27))</f>
        <v/>
      </c>
      <c r="T27" s="10"/>
      <c r="U27" s="44" t="s">
        <v>78</v>
      </c>
      <c r="V27" s="14"/>
      <c r="W27" s="95" t="str">
        <f>IF($AH$7&lt;&gt;4,"",IF($I27="",0,$I27))</f>
        <v/>
      </c>
      <c r="X27" s="10"/>
      <c r="Y27" s="46" t="s">
        <v>147</v>
      </c>
      <c r="Z27" s="23" t="s">
        <v>75</v>
      </c>
      <c r="AA27" s="88"/>
      <c r="AB27" s="10"/>
      <c r="AC27" s="44" t="s">
        <v>78</v>
      </c>
      <c r="AD27" s="14"/>
      <c r="AE27" s="95" t="str">
        <f>IF($AH$7&lt;&gt;4,"",IF($I27="",0,$I27))</f>
        <v/>
      </c>
      <c r="AF27" s="75"/>
      <c r="AG27" s="14" t="str">
        <f t="shared" si="6"/>
        <v>Waterstofsulfide</v>
      </c>
      <c r="AH27" s="14" t="str">
        <f>Q27</f>
        <v>mol N/kg</v>
      </c>
      <c r="AI27" s="14" t="str">
        <f>Q32</f>
        <v>N (gew%)</v>
      </c>
      <c r="AJ27" s="14" t="str">
        <f>U27</f>
        <v>mol N/kg</v>
      </c>
      <c r="AK27" s="14" t="str">
        <f t="shared" si="7"/>
        <v>N (gew%,droog)</v>
      </c>
      <c r="AL27" s="21">
        <f>AM27+AR27*22.008</f>
        <v>562.71600000000001</v>
      </c>
      <c r="AM27" s="21">
        <v>518.70000000000005</v>
      </c>
      <c r="AN27" s="21">
        <v>34.075800000000001</v>
      </c>
      <c r="AO27" s="22">
        <v>22.188099999999999</v>
      </c>
      <c r="AP27" s="22">
        <v>0.1</v>
      </c>
      <c r="AQ27" s="8"/>
      <c r="AR27" s="8">
        <v>2</v>
      </c>
      <c r="AS27" s="8"/>
      <c r="AT27" s="8"/>
      <c r="AU27" s="8">
        <v>1</v>
      </c>
    </row>
    <row r="28" spans="1:48" ht="14.1" customHeight="1" x14ac:dyDescent="0.25">
      <c r="B28" s="137"/>
      <c r="C28" s="148"/>
      <c r="D28" s="137" t="str">
        <f t="shared" si="4"/>
        <v>mol%</v>
      </c>
      <c r="E28" s="148" t="str">
        <f t="shared" si="8"/>
        <v>mol%</v>
      </c>
      <c r="F28" s="148"/>
      <c r="G28" s="148"/>
      <c r="H28" s="169" t="str">
        <f t="shared" si="9"/>
        <v>Waterstof</v>
      </c>
      <c r="I28" s="107"/>
      <c r="J28" s="267" t="str">
        <f>INDEX(D28:E28,'Combustion Emissions'!$J$54)</f>
        <v>mol%</v>
      </c>
      <c r="K28" s="286" t="str">
        <f>IF(Examples!D25="","",Examples!D25)</f>
        <v/>
      </c>
      <c r="L28" s="179" t="str">
        <f>IF(INDEX(F28:G28,'Combustion Emissions'!$J$54)="","",INDEX(F28:G28,'Combustion Emissions'!$J$54))</f>
        <v/>
      </c>
      <c r="M28" s="16" t="str">
        <f>IF('Combustion Emissions'!$J$54=1,"Waterstof","Hydrogen")</f>
        <v>Waterstof</v>
      </c>
      <c r="N28" s="13" t="s">
        <v>75</v>
      </c>
      <c r="O28" s="87">
        <f t="shared" si="5"/>
        <v>0</v>
      </c>
      <c r="P28" s="10"/>
      <c r="Q28" s="44" t="s">
        <v>79</v>
      </c>
      <c r="R28" s="14"/>
      <c r="S28" s="43" t="str">
        <f>IF($AH$7&lt;&gt;2,"",IF($I28="",0,$I28))</f>
        <v/>
      </c>
      <c r="T28" s="10"/>
      <c r="U28" s="44" t="s">
        <v>79</v>
      </c>
      <c r="V28" s="14"/>
      <c r="W28" s="95" t="str">
        <f>IF($AH$7&lt;&gt;4,"",IF($I28="",0,$I28))</f>
        <v/>
      </c>
      <c r="X28" s="10"/>
      <c r="Y28" s="39" t="s">
        <v>80</v>
      </c>
      <c r="Z28" s="13" t="s">
        <v>75</v>
      </c>
      <c r="AA28" s="87"/>
      <c r="AB28" s="10"/>
      <c r="AC28" s="44" t="s">
        <v>79</v>
      </c>
      <c r="AD28" s="14"/>
      <c r="AE28" s="95" t="str">
        <f>IF($AH$7&lt;&gt;4,"",IF($I28="",0,$I28))</f>
        <v/>
      </c>
      <c r="AF28" s="75"/>
      <c r="AG28" s="14" t="str">
        <f t="shared" si="6"/>
        <v>Waterstof</v>
      </c>
      <c r="AH28" s="14" t="str">
        <f>Q28</f>
        <v>mol S/kg</v>
      </c>
      <c r="AI28" s="14" t="str">
        <f>Q33</f>
        <v>S (gew%)</v>
      </c>
      <c r="AJ28" s="14" t="str">
        <f>U28</f>
        <v>mol S/kg</v>
      </c>
      <c r="AK28" s="14" t="str">
        <f t="shared" si="7"/>
        <v>S (gew%,droog)</v>
      </c>
      <c r="AL28" s="21">
        <f>AM28+AR28*22.008</f>
        <v>285.84300000000002</v>
      </c>
      <c r="AM28" s="21">
        <v>241.827</v>
      </c>
      <c r="AN28" s="21">
        <v>2.0158</v>
      </c>
      <c r="AO28" s="22">
        <v>22.435400000000001</v>
      </c>
      <c r="AP28" s="22">
        <v>0</v>
      </c>
      <c r="AQ28" s="8"/>
      <c r="AR28" s="8">
        <v>2</v>
      </c>
      <c r="AS28" s="8"/>
      <c r="AT28" s="8"/>
      <c r="AU28" s="8"/>
    </row>
    <row r="29" spans="1:48" ht="14.1" customHeight="1" x14ac:dyDescent="0.25">
      <c r="B29" s="137"/>
      <c r="C29" s="148"/>
      <c r="D29" s="137" t="str">
        <f t="shared" si="4"/>
        <v>mol%</v>
      </c>
      <c r="E29" s="148" t="str">
        <f t="shared" si="8"/>
        <v>mol%</v>
      </c>
      <c r="F29" s="148"/>
      <c r="G29" s="148"/>
      <c r="H29" s="169" t="str">
        <f t="shared" si="9"/>
        <v>Waterdamp</v>
      </c>
      <c r="I29" s="107"/>
      <c r="J29" s="267" t="str">
        <f>INDEX(D29:E29,'Combustion Emissions'!$J$54)</f>
        <v>mol%</v>
      </c>
      <c r="K29" s="286" t="str">
        <f>IF(Examples!D26="","",Examples!D26)</f>
        <v/>
      </c>
      <c r="L29" s="179" t="str">
        <f>IF(INDEX(F29:G29,'Combustion Emissions'!$J$54)="","",INDEX(F29:G29,'Combustion Emissions'!$J$54))</f>
        <v/>
      </c>
      <c r="M29" s="16" t="str">
        <f>IF('Combustion Emissions'!$J$54=1,"Waterdamp","Water (vapour)")</f>
        <v>Waterdamp</v>
      </c>
      <c r="N29" s="13" t="s">
        <v>75</v>
      </c>
      <c r="O29" s="87">
        <f t="shared" si="5"/>
        <v>0</v>
      </c>
      <c r="P29" s="10"/>
      <c r="Q29" s="60" t="s">
        <v>81</v>
      </c>
      <c r="R29" s="20"/>
      <c r="S29" s="92" t="str">
        <f>IF($AH$7&lt;&gt;2,"",IF($I29="",0,$I29))</f>
        <v/>
      </c>
      <c r="T29" s="10"/>
      <c r="U29" s="60" t="s">
        <v>81</v>
      </c>
      <c r="V29" s="20"/>
      <c r="W29" s="96" t="str">
        <f>IF($AH$7&lt;&gt;4,"",IF($I29="",0,$I29))</f>
        <v/>
      </c>
      <c r="X29" s="10"/>
      <c r="Y29" s="39" t="s">
        <v>62</v>
      </c>
      <c r="Z29" s="13" t="s">
        <v>75</v>
      </c>
      <c r="AA29" s="87"/>
      <c r="AB29" s="10"/>
      <c r="AC29" s="60" t="s">
        <v>81</v>
      </c>
      <c r="AD29" s="20"/>
      <c r="AE29" s="96" t="str">
        <f>IF($AH$7&lt;&gt;4,"",IF($I29="",0,$I29))</f>
        <v/>
      </c>
      <c r="AF29" s="75"/>
      <c r="AG29" s="14" t="str">
        <f t="shared" si="6"/>
        <v>Waterdamp</v>
      </c>
      <c r="AH29" s="14" t="str">
        <f>Q29</f>
        <v>mol O/kg</v>
      </c>
      <c r="AI29" s="14" t="str">
        <f>Q34</f>
        <v>As (gew%)</v>
      </c>
      <c r="AJ29" s="14" t="str">
        <f>U29</f>
        <v>mol O/kg</v>
      </c>
      <c r="AK29" s="14" t="str">
        <f t="shared" si="7"/>
        <v>O (gew% droog)</v>
      </c>
      <c r="AL29" s="21">
        <v>0</v>
      </c>
      <c r="AM29" s="21">
        <v>0</v>
      </c>
      <c r="AN29" s="21">
        <v>18.0152</v>
      </c>
      <c r="AO29" s="22">
        <v>21.629000000000001</v>
      </c>
      <c r="AP29" s="22">
        <v>0.17899999999999999</v>
      </c>
      <c r="AQ29" s="8"/>
      <c r="AR29" s="8">
        <v>2</v>
      </c>
      <c r="AS29" s="8">
        <v>1</v>
      </c>
      <c r="AT29" s="8"/>
      <c r="AU29" s="8"/>
    </row>
    <row r="30" spans="1:48" ht="14.1" customHeight="1" x14ac:dyDescent="0.25">
      <c r="B30" s="137"/>
      <c r="C30" s="148"/>
      <c r="D30" s="137" t="str">
        <f t="shared" si="4"/>
        <v>mol%</v>
      </c>
      <c r="E30" s="148" t="str">
        <f t="shared" si="8"/>
        <v>mol%</v>
      </c>
      <c r="F30" s="148"/>
      <c r="G30" s="148"/>
      <c r="H30" s="169" t="str">
        <f t="shared" si="9"/>
        <v>Stikstof</v>
      </c>
      <c r="I30" s="107"/>
      <c r="J30" s="267" t="str">
        <f>INDEX(D30:E30,'Combustion Emissions'!$J$54)</f>
        <v>mol%</v>
      </c>
      <c r="K30" s="287" t="str">
        <f>IF(Examples!D27="","",Examples!D27)</f>
        <v/>
      </c>
      <c r="L30" s="281" t="str">
        <f>IF(INDEX(F30:G30,'Combustion Emissions'!$J$54)="","",INDEX(F30:G30,'Combustion Emissions'!$J$54))</f>
        <v/>
      </c>
      <c r="M30" s="159" t="str">
        <f>IF('Combustion Emissions'!$J$54=1,"Stikstof","Nitrogen")</f>
        <v>Stikstof</v>
      </c>
      <c r="N30" s="23" t="s">
        <v>75</v>
      </c>
      <c r="O30" s="88">
        <f t="shared" si="5"/>
        <v>0</v>
      </c>
      <c r="P30" s="10"/>
      <c r="Q30" s="44" t="str">
        <f>IF('Combustion Emissions'!$J$54=1,"C (gew%)","C (weight%)")</f>
        <v>C (gew%)</v>
      </c>
      <c r="R30" s="14"/>
      <c r="S30" s="68" t="str">
        <f>IF($AH$7&lt;&gt;3,"",IF($I25="",0,$I25/100))</f>
        <v/>
      </c>
      <c r="T30" s="10"/>
      <c r="U30" s="44" t="str">
        <f>IF('Combustion Emissions'!$J$54=1,"C (gew%,droog)","C (weight%, dry)")</f>
        <v>C (gew%,droog)</v>
      </c>
      <c r="V30" s="14"/>
      <c r="W30" s="68" t="str">
        <f t="shared" ref="W30:W35" si="10">IF($AH$7&lt;&gt;5,"",IF($I25="",0,$I25/100))</f>
        <v/>
      </c>
      <c r="X30" s="10"/>
      <c r="Y30" s="46" t="s">
        <v>84</v>
      </c>
      <c r="Z30" s="23" t="s">
        <v>75</v>
      </c>
      <c r="AA30" s="88"/>
      <c r="AB30" s="10"/>
      <c r="AC30" s="44" t="s">
        <v>83</v>
      </c>
      <c r="AD30" s="14"/>
      <c r="AE30" s="68">
        <f>44.4%</f>
        <v>0.44400000000000001</v>
      </c>
      <c r="AF30" s="85"/>
      <c r="AG30" s="14" t="str">
        <f t="shared" si="6"/>
        <v>Stikstof</v>
      </c>
      <c r="AH30" s="14"/>
      <c r="AI30" s="14"/>
      <c r="AJ30" s="14"/>
      <c r="AK30" s="14" t="str">
        <f t="shared" si="7"/>
        <v>Vochtgehalte</v>
      </c>
      <c r="AL30" s="21">
        <f t="shared" ref="AL30:AL60" si="11">AM30+AR30*22.008</f>
        <v>0</v>
      </c>
      <c r="AM30" s="21">
        <v>0</v>
      </c>
      <c r="AN30" s="21">
        <v>28.013400000000001</v>
      </c>
      <c r="AO30" s="22">
        <v>22.403700000000001</v>
      </c>
      <c r="AP30" s="22">
        <v>2.24E-2</v>
      </c>
      <c r="AQ30" s="8"/>
      <c r="AR30" s="8"/>
      <c r="AS30" s="8"/>
      <c r="AT30" s="8">
        <v>2</v>
      </c>
      <c r="AU30" s="8"/>
    </row>
    <row r="31" spans="1:48" ht="14.1" customHeight="1" x14ac:dyDescent="0.25">
      <c r="B31" s="137"/>
      <c r="C31" s="148"/>
      <c r="D31" s="137" t="str">
        <f t="shared" si="4"/>
        <v>mol%</v>
      </c>
      <c r="E31" s="148" t="str">
        <f t="shared" si="8"/>
        <v>mol%</v>
      </c>
      <c r="F31" s="148"/>
      <c r="G31" s="148"/>
      <c r="H31" s="171" t="str">
        <f t="shared" si="9"/>
        <v>Zuurstof</v>
      </c>
      <c r="I31" s="134"/>
      <c r="J31" s="269" t="str">
        <f>INDEX(D31:E31,'Combustion Emissions'!$J$54)</f>
        <v>mol%</v>
      </c>
      <c r="K31" s="286" t="str">
        <f>IF(Examples!D28="","",Examples!D28)</f>
        <v/>
      </c>
      <c r="L31" s="179" t="str">
        <f>IF(INDEX(F31:G31,'Combustion Emissions'!$J$54)="","",INDEX(F31:G31,'Combustion Emissions'!$J$54))</f>
        <v/>
      </c>
      <c r="M31" s="16" t="str">
        <f>IF('Combustion Emissions'!$J$54=1,"Zuurstof","Oxygen")</f>
        <v>Zuurstof</v>
      </c>
      <c r="N31" s="13" t="s">
        <v>75</v>
      </c>
      <c r="O31" s="87">
        <f t="shared" si="5"/>
        <v>0</v>
      </c>
      <c r="P31" s="10"/>
      <c r="Q31" s="44" t="str">
        <f>IF('Combustion Emissions'!$J$54=1,"H (gew%)","H (weight%)")</f>
        <v>H (gew%)</v>
      </c>
      <c r="R31" s="14"/>
      <c r="S31" s="68" t="str">
        <f>IF($AH$7&lt;&gt;3,"",IF($I26="",0,$I26/100))</f>
        <v/>
      </c>
      <c r="T31" s="10"/>
      <c r="U31" s="44" t="str">
        <f>IF('Combustion Emissions'!$J$54=1,"H (gew%,droog)","H (weight%, dry)")</f>
        <v>H (gew%,droog)</v>
      </c>
      <c r="V31" s="14"/>
      <c r="W31" s="68" t="str">
        <f t="shared" si="10"/>
        <v/>
      </c>
      <c r="X31" s="10"/>
      <c r="Y31" s="39" t="s">
        <v>87</v>
      </c>
      <c r="Z31" s="13" t="s">
        <v>75</v>
      </c>
      <c r="AA31" s="87"/>
      <c r="AB31" s="10"/>
      <c r="AC31" s="44" t="s">
        <v>86</v>
      </c>
      <c r="AD31" s="14"/>
      <c r="AE31" s="68">
        <f>6.2%</f>
        <v>6.2E-2</v>
      </c>
      <c r="AF31" s="85"/>
      <c r="AG31" s="14" t="str">
        <f t="shared" si="6"/>
        <v>Zuurstof</v>
      </c>
      <c r="AH31" s="14"/>
      <c r="AI31" s="14"/>
      <c r="AJ31" s="14"/>
      <c r="AK31" s="14"/>
      <c r="AL31" s="21">
        <f t="shared" si="11"/>
        <v>0</v>
      </c>
      <c r="AM31" s="21">
        <v>0</v>
      </c>
      <c r="AN31" s="21">
        <v>31.998799999999999</v>
      </c>
      <c r="AO31" s="22">
        <v>22.3919</v>
      </c>
      <c r="AP31" s="22">
        <v>3.1600000000000003E-2</v>
      </c>
      <c r="AQ31" s="8"/>
      <c r="AR31" s="8"/>
      <c r="AS31" s="8">
        <v>2</v>
      </c>
      <c r="AT31" s="8"/>
      <c r="AU31" s="8"/>
    </row>
    <row r="32" spans="1:48" ht="14.1" customHeight="1" x14ac:dyDescent="0.25">
      <c r="B32" s="137"/>
      <c r="C32" s="148"/>
      <c r="D32" s="137" t="str">
        <f t="shared" si="4"/>
        <v>mol%</v>
      </c>
      <c r="E32" s="148" t="str">
        <f t="shared" si="8"/>
        <v>mol%</v>
      </c>
      <c r="F32" s="148"/>
      <c r="G32" s="148"/>
      <c r="H32" s="169" t="str">
        <f t="shared" si="9"/>
        <v>Methaan</v>
      </c>
      <c r="I32" s="107"/>
      <c r="J32" s="267" t="str">
        <f>INDEX(D32:E32,'Combustion Emissions'!$J$54)</f>
        <v>mol%</v>
      </c>
      <c r="K32" s="286" t="str">
        <f>IF(Examples!D29="","",Examples!D29)</f>
        <v/>
      </c>
      <c r="L32" s="179" t="str">
        <f>IF(INDEX(F32:G32,'Combustion Emissions'!$J$54)="","",INDEX(F32:G32,'Combustion Emissions'!$J$54))</f>
        <v/>
      </c>
      <c r="M32" s="16" t="str">
        <f>IF('Combustion Emissions'!$J$54=1,"Methaan","Methane")</f>
        <v>Methaan</v>
      </c>
      <c r="N32" s="13" t="s">
        <v>75</v>
      </c>
      <c r="O32" s="87">
        <f t="shared" si="5"/>
        <v>0</v>
      </c>
      <c r="P32" s="10"/>
      <c r="Q32" s="44" t="str">
        <f>IF('Combustion Emissions'!$J$54=1,"N (gew%)","N (weight%)")</f>
        <v>N (gew%)</v>
      </c>
      <c r="R32" s="14"/>
      <c r="S32" s="68" t="str">
        <f>IF($AH$7&lt;&gt;3,"",IF($I27="",0,$I27/100))</f>
        <v/>
      </c>
      <c r="T32" s="10"/>
      <c r="U32" s="44" t="str">
        <f>IF('Combustion Emissions'!$J$54=1,"N (gew%,droog)","N (weight%, dry)")</f>
        <v>N (gew%,droog)</v>
      </c>
      <c r="V32" s="14"/>
      <c r="W32" s="68" t="str">
        <f t="shared" si="10"/>
        <v/>
      </c>
      <c r="X32" s="10"/>
      <c r="Y32" s="39" t="s">
        <v>90</v>
      </c>
      <c r="Z32" s="13" t="s">
        <v>75</v>
      </c>
      <c r="AA32" s="114">
        <f>'Combustion Emissions'!N13</f>
        <v>40</v>
      </c>
      <c r="AB32" s="10"/>
      <c r="AC32" s="44" t="s">
        <v>89</v>
      </c>
      <c r="AD32" s="14"/>
      <c r="AE32" s="68"/>
      <c r="AF32" s="85"/>
      <c r="AG32" s="14" t="str">
        <f t="shared" si="6"/>
        <v>Methaan</v>
      </c>
      <c r="AH32" s="14"/>
      <c r="AI32" s="14"/>
      <c r="AJ32" s="14"/>
      <c r="AK32" s="14"/>
      <c r="AL32" s="21">
        <f t="shared" si="11"/>
        <v>890.35200000000009</v>
      </c>
      <c r="AM32" s="21">
        <v>802.32</v>
      </c>
      <c r="AN32" s="21">
        <f t="shared" ref="AN32:AN60" si="12">12.011*AQ32+1.0079*AR32+15.9994*AS32+14.0067*AT32+32.06*AU32</f>
        <v>16.0426</v>
      </c>
      <c r="AO32" s="22">
        <v>22.36</v>
      </c>
      <c r="AP32" s="22">
        <v>4.9000000000000002E-2</v>
      </c>
      <c r="AQ32" s="8">
        <v>1</v>
      </c>
      <c r="AR32" s="8">
        <v>4</v>
      </c>
      <c r="AS32" s="8"/>
      <c r="AT32" s="8"/>
      <c r="AU32" s="8"/>
    </row>
    <row r="33" spans="2:47" ht="14.1" customHeight="1" x14ac:dyDescent="0.25">
      <c r="B33" s="137"/>
      <c r="C33" s="148"/>
      <c r="D33" s="137" t="str">
        <f t="shared" si="4"/>
        <v>mol%</v>
      </c>
      <c r="E33" s="148" t="str">
        <f t="shared" si="8"/>
        <v>mol%</v>
      </c>
      <c r="F33" s="148"/>
      <c r="G33" s="148"/>
      <c r="H33" s="170" t="str">
        <f t="shared" si="9"/>
        <v>Koolstofmonoxide</v>
      </c>
      <c r="I33" s="135"/>
      <c r="J33" s="270" t="str">
        <f>INDEX(D33:E33,'Combustion Emissions'!$J$54)</f>
        <v>mol%</v>
      </c>
      <c r="K33" s="286" t="str">
        <f>IF(Examples!D30="","",Examples!D30)</f>
        <v/>
      </c>
      <c r="L33" s="179" t="str">
        <f>IF(INDEX(F33:G33,'Combustion Emissions'!$J$54)="","",INDEX(F33:G33,'Combustion Emissions'!$J$54))</f>
        <v/>
      </c>
      <c r="M33" s="159" t="str">
        <f>IF('Combustion Emissions'!$J$54=1,"Koolstofmonoxide","Carbonmonoxide")</f>
        <v>Koolstofmonoxide</v>
      </c>
      <c r="N33" s="23" t="s">
        <v>75</v>
      </c>
      <c r="O33" s="88">
        <f t="shared" si="5"/>
        <v>0</v>
      </c>
      <c r="P33" s="10"/>
      <c r="Q33" s="44" t="str">
        <f>IF('Combustion Emissions'!$J$54=1,"S (gew%)","S (weight%)")</f>
        <v>S (gew%)</v>
      </c>
      <c r="R33" s="14"/>
      <c r="S33" s="68" t="str">
        <f>IF($AH$7&lt;&gt;3,"",IF($I28="",0,$I28/100))</f>
        <v/>
      </c>
      <c r="T33" s="10"/>
      <c r="U33" s="44" t="str">
        <f>IF('Combustion Emissions'!$J$54=1,"S (gew%,droog)","S (weight%, dry)")</f>
        <v>S (gew%,droog)</v>
      </c>
      <c r="V33" s="14"/>
      <c r="W33" s="68" t="str">
        <f t="shared" si="10"/>
        <v/>
      </c>
      <c r="X33" s="10"/>
      <c r="Y33" s="46" t="s">
        <v>93</v>
      </c>
      <c r="Z33" s="23" t="s">
        <v>75</v>
      </c>
      <c r="AA33" s="88"/>
      <c r="AB33" s="10"/>
      <c r="AC33" s="44" t="s">
        <v>92</v>
      </c>
      <c r="AD33" s="14"/>
      <c r="AE33" s="68">
        <v>2.0000000000000001E-4</v>
      </c>
      <c r="AF33" s="85"/>
      <c r="AG33" s="14" t="str">
        <f t="shared" si="6"/>
        <v>Koolstofmonoxide</v>
      </c>
      <c r="AH33" s="14"/>
      <c r="AI33" s="14"/>
      <c r="AJ33" s="14"/>
      <c r="AK33" s="14"/>
      <c r="AL33" s="21">
        <f t="shared" si="11"/>
        <v>282.98899999999998</v>
      </c>
      <c r="AM33" s="21">
        <v>282.98899999999998</v>
      </c>
      <c r="AN33" s="21">
        <f t="shared" si="12"/>
        <v>28.010399999999997</v>
      </c>
      <c r="AO33" s="22">
        <v>22.399100000000001</v>
      </c>
      <c r="AP33" s="22">
        <v>2.6499999999999999E-2</v>
      </c>
      <c r="AQ33" s="8">
        <v>1</v>
      </c>
      <c r="AR33" s="8"/>
      <c r="AS33" s="8">
        <v>1</v>
      </c>
      <c r="AT33" s="8"/>
      <c r="AU33" s="8"/>
    </row>
    <row r="34" spans="2:47" ht="14.1" customHeight="1" x14ac:dyDescent="0.25">
      <c r="B34" s="137"/>
      <c r="C34" s="148"/>
      <c r="D34" s="137" t="str">
        <f t="shared" si="4"/>
        <v>mol%</v>
      </c>
      <c r="E34" s="148" t="str">
        <f t="shared" si="8"/>
        <v>mol%</v>
      </c>
      <c r="F34" s="148"/>
      <c r="G34" s="148"/>
      <c r="H34" s="169" t="str">
        <f t="shared" si="9"/>
        <v>Koolstofdioxide</v>
      </c>
      <c r="I34" s="107"/>
      <c r="J34" s="267" t="str">
        <f>INDEX(D34:E34,'Combustion Emissions'!$J$54)</f>
        <v>mol%</v>
      </c>
      <c r="K34" s="285" t="str">
        <f>IF(Examples!D31="","",Examples!D31)</f>
        <v/>
      </c>
      <c r="L34" s="294" t="str">
        <f>IF(INDEX(F34:G34,'Combustion Emissions'!$J$54)="","",INDEX(F34:G34,'Combustion Emissions'!$J$54))</f>
        <v/>
      </c>
      <c r="M34" s="16" t="str">
        <f>IF('Combustion Emissions'!$J$54=1,"Koolstofdioxide","Carbondioxide")</f>
        <v>Koolstofdioxide</v>
      </c>
      <c r="N34" s="13" t="s">
        <v>75</v>
      </c>
      <c r="O34" s="87">
        <f t="shared" si="5"/>
        <v>0</v>
      </c>
      <c r="P34" s="10"/>
      <c r="Q34" s="60" t="str">
        <f>IF('Combustion Emissions'!$J$54=1,"As (gew%)","Ash (weight%)")</f>
        <v>As (gew%)</v>
      </c>
      <c r="R34" s="20"/>
      <c r="S34" s="93" t="str">
        <f>IF($AH$7&lt;&gt;3,"",IF($I29="",0,$I29/100))</f>
        <v/>
      </c>
      <c r="T34" s="10"/>
      <c r="U34" s="44" t="str">
        <f>IF('Combustion Emissions'!$J$54=1,"O (gew% droog)","O (weight%, dry)")</f>
        <v>O (gew% droog)</v>
      </c>
      <c r="V34" s="14"/>
      <c r="W34" s="68" t="str">
        <f t="shared" si="10"/>
        <v/>
      </c>
      <c r="X34" s="10"/>
      <c r="Y34" s="39" t="s">
        <v>59</v>
      </c>
      <c r="Z34" s="13" t="s">
        <v>75</v>
      </c>
      <c r="AA34" s="87">
        <f>100-AA32</f>
        <v>60</v>
      </c>
      <c r="AB34" s="10"/>
      <c r="AC34" s="44" t="s">
        <v>95</v>
      </c>
      <c r="AD34" s="14"/>
      <c r="AE34" s="68">
        <f>49.4%</f>
        <v>0.49399999999999999</v>
      </c>
      <c r="AF34" s="85"/>
      <c r="AG34" s="14" t="str">
        <f t="shared" si="6"/>
        <v>Koolstofdioxide</v>
      </c>
      <c r="AH34" s="14"/>
      <c r="AI34" s="14"/>
      <c r="AJ34" s="14"/>
      <c r="AK34" s="14"/>
      <c r="AL34" s="21">
        <f t="shared" si="11"/>
        <v>0</v>
      </c>
      <c r="AM34" s="21">
        <v>0</v>
      </c>
      <c r="AN34" s="21">
        <f t="shared" si="12"/>
        <v>44.009799999999998</v>
      </c>
      <c r="AO34" s="22">
        <v>22.246099999999998</v>
      </c>
      <c r="AP34" s="22">
        <v>6.7000000000000004E-2</v>
      </c>
      <c r="AQ34" s="8">
        <v>1</v>
      </c>
      <c r="AR34" s="8"/>
      <c r="AS34" s="8">
        <v>2</v>
      </c>
      <c r="AT34" s="8"/>
      <c r="AU34" s="8"/>
    </row>
    <row r="35" spans="2:47" ht="14.1" customHeight="1" x14ac:dyDescent="0.25">
      <c r="B35" s="137"/>
      <c r="C35" s="148"/>
      <c r="D35" s="137" t="str">
        <f t="shared" si="4"/>
        <v>mol%</v>
      </c>
      <c r="E35" s="148" t="str">
        <f t="shared" si="8"/>
        <v>mol%</v>
      </c>
      <c r="F35" s="148"/>
      <c r="G35" s="148"/>
      <c r="H35" s="169" t="str">
        <f t="shared" si="9"/>
        <v>Ethaan</v>
      </c>
      <c r="I35" s="107"/>
      <c r="J35" s="267" t="str">
        <f>INDEX(D35:E35,'Combustion Emissions'!$J$54)</f>
        <v>mol%</v>
      </c>
      <c r="K35" s="286" t="str">
        <f>IF(Examples!D32="","",Examples!D32)</f>
        <v/>
      </c>
      <c r="L35" s="179" t="str">
        <f>IF(INDEX(F35:G35,'Combustion Emissions'!$J$54)="","",INDEX(F35:G35,'Combustion Emissions'!$J$54))</f>
        <v/>
      </c>
      <c r="M35" s="16" t="str">
        <f>IF('Combustion Emissions'!$J$54=1,"Ethaan","Ethane")</f>
        <v>Ethaan</v>
      </c>
      <c r="N35" s="13" t="s">
        <v>75</v>
      </c>
      <c r="O35" s="87">
        <f t="shared" si="5"/>
        <v>0</v>
      </c>
      <c r="P35" s="10"/>
      <c r="Q35" s="44"/>
      <c r="R35" s="14"/>
      <c r="S35" s="70"/>
      <c r="T35" s="10"/>
      <c r="U35" s="60" t="str">
        <f>IF('Combustion Emissions'!$J$54=1,"Vochtgehalte","Moisture content (weight%, dry)")</f>
        <v>Vochtgehalte</v>
      </c>
      <c r="V35" s="20"/>
      <c r="W35" s="93" t="str">
        <f t="shared" si="10"/>
        <v/>
      </c>
      <c r="X35" s="10"/>
      <c r="Y35" s="39" t="s">
        <v>97</v>
      </c>
      <c r="Z35" s="13" t="s">
        <v>75</v>
      </c>
      <c r="AA35" s="87"/>
      <c r="AB35" s="10"/>
      <c r="AC35" s="60" t="s">
        <v>96</v>
      </c>
      <c r="AD35" s="20"/>
      <c r="AE35" s="115">
        <f>'Combustion Emissions'!N13/100</f>
        <v>0.4</v>
      </c>
      <c r="AF35" s="85"/>
      <c r="AG35" s="14" t="str">
        <f t="shared" si="6"/>
        <v>Ethaan</v>
      </c>
      <c r="AH35" s="14"/>
      <c r="AI35" s="14"/>
      <c r="AJ35" s="14"/>
      <c r="AK35" s="14"/>
      <c r="AL35" s="21">
        <f t="shared" si="11"/>
        <v>1559.8779999999999</v>
      </c>
      <c r="AM35" s="21">
        <v>1427.83</v>
      </c>
      <c r="AN35" s="21">
        <f t="shared" si="12"/>
        <v>30.069399999999998</v>
      </c>
      <c r="AO35" s="22">
        <v>22.1874</v>
      </c>
      <c r="AP35" s="22">
        <v>0.10150000000000001</v>
      </c>
      <c r="AQ35" s="8">
        <v>2</v>
      </c>
      <c r="AR35" s="8">
        <v>6</v>
      </c>
      <c r="AS35" s="8"/>
      <c r="AT35" s="8"/>
      <c r="AU35" s="8"/>
    </row>
    <row r="36" spans="2:47" ht="24" hidden="1" customHeight="1" x14ac:dyDescent="0.25">
      <c r="B36" s="137"/>
      <c r="C36" s="148"/>
      <c r="D36" s="137" t="str">
        <f t="shared" si="4"/>
        <v>mol%</v>
      </c>
      <c r="E36" s="148" t="str">
        <f t="shared" si="8"/>
        <v>mol%</v>
      </c>
      <c r="F36" s="148"/>
      <c r="G36" s="148"/>
      <c r="H36" s="278" t="str">
        <f t="shared" si="9"/>
        <v>Etheen</v>
      </c>
      <c r="I36" s="108"/>
      <c r="J36" s="271" t="str">
        <f>INDEX(D36:E36,'Combustion Emissions'!$J$54)</f>
        <v>mol%</v>
      </c>
      <c r="K36" s="286" t="str">
        <f>IF(Examples!D33="","",Examples!D33)</f>
        <v/>
      </c>
      <c r="L36" s="179" t="str">
        <f>IF(INDEX(F36:G36,'Combustion Emissions'!$J$54)="","",INDEX(F36:G36,'Combustion Emissions'!$J$54))</f>
        <v/>
      </c>
      <c r="M36" s="159" t="str">
        <f>IF('Combustion Emissions'!$J$54=1,"Etheen","Ethene")</f>
        <v>Etheen</v>
      </c>
      <c r="N36" s="23" t="s">
        <v>75</v>
      </c>
      <c r="O36" s="88">
        <f t="shared" si="5"/>
        <v>0</v>
      </c>
      <c r="P36" s="10"/>
      <c r="Q36" s="44"/>
      <c r="R36" s="14"/>
      <c r="S36" s="70"/>
      <c r="T36" s="10"/>
      <c r="U36" s="39"/>
      <c r="V36" s="16"/>
      <c r="W36" s="54"/>
      <c r="X36" s="10"/>
      <c r="Y36" s="46" t="s">
        <v>148</v>
      </c>
      <c r="Z36" s="23" t="s">
        <v>75</v>
      </c>
      <c r="AA36" s="88"/>
      <c r="AB36" s="10"/>
      <c r="AC36" s="39"/>
      <c r="AD36" s="16"/>
      <c r="AE36" s="54"/>
      <c r="AF36" s="16"/>
      <c r="AG36" s="14" t="str">
        <f t="shared" si="6"/>
        <v>Etheen</v>
      </c>
      <c r="AH36" s="16"/>
      <c r="AI36" s="16"/>
      <c r="AJ36" s="16"/>
      <c r="AK36" s="16"/>
      <c r="AL36" s="21">
        <f t="shared" si="11"/>
        <v>1410.972</v>
      </c>
      <c r="AM36" s="21">
        <v>1322.94</v>
      </c>
      <c r="AN36" s="21">
        <f t="shared" si="12"/>
        <v>28.053599999999999</v>
      </c>
      <c r="AO36" s="22">
        <f>1322.94/59.476</f>
        <v>22.243257784652634</v>
      </c>
      <c r="AP36" s="22">
        <v>8.72E-2</v>
      </c>
      <c r="AQ36" s="8">
        <v>2</v>
      </c>
      <c r="AR36" s="8">
        <v>4</v>
      </c>
      <c r="AS36" s="8"/>
      <c r="AT36" s="8"/>
      <c r="AU36" s="8"/>
    </row>
    <row r="37" spans="2:47" ht="24" hidden="1" customHeight="1" x14ac:dyDescent="0.25">
      <c r="B37" s="137"/>
      <c r="C37" s="148"/>
      <c r="D37" s="137" t="str">
        <f t="shared" si="4"/>
        <v>mol%</v>
      </c>
      <c r="E37" s="148" t="str">
        <f t="shared" si="8"/>
        <v>mol%</v>
      </c>
      <c r="F37" s="148"/>
      <c r="G37" s="148"/>
      <c r="H37" s="279" t="str">
        <f t="shared" si="9"/>
        <v>Ethyn</v>
      </c>
      <c r="I37" s="107"/>
      <c r="J37" s="267" t="str">
        <f>INDEX(D37:E37,'Combustion Emissions'!$J$54)</f>
        <v>mol%</v>
      </c>
      <c r="K37" s="286" t="str">
        <f>IF(Examples!D34="","",Examples!D34)</f>
        <v/>
      </c>
      <c r="L37" s="179" t="str">
        <f>IF(INDEX(F37:G37,'Combustion Emissions'!$J$54)="","",INDEX(F37:G37,'Combustion Emissions'!$J$54))</f>
        <v/>
      </c>
      <c r="M37" s="16" t="str">
        <f>IF('Combustion Emissions'!$J$54=1,"Ethyn","Ethyne")</f>
        <v>Ethyn</v>
      </c>
      <c r="N37" s="13" t="s">
        <v>75</v>
      </c>
      <c r="O37" s="87">
        <f t="shared" si="5"/>
        <v>0</v>
      </c>
      <c r="P37" s="10"/>
      <c r="Q37" s="44"/>
      <c r="R37" s="14"/>
      <c r="S37" s="70"/>
      <c r="T37" s="10"/>
      <c r="U37" s="39"/>
      <c r="V37" s="16"/>
      <c r="W37" s="54"/>
      <c r="X37" s="10"/>
      <c r="Y37" s="39" t="s">
        <v>149</v>
      </c>
      <c r="Z37" s="13" t="s">
        <v>75</v>
      </c>
      <c r="AA37" s="87"/>
      <c r="AB37" s="10"/>
      <c r="AC37" s="39"/>
      <c r="AD37" s="16"/>
      <c r="AE37" s="54"/>
      <c r="AF37" s="16"/>
      <c r="AG37" s="14" t="str">
        <f t="shared" si="6"/>
        <v>Ethyn</v>
      </c>
      <c r="AH37" s="16"/>
      <c r="AI37" s="16"/>
      <c r="AJ37" s="16"/>
      <c r="AK37" s="16"/>
      <c r="AL37" s="21">
        <f t="shared" si="11"/>
        <v>1308.2760000000001</v>
      </c>
      <c r="AM37" s="21">
        <v>1264.26</v>
      </c>
      <c r="AN37" s="21">
        <f t="shared" si="12"/>
        <v>26.037799999999997</v>
      </c>
      <c r="AO37" s="22">
        <v>22.0425</v>
      </c>
      <c r="AP37" s="22">
        <v>7.1300000000000002E-2</v>
      </c>
      <c r="AQ37" s="8">
        <v>2</v>
      </c>
      <c r="AR37" s="8">
        <v>2</v>
      </c>
      <c r="AS37" s="8"/>
      <c r="AT37" s="8"/>
      <c r="AU37" s="8"/>
    </row>
    <row r="38" spans="2:47" ht="14.1" customHeight="1" x14ac:dyDescent="0.25">
      <c r="B38" s="137"/>
      <c r="C38" s="148"/>
      <c r="D38" s="137" t="str">
        <f t="shared" si="4"/>
        <v>mol%</v>
      </c>
      <c r="E38" s="148" t="str">
        <f t="shared" si="8"/>
        <v>mol%</v>
      </c>
      <c r="F38" s="148"/>
      <c r="G38" s="148"/>
      <c r="H38" s="169" t="str">
        <f t="shared" si="9"/>
        <v>Propaan</v>
      </c>
      <c r="I38" s="107"/>
      <c r="J38" s="267" t="str">
        <f>INDEX(D38:E38,'Combustion Emissions'!$J$54)</f>
        <v>mol%</v>
      </c>
      <c r="K38" s="287" t="str">
        <f>IF(Examples!D35="","",Examples!D35)</f>
        <v/>
      </c>
      <c r="L38" s="281" t="str">
        <f>IF(INDEX(F38:G38,'Combustion Emissions'!$J$54)="","",INDEX(F38:G38,'Combustion Emissions'!$J$54))</f>
        <v/>
      </c>
      <c r="M38" s="16" t="str">
        <f>IF('Combustion Emissions'!$J$54=1,"Propaan","Propane")</f>
        <v>Propaan</v>
      </c>
      <c r="N38" s="13" t="s">
        <v>75</v>
      </c>
      <c r="O38" s="87">
        <f t="shared" si="5"/>
        <v>0</v>
      </c>
      <c r="P38" s="10"/>
      <c r="Q38" s="44"/>
      <c r="R38" s="14"/>
      <c r="S38" s="70"/>
      <c r="T38" s="10"/>
      <c r="U38" s="39"/>
      <c r="V38" s="16"/>
      <c r="W38" s="54"/>
      <c r="X38" s="10"/>
      <c r="Y38" s="39" t="s">
        <v>98</v>
      </c>
      <c r="Z38" s="13" t="s">
        <v>75</v>
      </c>
      <c r="AA38" s="87"/>
      <c r="AB38" s="10"/>
      <c r="AC38" s="39"/>
      <c r="AD38" s="16"/>
      <c r="AE38" s="54"/>
      <c r="AF38" s="16"/>
      <c r="AG38" s="14" t="str">
        <f t="shared" si="6"/>
        <v>Propaan</v>
      </c>
      <c r="AH38" s="16"/>
      <c r="AI38" s="16"/>
      <c r="AJ38" s="16"/>
      <c r="AK38" s="16"/>
      <c r="AL38" s="21">
        <f t="shared" si="11"/>
        <v>2220.0740000000001</v>
      </c>
      <c r="AM38" s="21">
        <v>2044.01</v>
      </c>
      <c r="AN38" s="21">
        <f t="shared" si="12"/>
        <v>44.096200000000003</v>
      </c>
      <c r="AO38" s="22">
        <v>21.9297</v>
      </c>
      <c r="AP38" s="22">
        <v>0.153</v>
      </c>
      <c r="AQ38" s="8">
        <v>3</v>
      </c>
      <c r="AR38" s="8">
        <v>8</v>
      </c>
      <c r="AS38" s="8"/>
      <c r="AT38" s="8"/>
      <c r="AU38" s="8"/>
    </row>
    <row r="39" spans="2:47" ht="24" hidden="1" customHeight="1" x14ac:dyDescent="0.25">
      <c r="B39" s="137"/>
      <c r="C39" s="148"/>
      <c r="D39" s="137" t="str">
        <f t="shared" si="4"/>
        <v>mol%</v>
      </c>
      <c r="E39" s="148" t="str">
        <f t="shared" si="8"/>
        <v>mol%</v>
      </c>
      <c r="F39" s="148"/>
      <c r="G39" s="148"/>
      <c r="H39" s="279" t="str">
        <f t="shared" si="9"/>
        <v>Propeen</v>
      </c>
      <c r="I39" s="108"/>
      <c r="J39" s="267" t="str">
        <f>INDEX(D39:E39,'Combustion Emissions'!$J$54)</f>
        <v>mol%</v>
      </c>
      <c r="K39" s="286" t="str">
        <f>IF(Examples!D36="","",Examples!D36)</f>
        <v/>
      </c>
      <c r="L39" s="179" t="str">
        <f>IF(INDEX(F39:G39,'Combustion Emissions'!$J$54)="","",INDEX(F39:G39,'Combustion Emissions'!$J$54))</f>
        <v/>
      </c>
      <c r="M39" s="16" t="str">
        <f>IF('Combustion Emissions'!$J$54=1,"Propeen","Propene")</f>
        <v>Propeen</v>
      </c>
      <c r="N39" s="13" t="s">
        <v>75</v>
      </c>
      <c r="O39" s="87">
        <f t="shared" si="5"/>
        <v>0</v>
      </c>
      <c r="P39" s="10"/>
      <c r="Q39" s="44"/>
      <c r="R39" s="14"/>
      <c r="S39" s="70"/>
      <c r="T39" s="10"/>
      <c r="U39" s="39"/>
      <c r="V39" s="16"/>
      <c r="W39" s="54"/>
      <c r="X39" s="10"/>
      <c r="Y39" s="39" t="s">
        <v>150</v>
      </c>
      <c r="Z39" s="13" t="s">
        <v>75</v>
      </c>
      <c r="AA39" s="87"/>
      <c r="AB39" s="10"/>
      <c r="AC39" s="39"/>
      <c r="AD39" s="16"/>
      <c r="AE39" s="54"/>
      <c r="AF39" s="16"/>
      <c r="AG39" s="14" t="str">
        <f t="shared" si="6"/>
        <v>Propeen</v>
      </c>
      <c r="AH39" s="16"/>
      <c r="AI39" s="16"/>
      <c r="AJ39" s="16"/>
      <c r="AK39" s="16"/>
      <c r="AL39" s="21">
        <f t="shared" si="11"/>
        <v>2058.4880000000003</v>
      </c>
      <c r="AM39" s="21">
        <v>1926.44</v>
      </c>
      <c r="AN39" s="21">
        <f t="shared" si="12"/>
        <v>42.080399999999997</v>
      </c>
      <c r="AO39" s="22">
        <f>1926.44/87.607</f>
        <v>21.989567043729384</v>
      </c>
      <c r="AP39" s="22">
        <v>0.13750000000000001</v>
      </c>
      <c r="AQ39" s="8">
        <v>3</v>
      </c>
      <c r="AR39" s="8">
        <v>6</v>
      </c>
      <c r="AS39" s="8"/>
      <c r="AT39" s="8"/>
      <c r="AU39" s="8"/>
    </row>
    <row r="40" spans="2:47" ht="24" hidden="1" customHeight="1" x14ac:dyDescent="0.25">
      <c r="B40" s="137"/>
      <c r="C40" s="148"/>
      <c r="D40" s="137" t="str">
        <f t="shared" si="4"/>
        <v>mol%</v>
      </c>
      <c r="E40" s="148" t="str">
        <f t="shared" si="8"/>
        <v>mol%</v>
      </c>
      <c r="F40" s="148"/>
      <c r="G40" s="148"/>
      <c r="H40" s="280" t="str">
        <f t="shared" si="9"/>
        <v>2-Methylpropaan</v>
      </c>
      <c r="I40" s="107"/>
      <c r="J40" s="272" t="str">
        <f>INDEX(D40:E40,'Combustion Emissions'!$J$54)</f>
        <v>mol%</v>
      </c>
      <c r="K40" s="286" t="str">
        <f>IF(Examples!D37="","",Examples!D37)</f>
        <v/>
      </c>
      <c r="L40" s="179" t="str">
        <f>IF(INDEX(F40:G40,'Combustion Emissions'!$J$54)="","",INDEX(F40:G40,'Combustion Emissions'!$J$54))</f>
        <v/>
      </c>
      <c r="M40" s="161" t="str">
        <f>IF('Combustion Emissions'!$J$54=1,"2-Methylpropaan","2-Methylpropane")</f>
        <v>2-Methylpropaan</v>
      </c>
      <c r="N40" s="25" t="s">
        <v>75</v>
      </c>
      <c r="O40" s="89">
        <f t="shared" si="5"/>
        <v>0</v>
      </c>
      <c r="P40" s="10"/>
      <c r="Q40" s="44"/>
      <c r="R40" s="14"/>
      <c r="S40" s="70"/>
      <c r="T40" s="10"/>
      <c r="U40" s="39"/>
      <c r="V40" s="16"/>
      <c r="W40" s="54"/>
      <c r="X40" s="10"/>
      <c r="Y40" s="47" t="s">
        <v>99</v>
      </c>
      <c r="Z40" s="25" t="s">
        <v>75</v>
      </c>
      <c r="AA40" s="89"/>
      <c r="AB40" s="10"/>
      <c r="AC40" s="39"/>
      <c r="AD40" s="16"/>
      <c r="AE40" s="54"/>
      <c r="AF40" s="16"/>
      <c r="AG40" s="14" t="str">
        <f t="shared" si="6"/>
        <v>2-Methylpropaan</v>
      </c>
      <c r="AH40" s="16"/>
      <c r="AI40" s="16"/>
      <c r="AJ40" s="16"/>
      <c r="AK40" s="16"/>
      <c r="AL40" s="21">
        <f t="shared" si="11"/>
        <v>2868.7599999999998</v>
      </c>
      <c r="AM40" s="21">
        <v>2648.68</v>
      </c>
      <c r="AN40" s="21">
        <f t="shared" si="12"/>
        <v>58.122999999999998</v>
      </c>
      <c r="AO40" s="22">
        <v>21.610399999999998</v>
      </c>
      <c r="AP40" s="22">
        <v>0.20419999999999999</v>
      </c>
      <c r="AQ40" s="8">
        <v>4</v>
      </c>
      <c r="AR40" s="8">
        <v>10</v>
      </c>
      <c r="AS40" s="8"/>
      <c r="AT40" s="8"/>
      <c r="AU40" s="8"/>
    </row>
    <row r="41" spans="2:47" ht="14.1" customHeight="1" x14ac:dyDescent="0.25">
      <c r="B41" s="137"/>
      <c r="C41" s="148"/>
      <c r="D41" s="137" t="str">
        <f t="shared" si="4"/>
        <v>mol%</v>
      </c>
      <c r="E41" s="148" t="str">
        <f t="shared" si="8"/>
        <v>mol%</v>
      </c>
      <c r="F41" s="148"/>
      <c r="G41" s="148"/>
      <c r="H41" s="171" t="str">
        <f t="shared" si="9"/>
        <v>C4</v>
      </c>
      <c r="I41" s="134"/>
      <c r="J41" s="269" t="str">
        <f>INDEX(D41:E41,'Combustion Emissions'!$J$54)</f>
        <v>mol%</v>
      </c>
      <c r="K41" s="286" t="str">
        <f>IF(Examples!D38="","",Examples!D38)</f>
        <v/>
      </c>
      <c r="L41" s="179" t="str">
        <f>IF(INDEX(F41:G41,'Combustion Emissions'!$J$54)="","",INDEX(F41:G41,'Combustion Emissions'!$J$54))</f>
        <v/>
      </c>
      <c r="M41" s="16" t="s">
        <v>164</v>
      </c>
      <c r="N41" s="13" t="s">
        <v>75</v>
      </c>
      <c r="O41" s="87">
        <f t="shared" si="5"/>
        <v>0</v>
      </c>
      <c r="P41" s="10"/>
      <c r="Q41" s="44"/>
      <c r="R41" s="14"/>
      <c r="S41" s="70"/>
      <c r="T41" s="10"/>
      <c r="U41" s="39"/>
      <c r="V41" s="16"/>
      <c r="W41" s="54"/>
      <c r="X41" s="10"/>
      <c r="Y41" s="39" t="s">
        <v>164</v>
      </c>
      <c r="Z41" s="13" t="s">
        <v>75</v>
      </c>
      <c r="AA41" s="87"/>
      <c r="AB41" s="10"/>
      <c r="AC41" s="39"/>
      <c r="AD41" s="16"/>
      <c r="AE41" s="54"/>
      <c r="AF41" s="16"/>
      <c r="AG41" s="14" t="str">
        <f t="shared" si="6"/>
        <v>C4</v>
      </c>
      <c r="AH41" s="16"/>
      <c r="AI41" s="16"/>
      <c r="AJ41" s="16"/>
      <c r="AK41" s="16"/>
      <c r="AL41" s="21">
        <f t="shared" si="11"/>
        <v>2877.13</v>
      </c>
      <c r="AM41" s="21">
        <v>2657.05</v>
      </c>
      <c r="AN41" s="21">
        <f t="shared" si="12"/>
        <v>58.122999999999998</v>
      </c>
      <c r="AO41" s="22">
        <v>21.520499999999998</v>
      </c>
      <c r="AP41" s="22">
        <v>0.2112</v>
      </c>
      <c r="AQ41" s="8">
        <v>4</v>
      </c>
      <c r="AR41" s="8">
        <v>10</v>
      </c>
      <c r="AS41" s="8"/>
      <c r="AT41" s="8"/>
      <c r="AU41" s="8"/>
    </row>
    <row r="42" spans="2:47" ht="24" hidden="1" customHeight="1" x14ac:dyDescent="0.25">
      <c r="B42" s="137"/>
      <c r="C42" s="148"/>
      <c r="D42" s="137" t="str">
        <f t="shared" si="4"/>
        <v>mol%</v>
      </c>
      <c r="E42" s="148" t="str">
        <f t="shared" si="8"/>
        <v>mol%</v>
      </c>
      <c r="F42" s="148"/>
      <c r="G42" s="148"/>
      <c r="H42" s="278" t="str">
        <f t="shared" si="9"/>
        <v>Butadieen</v>
      </c>
      <c r="I42" s="107"/>
      <c r="J42" s="271" t="str">
        <f>INDEX(D42:E42,'Combustion Emissions'!$J$54)</f>
        <v>mol%</v>
      </c>
      <c r="K42" s="286" t="str">
        <f>IF(Examples!D39="","",Examples!D39)</f>
        <v/>
      </c>
      <c r="L42" s="179" t="str">
        <f>IF(INDEX(F42:G42,'Combustion Emissions'!$J$54)="","",INDEX(F42:G42,'Combustion Emissions'!$J$54))</f>
        <v/>
      </c>
      <c r="M42" s="159" t="str">
        <f>IF('Combustion Emissions'!$J$54=1,"Butadieen","Butadiene")</f>
        <v>Butadieen</v>
      </c>
      <c r="N42" s="23" t="s">
        <v>75</v>
      </c>
      <c r="O42" s="88">
        <f t="shared" si="5"/>
        <v>0</v>
      </c>
      <c r="P42" s="10"/>
      <c r="Q42" s="44"/>
      <c r="R42" s="14"/>
      <c r="S42" s="70"/>
      <c r="T42" s="10"/>
      <c r="U42" s="39"/>
      <c r="V42" s="16"/>
      <c r="W42" s="54"/>
      <c r="X42" s="10"/>
      <c r="Y42" s="46" t="s">
        <v>151</v>
      </c>
      <c r="Z42" s="23" t="s">
        <v>75</v>
      </c>
      <c r="AA42" s="88"/>
      <c r="AB42" s="10"/>
      <c r="AC42" s="39"/>
      <c r="AD42" s="16"/>
      <c r="AE42" s="54"/>
      <c r="AF42" s="16"/>
      <c r="AG42" s="14" t="str">
        <f t="shared" si="6"/>
        <v>Butadieen</v>
      </c>
      <c r="AH42" s="16"/>
      <c r="AI42" s="16"/>
      <c r="AJ42" s="16"/>
      <c r="AK42" s="16"/>
      <c r="AL42" s="21">
        <f t="shared" si="11"/>
        <v>2593.7879999999996</v>
      </c>
      <c r="AM42" s="21">
        <v>2461.7399999999998</v>
      </c>
      <c r="AN42" s="21">
        <f t="shared" si="12"/>
        <v>54.091399999999993</v>
      </c>
      <c r="AO42" s="22">
        <f>2461.74/114.175</f>
        <v>21.561112327567329</v>
      </c>
      <c r="AP42" s="22">
        <v>0.20300000000000001</v>
      </c>
      <c r="AQ42" s="8">
        <v>4</v>
      </c>
      <c r="AR42" s="8">
        <v>6</v>
      </c>
      <c r="AS42" s="8"/>
      <c r="AT42" s="8"/>
      <c r="AU42" s="8"/>
    </row>
    <row r="43" spans="2:47" ht="24" hidden="1" customHeight="1" x14ac:dyDescent="0.25">
      <c r="B43" s="137"/>
      <c r="C43" s="148"/>
      <c r="D43" s="137" t="str">
        <f t="shared" si="4"/>
        <v>mol%</v>
      </c>
      <c r="E43" s="148" t="str">
        <f t="shared" si="8"/>
        <v>mol%</v>
      </c>
      <c r="F43" s="148"/>
      <c r="G43" s="148"/>
      <c r="H43" s="279" t="str">
        <f t="shared" si="9"/>
        <v>2,2-Dimethylpropaan</v>
      </c>
      <c r="I43" s="109"/>
      <c r="J43" s="267" t="str">
        <f>INDEX(D43:E43,'Combustion Emissions'!$J$54)</f>
        <v>mol%</v>
      </c>
      <c r="K43" s="286" t="str">
        <f>IF(Examples!D40="","",Examples!D40)</f>
        <v/>
      </c>
      <c r="L43" s="179" t="str">
        <f>IF(INDEX(F43:G43,'Combustion Emissions'!$J$54)="","",INDEX(F43:G43,'Combustion Emissions'!$J$54))</f>
        <v/>
      </c>
      <c r="M43" s="16" t="str">
        <f>IF('Combustion Emissions'!$J$54=1,"2,2-Dimethylpropaan","2,2-Dimethylpropane")</f>
        <v>2,2-Dimethylpropaan</v>
      </c>
      <c r="N43" s="13" t="s">
        <v>75</v>
      </c>
      <c r="O43" s="87">
        <f t="shared" si="5"/>
        <v>0</v>
      </c>
      <c r="P43" s="10"/>
      <c r="Q43" s="44"/>
      <c r="R43" s="14"/>
      <c r="S43" s="70"/>
      <c r="T43" s="10"/>
      <c r="U43" s="39"/>
      <c r="V43" s="16"/>
      <c r="W43" s="54"/>
      <c r="X43" s="10"/>
      <c r="Y43" s="39" t="s">
        <v>100</v>
      </c>
      <c r="Z43" s="13" t="s">
        <v>75</v>
      </c>
      <c r="AA43" s="87"/>
      <c r="AB43" s="10"/>
      <c r="AC43" s="39"/>
      <c r="AD43" s="16"/>
      <c r="AE43" s="54"/>
      <c r="AF43" s="16"/>
      <c r="AG43" s="14" t="str">
        <f t="shared" si="6"/>
        <v>2,2-Dimethylpropaan</v>
      </c>
      <c r="AH43" s="16"/>
      <c r="AI43" s="16"/>
      <c r="AJ43" s="16"/>
      <c r="AK43" s="16"/>
      <c r="AL43" s="21">
        <f t="shared" si="11"/>
        <v>3516.6559999999999</v>
      </c>
      <c r="AM43" s="21">
        <v>3252.56</v>
      </c>
      <c r="AN43" s="21">
        <f t="shared" si="12"/>
        <v>72.149799999999999</v>
      </c>
      <c r="AO43" s="22">
        <v>21.2866</v>
      </c>
      <c r="AP43" s="22">
        <v>0.22450000000000001</v>
      </c>
      <c r="AQ43" s="8">
        <v>5</v>
      </c>
      <c r="AR43" s="8">
        <v>12</v>
      </c>
      <c r="AS43" s="8"/>
      <c r="AT43" s="8"/>
      <c r="AU43" s="8"/>
    </row>
    <row r="44" spans="2:47" ht="24" hidden="1" customHeight="1" x14ac:dyDescent="0.25">
      <c r="B44" s="137"/>
      <c r="C44" s="148"/>
      <c r="D44" s="137" t="str">
        <f t="shared" si="4"/>
        <v>mol%</v>
      </c>
      <c r="E44" s="148" t="str">
        <f t="shared" si="8"/>
        <v>mol%</v>
      </c>
      <c r="F44" s="148"/>
      <c r="G44" s="148"/>
      <c r="H44" s="279" t="str">
        <f t="shared" si="9"/>
        <v>2-Methylbutaan</v>
      </c>
      <c r="I44" s="107"/>
      <c r="J44" s="267" t="str">
        <f>INDEX(D44:E44,'Combustion Emissions'!$J$54)</f>
        <v>mol%</v>
      </c>
      <c r="K44" s="286" t="str">
        <f>IF(Examples!D41="","",Examples!D41)</f>
        <v/>
      </c>
      <c r="L44" s="179" t="str">
        <f>IF(INDEX(F44:G44,'Combustion Emissions'!$J$54)="","",INDEX(F44:G44,'Combustion Emissions'!$J$54))</f>
        <v/>
      </c>
      <c r="M44" s="16" t="str">
        <f>IF('Combustion Emissions'!$J$54=1,"2-Methylbutaan","2-Methylbutane")</f>
        <v>2-Methylbutaan</v>
      </c>
      <c r="N44" s="13" t="s">
        <v>75</v>
      </c>
      <c r="O44" s="87">
        <f t="shared" si="5"/>
        <v>0</v>
      </c>
      <c r="P44" s="10"/>
      <c r="Q44" s="44"/>
      <c r="R44" s="14"/>
      <c r="S44" s="70"/>
      <c r="T44" s="10"/>
      <c r="U44" s="39"/>
      <c r="V44" s="16"/>
      <c r="W44" s="54"/>
      <c r="X44" s="10"/>
      <c r="Y44" s="39" t="s">
        <v>101</v>
      </c>
      <c r="Z44" s="13" t="s">
        <v>75</v>
      </c>
      <c r="AA44" s="87"/>
      <c r="AB44" s="10"/>
      <c r="AC44" s="39"/>
      <c r="AD44" s="16"/>
      <c r="AE44" s="54"/>
      <c r="AF44" s="16"/>
      <c r="AG44" s="14" t="str">
        <f t="shared" si="6"/>
        <v>2-Methylbutaan</v>
      </c>
      <c r="AH44" s="16"/>
      <c r="AI44" s="16"/>
      <c r="AJ44" s="16"/>
      <c r="AK44" s="16"/>
      <c r="AL44" s="21">
        <f t="shared" si="11"/>
        <v>3528.1559999999999</v>
      </c>
      <c r="AM44" s="21">
        <v>3264.06</v>
      </c>
      <c r="AN44" s="21">
        <f t="shared" si="12"/>
        <v>72.149799999999999</v>
      </c>
      <c r="AO44" s="22">
        <v>21.0838</v>
      </c>
      <c r="AP44" s="22">
        <v>0.2462</v>
      </c>
      <c r="AQ44" s="8">
        <v>5</v>
      </c>
      <c r="AR44" s="8">
        <v>12</v>
      </c>
      <c r="AS44" s="8"/>
      <c r="AT44" s="8"/>
      <c r="AU44" s="8"/>
    </row>
    <row r="45" spans="2:47" ht="14.1" customHeight="1" x14ac:dyDescent="0.25">
      <c r="B45" s="137"/>
      <c r="C45" s="148"/>
      <c r="D45" s="137" t="str">
        <f t="shared" si="4"/>
        <v>mol%</v>
      </c>
      <c r="E45" s="148" t="str">
        <f t="shared" si="8"/>
        <v>mol%</v>
      </c>
      <c r="F45" s="148"/>
      <c r="G45" s="148"/>
      <c r="H45" s="169" t="str">
        <f t="shared" si="9"/>
        <v>C5</v>
      </c>
      <c r="I45" s="107"/>
      <c r="J45" s="267" t="str">
        <f>INDEX(D45:E45,'Combustion Emissions'!$J$54)</f>
        <v>mol%</v>
      </c>
      <c r="K45" s="286" t="str">
        <f>IF(Examples!D42="","",Examples!D42)</f>
        <v/>
      </c>
      <c r="L45" s="179" t="str">
        <f>IF(INDEX(F45:G45,'Combustion Emissions'!$J$54)="","",INDEX(F45:G45,'Combustion Emissions'!$J$54))</f>
        <v/>
      </c>
      <c r="M45" s="16" t="s">
        <v>165</v>
      </c>
      <c r="N45" s="13" t="s">
        <v>75</v>
      </c>
      <c r="O45" s="87">
        <f t="shared" si="5"/>
        <v>0</v>
      </c>
      <c r="P45" s="10"/>
      <c r="Q45" s="44"/>
      <c r="R45" s="14"/>
      <c r="S45" s="70"/>
      <c r="T45" s="10"/>
      <c r="U45" s="39"/>
      <c r="V45" s="16"/>
      <c r="W45" s="54"/>
      <c r="X45" s="10"/>
      <c r="Y45" s="39" t="s">
        <v>165</v>
      </c>
      <c r="Z45" s="13" t="s">
        <v>75</v>
      </c>
      <c r="AA45" s="87"/>
      <c r="AB45" s="10"/>
      <c r="AC45" s="39"/>
      <c r="AD45" s="16"/>
      <c r="AE45" s="54"/>
      <c r="AF45" s="16"/>
      <c r="AG45" s="14" t="str">
        <f t="shared" si="6"/>
        <v>C5</v>
      </c>
      <c r="AH45" s="16"/>
      <c r="AI45" s="16"/>
      <c r="AJ45" s="16"/>
      <c r="AK45" s="16"/>
      <c r="AL45" s="21">
        <f t="shared" si="11"/>
        <v>3536.1959999999999</v>
      </c>
      <c r="AM45" s="21">
        <v>3272.1</v>
      </c>
      <c r="AN45" s="21">
        <f t="shared" si="12"/>
        <v>72.149799999999999</v>
      </c>
      <c r="AO45" s="22">
        <v>20.890699999999999</v>
      </c>
      <c r="AP45" s="22">
        <v>0.26100000000000001</v>
      </c>
      <c r="AQ45" s="8">
        <v>5</v>
      </c>
      <c r="AR45" s="8">
        <v>12</v>
      </c>
      <c r="AS45" s="8"/>
      <c r="AT45" s="8"/>
      <c r="AU45" s="8"/>
    </row>
    <row r="46" spans="2:47" ht="24" hidden="1" customHeight="1" x14ac:dyDescent="0.25">
      <c r="B46" s="137"/>
      <c r="C46" s="148"/>
      <c r="D46" s="137" t="str">
        <f t="shared" si="4"/>
        <v>mol%</v>
      </c>
      <c r="E46" s="148" t="str">
        <f t="shared" si="8"/>
        <v>mol%</v>
      </c>
      <c r="F46" s="148"/>
      <c r="G46" s="148"/>
      <c r="H46" s="280" t="str">
        <f t="shared" si="9"/>
        <v>Cyclopentaan</v>
      </c>
      <c r="I46" s="107" t="s">
        <v>312</v>
      </c>
      <c r="J46" s="272" t="str">
        <f>INDEX(D46:E46,'Combustion Emissions'!$J$54)</f>
        <v>mol%</v>
      </c>
      <c r="K46" s="286" t="str">
        <f>IF(Examples!D43="","",Examples!D43)</f>
        <v/>
      </c>
      <c r="L46" s="179" t="str">
        <f>IF(INDEX(F46:G46,'Combustion Emissions'!$J$54)="","",INDEX(F46:G46,'Combustion Emissions'!$J$54))</f>
        <v/>
      </c>
      <c r="M46" s="161" t="str">
        <f>IF('Combustion Emissions'!$J$54=1,"Cyclopentaan","Cyclopentane")</f>
        <v>Cyclopentaan</v>
      </c>
      <c r="N46" s="25" t="s">
        <v>75</v>
      </c>
      <c r="O46" s="89">
        <f t="shared" si="5"/>
        <v>0</v>
      </c>
      <c r="P46" s="10"/>
      <c r="Q46" s="44"/>
      <c r="R46" s="14"/>
      <c r="S46" s="70"/>
      <c r="T46" s="10"/>
      <c r="U46" s="39"/>
      <c r="V46" s="16"/>
      <c r="W46" s="54"/>
      <c r="X46" s="10"/>
      <c r="Y46" s="47" t="s">
        <v>158</v>
      </c>
      <c r="Z46" s="25" t="s">
        <v>75</v>
      </c>
      <c r="AA46" s="89"/>
      <c r="AB46" s="10"/>
      <c r="AC46" s="39"/>
      <c r="AD46" s="16"/>
      <c r="AE46" s="54"/>
      <c r="AF46" s="16"/>
      <c r="AG46" s="14" t="str">
        <f t="shared" si="6"/>
        <v>Cyclopentaan</v>
      </c>
      <c r="AH46" s="16"/>
      <c r="AI46" s="16"/>
      <c r="AJ46" s="16"/>
      <c r="AK46" s="16"/>
      <c r="AL46" s="21">
        <f t="shared" si="11"/>
        <v>3294.24</v>
      </c>
      <c r="AM46" s="21">
        <v>3074.16</v>
      </c>
      <c r="AN46" s="21">
        <f t="shared" si="12"/>
        <v>70.133999999999986</v>
      </c>
      <c r="AO46" s="8">
        <v>20.5</v>
      </c>
      <c r="AP46" s="8">
        <v>0.29220000000000002</v>
      </c>
      <c r="AQ46" s="8">
        <v>5</v>
      </c>
      <c r="AR46" s="8">
        <v>10</v>
      </c>
      <c r="AS46" s="8"/>
      <c r="AT46" s="8"/>
      <c r="AU46" s="8"/>
    </row>
    <row r="47" spans="2:47" ht="24" hidden="1" customHeight="1" x14ac:dyDescent="0.25">
      <c r="B47" s="137"/>
      <c r="C47" s="148"/>
      <c r="D47" s="137" t="str">
        <f t="shared" si="4"/>
        <v>mol%</v>
      </c>
      <c r="E47" s="148" t="str">
        <f t="shared" si="8"/>
        <v>mol%</v>
      </c>
      <c r="F47" s="148"/>
      <c r="G47" s="148"/>
      <c r="H47" s="279" t="str">
        <f t="shared" si="9"/>
        <v>2,2-Dimethylbutaan</v>
      </c>
      <c r="I47" s="107" t="s">
        <v>312</v>
      </c>
      <c r="J47" s="267" t="str">
        <f>INDEX(D47:E47,'Combustion Emissions'!$J$54)</f>
        <v>mol%</v>
      </c>
      <c r="K47" s="286" t="str">
        <f>IF(Examples!D44="","",Examples!D44)</f>
        <v/>
      </c>
      <c r="L47" s="179" t="str">
        <f>IF(INDEX(F47:G47,'Combustion Emissions'!$J$54)="","",INDEX(F47:G47,'Combustion Emissions'!$J$54))</f>
        <v/>
      </c>
      <c r="M47" s="16" t="str">
        <f>IF('Combustion Emissions'!$J$54=1,"2,2-Dimethylbutaan","2,2-Dimethylbutane")</f>
        <v>2,2-Dimethylbutaan</v>
      </c>
      <c r="N47" s="13" t="s">
        <v>75</v>
      </c>
      <c r="O47" s="87">
        <f t="shared" si="5"/>
        <v>0</v>
      </c>
      <c r="P47" s="10"/>
      <c r="Q47" s="44"/>
      <c r="R47" s="14"/>
      <c r="S47" s="70"/>
      <c r="T47" s="10"/>
      <c r="U47" s="39"/>
      <c r="V47" s="16"/>
      <c r="W47" s="54"/>
      <c r="X47" s="10"/>
      <c r="Y47" s="39" t="s">
        <v>102</v>
      </c>
      <c r="Z47" s="13" t="s">
        <v>75</v>
      </c>
      <c r="AA47" s="87"/>
      <c r="AB47" s="10"/>
      <c r="AC47" s="39"/>
      <c r="AD47" s="16"/>
      <c r="AE47" s="54"/>
      <c r="AF47" s="16"/>
      <c r="AG47" s="14" t="str">
        <f t="shared" si="6"/>
        <v>2,2-Dimethylbutaan</v>
      </c>
      <c r="AH47" s="16"/>
      <c r="AI47" s="16"/>
      <c r="AJ47" s="16"/>
      <c r="AK47" s="16"/>
      <c r="AL47" s="21">
        <f t="shared" si="11"/>
        <v>4177.8919999999998</v>
      </c>
      <c r="AM47" s="21">
        <v>3869.78</v>
      </c>
      <c r="AN47" s="21">
        <f t="shared" si="12"/>
        <v>86.176600000000008</v>
      </c>
      <c r="AO47" s="8">
        <v>20.5</v>
      </c>
      <c r="AP47" s="8">
        <v>0.29099999999999998</v>
      </c>
      <c r="AQ47" s="8">
        <v>6</v>
      </c>
      <c r="AR47" s="8">
        <v>14</v>
      </c>
      <c r="AS47" s="8"/>
      <c r="AT47" s="8"/>
      <c r="AU47" s="8"/>
    </row>
    <row r="48" spans="2:47" ht="24" hidden="1" customHeight="1" x14ac:dyDescent="0.25">
      <c r="B48" s="137"/>
      <c r="C48" s="148"/>
      <c r="D48" s="137" t="str">
        <f t="shared" si="4"/>
        <v>mol%</v>
      </c>
      <c r="E48" s="148" t="str">
        <f t="shared" si="8"/>
        <v>mol%</v>
      </c>
      <c r="F48" s="148"/>
      <c r="G48" s="148"/>
      <c r="H48" s="278" t="str">
        <f t="shared" si="9"/>
        <v>2,3-Dimethylbutaan</v>
      </c>
      <c r="I48" s="107" t="s">
        <v>312</v>
      </c>
      <c r="J48" s="271" t="str">
        <f>INDEX(D48:E48,'Combustion Emissions'!$J$54)</f>
        <v>mol%</v>
      </c>
      <c r="K48" s="286" t="str">
        <f>IF(Examples!D45="","",Examples!D45)</f>
        <v/>
      </c>
      <c r="L48" s="179" t="str">
        <f>IF(INDEX(F48:G48,'Combustion Emissions'!$J$54)="","",INDEX(F48:G48,'Combustion Emissions'!$J$54))</f>
        <v/>
      </c>
      <c r="M48" s="159" t="str">
        <f>IF('Combustion Emissions'!$J$54=1,"2,3-Dimethylbutaan", "2,3-Dimethylbutane")</f>
        <v>2,3-Dimethylbutaan</v>
      </c>
      <c r="N48" s="23" t="s">
        <v>75</v>
      </c>
      <c r="O48" s="88">
        <f t="shared" si="5"/>
        <v>0</v>
      </c>
      <c r="P48" s="10"/>
      <c r="Q48" s="44"/>
      <c r="R48" s="14"/>
      <c r="S48" s="70"/>
      <c r="T48" s="10"/>
      <c r="U48" s="39"/>
      <c r="V48" s="16"/>
      <c r="W48" s="54"/>
      <c r="X48" s="10"/>
      <c r="Y48" s="46" t="s">
        <v>103</v>
      </c>
      <c r="Z48" s="23" t="s">
        <v>75</v>
      </c>
      <c r="AA48" s="88"/>
      <c r="AB48" s="10"/>
      <c r="AC48" s="39"/>
      <c r="AD48" s="16"/>
      <c r="AE48" s="54"/>
      <c r="AF48" s="16"/>
      <c r="AG48" s="14" t="str">
        <f t="shared" si="6"/>
        <v>2,3-Dimethylbutaan</v>
      </c>
      <c r="AH48" s="16"/>
      <c r="AI48" s="16"/>
      <c r="AJ48" s="16"/>
      <c r="AK48" s="16"/>
      <c r="AL48" s="21">
        <f t="shared" si="11"/>
        <v>4185.9719999999998</v>
      </c>
      <c r="AM48" s="21">
        <v>3877.86</v>
      </c>
      <c r="AN48" s="21">
        <f t="shared" si="12"/>
        <v>86.176600000000008</v>
      </c>
      <c r="AO48" s="8">
        <v>20.5</v>
      </c>
      <c r="AP48" s="8">
        <v>0.30459999999999998</v>
      </c>
      <c r="AQ48" s="8">
        <v>6</v>
      </c>
      <c r="AR48" s="8">
        <v>14</v>
      </c>
      <c r="AS48" s="8"/>
      <c r="AT48" s="8"/>
      <c r="AU48" s="8"/>
    </row>
    <row r="49" spans="2:47" ht="24" hidden="1" customHeight="1" x14ac:dyDescent="0.25">
      <c r="B49" s="137"/>
      <c r="C49" s="148"/>
      <c r="D49" s="137" t="str">
        <f t="shared" si="4"/>
        <v>mol%</v>
      </c>
      <c r="E49" s="148" t="str">
        <f t="shared" si="8"/>
        <v>mol%</v>
      </c>
      <c r="F49" s="148"/>
      <c r="G49" s="148"/>
      <c r="H49" s="279" t="str">
        <f t="shared" si="9"/>
        <v>3-Methylpentaan</v>
      </c>
      <c r="I49" s="107" t="s">
        <v>312</v>
      </c>
      <c r="J49" s="267" t="str">
        <f>INDEX(D49:E49,'Combustion Emissions'!$J$54)</f>
        <v>mol%</v>
      </c>
      <c r="K49" s="286" t="str">
        <f>IF(Examples!D46="","",Examples!D46)</f>
        <v/>
      </c>
      <c r="L49" s="179" t="str">
        <f>IF(INDEX(F49:G49,'Combustion Emissions'!$J$54)="","",INDEX(F49:G49,'Combustion Emissions'!$J$54))</f>
        <v/>
      </c>
      <c r="M49" s="16" t="str">
        <f>IF('Combustion Emissions'!$J$54=1,"3-Methylpentaan","3-Methylpentane")</f>
        <v>3-Methylpentaan</v>
      </c>
      <c r="N49" s="13" t="s">
        <v>75</v>
      </c>
      <c r="O49" s="87">
        <f t="shared" si="5"/>
        <v>0</v>
      </c>
      <c r="P49" s="10"/>
      <c r="Q49" s="44"/>
      <c r="R49" s="14"/>
      <c r="S49" s="70"/>
      <c r="T49" s="10"/>
      <c r="U49" s="39"/>
      <c r="V49" s="16"/>
      <c r="W49" s="54"/>
      <c r="X49" s="10"/>
      <c r="Y49" s="39" t="s">
        <v>104</v>
      </c>
      <c r="Z49" s="13" t="s">
        <v>75</v>
      </c>
      <c r="AA49" s="87"/>
      <c r="AB49" s="10"/>
      <c r="AC49" s="39"/>
      <c r="AD49" s="16"/>
      <c r="AE49" s="54"/>
      <c r="AF49" s="16"/>
      <c r="AG49" s="14" t="str">
        <f t="shared" si="6"/>
        <v>3-Methylpentaan</v>
      </c>
      <c r="AH49" s="16"/>
      <c r="AI49" s="16"/>
      <c r="AJ49" s="16"/>
      <c r="AK49" s="16"/>
      <c r="AL49" s="21">
        <f t="shared" si="11"/>
        <v>4189.8220000000001</v>
      </c>
      <c r="AM49" s="21">
        <v>3881.71</v>
      </c>
      <c r="AN49" s="21">
        <f t="shared" si="12"/>
        <v>86.176600000000008</v>
      </c>
      <c r="AO49" s="8">
        <v>20.5</v>
      </c>
      <c r="AP49" s="8">
        <v>0.31590000000000001</v>
      </c>
      <c r="AQ49" s="8">
        <v>6</v>
      </c>
      <c r="AR49" s="8">
        <v>14</v>
      </c>
      <c r="AS49" s="8"/>
      <c r="AT49" s="8"/>
      <c r="AU49" s="8"/>
    </row>
    <row r="50" spans="2:47" ht="24" hidden="1" customHeight="1" x14ac:dyDescent="0.25">
      <c r="B50" s="137"/>
      <c r="C50" s="148"/>
      <c r="D50" s="137" t="str">
        <f t="shared" si="4"/>
        <v>mol%</v>
      </c>
      <c r="E50" s="148" t="str">
        <f t="shared" si="8"/>
        <v>mol%</v>
      </c>
      <c r="F50" s="148"/>
      <c r="G50" s="148"/>
      <c r="H50" s="279" t="str">
        <f t="shared" si="9"/>
        <v>Cyclohexaan</v>
      </c>
      <c r="I50" s="107" t="s">
        <v>312</v>
      </c>
      <c r="J50" s="267" t="str">
        <f>INDEX(D50:E50,'Combustion Emissions'!$J$54)</f>
        <v>mol%</v>
      </c>
      <c r="K50" s="286" t="str">
        <f>IF(Examples!D47="","",Examples!D47)</f>
        <v/>
      </c>
      <c r="L50" s="179" t="str">
        <f>IF(INDEX(F50:G50,'Combustion Emissions'!$J$54)="","",INDEX(F50:G50,'Combustion Emissions'!$J$54))</f>
        <v/>
      </c>
      <c r="M50" s="16" t="str">
        <f>IF('Combustion Emissions'!$J$54=1,"Cyclohexaan","Cyclohexane")</f>
        <v>Cyclohexaan</v>
      </c>
      <c r="N50" s="13" t="s">
        <v>75</v>
      </c>
      <c r="O50" s="87">
        <f t="shared" si="5"/>
        <v>0</v>
      </c>
      <c r="P50" s="10"/>
      <c r="Q50" s="44"/>
      <c r="R50" s="14"/>
      <c r="S50" s="70"/>
      <c r="T50" s="10"/>
      <c r="U50" s="39"/>
      <c r="V50" s="16"/>
      <c r="W50" s="54"/>
      <c r="X50" s="10"/>
      <c r="Y50" s="39" t="s">
        <v>105</v>
      </c>
      <c r="Z50" s="13" t="s">
        <v>75</v>
      </c>
      <c r="AA50" s="87"/>
      <c r="AB50" s="10"/>
      <c r="AC50" s="39"/>
      <c r="AD50" s="16"/>
      <c r="AE50" s="54"/>
      <c r="AF50" s="16"/>
      <c r="AG50" s="14" t="str">
        <f t="shared" si="6"/>
        <v>Cyclohexaan</v>
      </c>
      <c r="AH50" s="16"/>
      <c r="AI50" s="16"/>
      <c r="AJ50" s="16"/>
      <c r="AK50" s="16"/>
      <c r="AL50" s="21">
        <f t="shared" si="11"/>
        <v>3952.9659999999999</v>
      </c>
      <c r="AM50" s="21">
        <v>3688.87</v>
      </c>
      <c r="AN50" s="21">
        <f t="shared" si="12"/>
        <v>84.160799999999995</v>
      </c>
      <c r="AO50" s="8">
        <v>20.5</v>
      </c>
      <c r="AP50" s="8">
        <v>0.31979999999999997</v>
      </c>
      <c r="AQ50" s="8">
        <v>6</v>
      </c>
      <c r="AR50" s="8">
        <v>12</v>
      </c>
      <c r="AS50" s="8"/>
      <c r="AT50" s="8"/>
      <c r="AU50" s="8"/>
    </row>
    <row r="51" spans="2:47" ht="14.1" customHeight="1" x14ac:dyDescent="0.25">
      <c r="B51" s="137"/>
      <c r="C51" s="148"/>
      <c r="D51" s="137" t="str">
        <f t="shared" si="4"/>
        <v>mol%</v>
      </c>
      <c r="E51" s="148" t="str">
        <f t="shared" si="8"/>
        <v>mol%</v>
      </c>
      <c r="F51" s="148"/>
      <c r="G51" s="148"/>
      <c r="H51" s="170" t="str">
        <f t="shared" si="9"/>
        <v>C6</v>
      </c>
      <c r="I51" s="135" t="s">
        <v>312</v>
      </c>
      <c r="J51" s="270" t="str">
        <f>INDEX(D51:E51,'Combustion Emissions'!$J$54)</f>
        <v>mol%</v>
      </c>
      <c r="K51" s="287" t="str">
        <f>IF(Examples!D48="","",Examples!D48)</f>
        <v/>
      </c>
      <c r="L51" s="281" t="str">
        <f>IF(INDEX(F51:G51,'Combustion Emissions'!$J$54)="","",INDEX(F51:G51,'Combustion Emissions'!$J$54))</f>
        <v/>
      </c>
      <c r="M51" s="16" t="s">
        <v>166</v>
      </c>
      <c r="N51" s="13" t="s">
        <v>75</v>
      </c>
      <c r="O51" s="87">
        <f t="shared" si="5"/>
        <v>0</v>
      </c>
      <c r="P51" s="10"/>
      <c r="Q51" s="44"/>
      <c r="R51" s="14"/>
      <c r="S51" s="70"/>
      <c r="T51" s="10"/>
      <c r="U51" s="39"/>
      <c r="V51" s="16"/>
      <c r="W51" s="54"/>
      <c r="X51" s="10"/>
      <c r="Y51" s="39" t="s">
        <v>166</v>
      </c>
      <c r="Z51" s="13" t="s">
        <v>75</v>
      </c>
      <c r="AA51" s="87"/>
      <c r="AB51" s="10"/>
      <c r="AC51" s="39"/>
      <c r="AD51" s="16"/>
      <c r="AE51" s="54"/>
      <c r="AF51" s="16"/>
      <c r="AG51" s="14" t="str">
        <f t="shared" si="6"/>
        <v>C6</v>
      </c>
      <c r="AH51" s="16"/>
      <c r="AI51" s="16"/>
      <c r="AJ51" s="16"/>
      <c r="AK51" s="16"/>
      <c r="AL51" s="21">
        <f t="shared" si="11"/>
        <v>4194.9219999999996</v>
      </c>
      <c r="AM51" s="21">
        <v>3886.81</v>
      </c>
      <c r="AN51" s="21">
        <f t="shared" si="12"/>
        <v>86.176600000000008</v>
      </c>
      <c r="AO51" s="8">
        <v>20.5</v>
      </c>
      <c r="AP51" s="8">
        <v>0.33169999999999999</v>
      </c>
      <c r="AQ51" s="8">
        <v>6</v>
      </c>
      <c r="AR51" s="8">
        <v>14</v>
      </c>
      <c r="AS51" s="8"/>
      <c r="AT51" s="8"/>
      <c r="AU51" s="8"/>
    </row>
    <row r="52" spans="2:47" ht="24" hidden="1" customHeight="1" x14ac:dyDescent="0.25">
      <c r="B52" s="137"/>
      <c r="C52" s="148"/>
      <c r="D52" s="137" t="str">
        <f t="shared" si="4"/>
        <v>mol%</v>
      </c>
      <c r="E52" s="148" t="str">
        <f t="shared" si="8"/>
        <v>mol%</v>
      </c>
      <c r="F52" s="148"/>
      <c r="G52" s="148"/>
      <c r="H52" s="279" t="str">
        <f t="shared" si="9"/>
        <v>Benzeen</v>
      </c>
      <c r="I52" s="107" t="s">
        <v>312</v>
      </c>
      <c r="J52" s="267" t="str">
        <f>INDEX(D52:E52,'Combustion Emissions'!$J$54)</f>
        <v>mol%</v>
      </c>
      <c r="K52" s="286" t="str">
        <f>IF(Examples!D49="","",Examples!D49)</f>
        <v/>
      </c>
      <c r="L52" s="179" t="str">
        <f>IF(INDEX(F52:G52,'Combustion Emissions'!$J$54)="","",INDEX(F52:G52,'Combustion Emissions'!$J$54))</f>
        <v/>
      </c>
      <c r="M52" s="165" t="str">
        <f>IF('Combustion Emissions'!$J$54=1,"Benzeen","Benzene")</f>
        <v>Benzeen</v>
      </c>
      <c r="N52" s="26" t="s">
        <v>75</v>
      </c>
      <c r="O52" s="90">
        <f t="shared" si="5"/>
        <v>0</v>
      </c>
      <c r="P52" s="10"/>
      <c r="Q52" s="44"/>
      <c r="R52" s="14"/>
      <c r="S52" s="70"/>
      <c r="T52" s="10"/>
      <c r="U52" s="39"/>
      <c r="V52" s="16"/>
      <c r="W52" s="54"/>
      <c r="X52" s="10"/>
      <c r="Y52" s="48" t="s">
        <v>106</v>
      </c>
      <c r="Z52" s="26" t="s">
        <v>75</v>
      </c>
      <c r="AA52" s="90"/>
      <c r="AB52" s="10"/>
      <c r="AC52" s="39"/>
      <c r="AD52" s="16"/>
      <c r="AE52" s="54"/>
      <c r="AF52" s="16"/>
      <c r="AG52" s="14" t="str">
        <f t="shared" si="6"/>
        <v>Benzeen</v>
      </c>
      <c r="AH52" s="16"/>
      <c r="AI52" s="16"/>
      <c r="AJ52" s="16"/>
      <c r="AK52" s="16"/>
      <c r="AL52" s="21">
        <f t="shared" si="11"/>
        <v>3301.5079999999998</v>
      </c>
      <c r="AM52" s="21">
        <v>3169.46</v>
      </c>
      <c r="AN52" s="21">
        <f t="shared" si="12"/>
        <v>78.113399999999999</v>
      </c>
      <c r="AO52" s="8">
        <v>20.5</v>
      </c>
      <c r="AP52" s="8">
        <v>0.30170000000000002</v>
      </c>
      <c r="AQ52" s="8">
        <v>6</v>
      </c>
      <c r="AR52" s="8">
        <v>6</v>
      </c>
      <c r="AS52" s="8"/>
      <c r="AT52" s="8"/>
      <c r="AU52" s="8"/>
    </row>
    <row r="53" spans="2:47" ht="24" hidden="1" customHeight="1" x14ac:dyDescent="0.25">
      <c r="B53" s="137"/>
      <c r="C53" s="148"/>
      <c r="D53" s="137" t="str">
        <f t="shared" si="4"/>
        <v>mol%</v>
      </c>
      <c r="E53" s="148" t="str">
        <f t="shared" si="8"/>
        <v>mol%</v>
      </c>
      <c r="F53" s="148"/>
      <c r="G53" s="148"/>
      <c r="H53" s="279" t="str">
        <f t="shared" si="9"/>
        <v>2-Methylhexaan</v>
      </c>
      <c r="I53" s="107" t="s">
        <v>312</v>
      </c>
      <c r="J53" s="267" t="str">
        <f>INDEX(D53:E53,'Combustion Emissions'!$J$54)</f>
        <v>mol%</v>
      </c>
      <c r="K53" s="286" t="str">
        <f>IF(Examples!D50="","",Examples!D50)</f>
        <v/>
      </c>
      <c r="L53" s="179" t="str">
        <f>IF(INDEX(F53:G53,'Combustion Emissions'!$J$54)="","",INDEX(F53:G53,'Combustion Emissions'!$J$54))</f>
        <v/>
      </c>
      <c r="M53" s="16" t="str">
        <f>IF('Combustion Emissions'!$J$54=1,"2-Methylhexaan","2-Methylhexane")</f>
        <v>2-Methylhexaan</v>
      </c>
      <c r="N53" s="13" t="s">
        <v>75</v>
      </c>
      <c r="O53" s="87">
        <f t="shared" si="5"/>
        <v>0</v>
      </c>
      <c r="P53" s="10"/>
      <c r="Q53" s="44"/>
      <c r="R53" s="14"/>
      <c r="S53" s="70"/>
      <c r="T53" s="10"/>
      <c r="U53" s="39"/>
      <c r="V53" s="16"/>
      <c r="W53" s="54"/>
      <c r="X53" s="10"/>
      <c r="Y53" s="39" t="s">
        <v>107</v>
      </c>
      <c r="Z53" s="13" t="s">
        <v>75</v>
      </c>
      <c r="AA53" s="87"/>
      <c r="AB53" s="10"/>
      <c r="AC53" s="39"/>
      <c r="AD53" s="16"/>
      <c r="AE53" s="54"/>
      <c r="AF53" s="16"/>
      <c r="AG53" s="14" t="str">
        <f t="shared" si="6"/>
        <v>2-Methylhexaan</v>
      </c>
      <c r="AH53" s="16"/>
      <c r="AI53" s="16"/>
      <c r="AJ53" s="16"/>
      <c r="AK53" s="16"/>
      <c r="AL53" s="21">
        <f t="shared" si="11"/>
        <v>4846.4979999999996</v>
      </c>
      <c r="AM53" s="21">
        <v>4494.37</v>
      </c>
      <c r="AN53" s="21">
        <f t="shared" si="12"/>
        <v>100.2034</v>
      </c>
      <c r="AO53" s="8">
        <v>20.5</v>
      </c>
      <c r="AP53" s="8">
        <v>0.3926</v>
      </c>
      <c r="AQ53" s="8">
        <v>7</v>
      </c>
      <c r="AR53" s="8">
        <v>16</v>
      </c>
      <c r="AS53" s="8"/>
      <c r="AT53" s="8"/>
      <c r="AU53" s="8"/>
    </row>
    <row r="54" spans="2:47" ht="24" hidden="1" customHeight="1" x14ac:dyDescent="0.25">
      <c r="B54" s="137"/>
      <c r="C54" s="148"/>
      <c r="D54" s="137" t="str">
        <f t="shared" si="4"/>
        <v>mol%</v>
      </c>
      <c r="E54" s="148" t="str">
        <f t="shared" si="8"/>
        <v>mol%</v>
      </c>
      <c r="F54" s="148"/>
      <c r="G54" s="148"/>
      <c r="H54" s="278" t="str">
        <f t="shared" si="9"/>
        <v>3-Methylhexaan</v>
      </c>
      <c r="I54" s="107" t="s">
        <v>312</v>
      </c>
      <c r="J54" s="271" t="str">
        <f>INDEX(D54:E54,'Combustion Emissions'!$J$54)</f>
        <v>mol%</v>
      </c>
      <c r="K54" s="286" t="str">
        <f>IF(Examples!D51="","",Examples!D51)</f>
        <v/>
      </c>
      <c r="L54" s="179" t="str">
        <f>IF(INDEX(F54:G54,'Combustion Emissions'!$J$54)="","",INDEX(F54:G54,'Combustion Emissions'!$J$54))</f>
        <v/>
      </c>
      <c r="M54" s="166" t="str">
        <f>IF('Combustion Emissions'!$J$54=1,"3-Methylhexaan","3-Methylhexane")</f>
        <v>3-Methylhexaan</v>
      </c>
      <c r="N54" s="27" t="s">
        <v>75</v>
      </c>
      <c r="O54" s="91">
        <f t="shared" si="5"/>
        <v>0</v>
      </c>
      <c r="P54" s="10"/>
      <c r="Q54" s="44"/>
      <c r="R54" s="14"/>
      <c r="S54" s="70"/>
      <c r="T54" s="10"/>
      <c r="U54" s="39"/>
      <c r="V54" s="16"/>
      <c r="W54" s="54"/>
      <c r="X54" s="10"/>
      <c r="Y54" s="49" t="s">
        <v>108</v>
      </c>
      <c r="Z54" s="27" t="s">
        <v>75</v>
      </c>
      <c r="AA54" s="91"/>
      <c r="AB54" s="10"/>
      <c r="AC54" s="39"/>
      <c r="AD54" s="16"/>
      <c r="AE54" s="54"/>
      <c r="AF54" s="16"/>
      <c r="AG54" s="14" t="str">
        <f t="shared" si="6"/>
        <v>3-Methylhexaan</v>
      </c>
      <c r="AH54" s="16"/>
      <c r="AI54" s="16"/>
      <c r="AJ54" s="16"/>
      <c r="AK54" s="16"/>
      <c r="AL54" s="21">
        <f t="shared" si="11"/>
        <v>4849.8879999999999</v>
      </c>
      <c r="AM54" s="21">
        <v>4497.76</v>
      </c>
      <c r="AN54" s="21">
        <f t="shared" si="12"/>
        <v>100.2034</v>
      </c>
      <c r="AO54" s="8">
        <v>20.5</v>
      </c>
      <c r="AP54" s="8">
        <v>0.39279999999999998</v>
      </c>
      <c r="AQ54" s="8">
        <v>7</v>
      </c>
      <c r="AR54" s="8">
        <v>16</v>
      </c>
      <c r="AS54" s="8"/>
      <c r="AT54" s="8"/>
      <c r="AU54" s="8"/>
    </row>
    <row r="55" spans="2:47" ht="14.1" customHeight="1" x14ac:dyDescent="0.25">
      <c r="B55" s="137"/>
      <c r="C55" s="148"/>
      <c r="D55" s="137" t="str">
        <f t="shared" si="4"/>
        <v>mol%</v>
      </c>
      <c r="E55" s="148" t="str">
        <f t="shared" si="8"/>
        <v>mol%</v>
      </c>
      <c r="F55" s="148"/>
      <c r="G55" s="148"/>
      <c r="H55" s="169" t="str">
        <f t="shared" si="9"/>
        <v>C7</v>
      </c>
      <c r="I55" s="107" t="s">
        <v>312</v>
      </c>
      <c r="J55" s="267" t="str">
        <f>INDEX(D55:E55,'Combustion Emissions'!$J$54)</f>
        <v>mol%</v>
      </c>
      <c r="K55" s="286" t="str">
        <f>IF(Examples!D52="","",Examples!D52)</f>
        <v/>
      </c>
      <c r="L55" s="179" t="str">
        <f>IF(INDEX(F55:G55,'Combustion Emissions'!$J$54)="","",INDEX(F55:G55,'Combustion Emissions'!$J$54))</f>
        <v/>
      </c>
      <c r="M55" s="16" t="s">
        <v>167</v>
      </c>
      <c r="N55" s="13" t="s">
        <v>75</v>
      </c>
      <c r="O55" s="87">
        <f t="shared" si="5"/>
        <v>0</v>
      </c>
      <c r="P55" s="10"/>
      <c r="Q55" s="44"/>
      <c r="R55" s="14"/>
      <c r="S55" s="70"/>
      <c r="T55" s="10"/>
      <c r="U55" s="39"/>
      <c r="V55" s="16"/>
      <c r="W55" s="54"/>
      <c r="X55" s="10"/>
      <c r="Y55" s="39" t="s">
        <v>167</v>
      </c>
      <c r="Z55" s="13" t="s">
        <v>75</v>
      </c>
      <c r="AA55" s="87"/>
      <c r="AB55" s="10"/>
      <c r="AC55" s="39"/>
      <c r="AD55" s="16"/>
      <c r="AE55" s="54"/>
      <c r="AF55" s="16"/>
      <c r="AG55" s="14" t="str">
        <f t="shared" si="6"/>
        <v>C7</v>
      </c>
      <c r="AH55" s="16"/>
      <c r="AI55" s="16"/>
      <c r="AJ55" s="16"/>
      <c r="AK55" s="16"/>
      <c r="AL55" s="21">
        <f t="shared" si="11"/>
        <v>4853.5679999999993</v>
      </c>
      <c r="AM55" s="21">
        <v>4501.4399999999996</v>
      </c>
      <c r="AN55" s="21">
        <f t="shared" si="12"/>
        <v>100.2034</v>
      </c>
      <c r="AO55" s="8">
        <v>20.5</v>
      </c>
      <c r="AP55" s="8">
        <v>0.41410000000000002</v>
      </c>
      <c r="AQ55" s="8">
        <v>7</v>
      </c>
      <c r="AR55" s="8">
        <v>16</v>
      </c>
      <c r="AS55" s="8"/>
      <c r="AT55" s="8"/>
      <c r="AU55" s="8"/>
    </row>
    <row r="56" spans="2:47" ht="24" hidden="1" customHeight="1" x14ac:dyDescent="0.25">
      <c r="B56" s="137"/>
      <c r="C56" s="148"/>
      <c r="D56" s="137" t="str">
        <f t="shared" si="4"/>
        <v>mol%</v>
      </c>
      <c r="E56" s="148" t="str">
        <f t="shared" si="8"/>
        <v>mol%</v>
      </c>
      <c r="F56" s="148"/>
      <c r="G56" s="148"/>
      <c r="H56" s="279" t="str">
        <f t="shared" si="9"/>
        <v>Methylcyclohexaan</v>
      </c>
      <c r="I56" s="107" t="s">
        <v>312</v>
      </c>
      <c r="J56" s="267" t="str">
        <f>INDEX(D56:E56,'Combustion Emissions'!$J$54)</f>
        <v>mol%</v>
      </c>
      <c r="K56" s="286" t="str">
        <f>IF(Examples!D53="","",Examples!D53)</f>
        <v/>
      </c>
      <c r="L56" s="179" t="str">
        <f>IF(INDEX(F56:G56,'Combustion Emissions'!$J$54)="","",INDEX(F56:G56,'Combustion Emissions'!$J$54))</f>
        <v/>
      </c>
      <c r="M56" s="16" t="str">
        <f>IF('Combustion Emissions'!$J$54=1,"Methylcyclohexaan","Methylcyclohexane")</f>
        <v>Methylcyclohexaan</v>
      </c>
      <c r="N56" s="13" t="s">
        <v>75</v>
      </c>
      <c r="O56" s="87">
        <f t="shared" si="5"/>
        <v>0</v>
      </c>
      <c r="P56" s="10"/>
      <c r="Q56" s="44"/>
      <c r="R56" s="14"/>
      <c r="S56" s="70"/>
      <c r="T56" s="10"/>
      <c r="U56" s="39"/>
      <c r="V56" s="16"/>
      <c r="W56" s="54"/>
      <c r="X56" s="10"/>
      <c r="Y56" s="39" t="s">
        <v>109</v>
      </c>
      <c r="Z56" s="13" t="s">
        <v>75</v>
      </c>
      <c r="AA56" s="87"/>
      <c r="AB56" s="10"/>
      <c r="AC56" s="39"/>
      <c r="AD56" s="16"/>
      <c r="AE56" s="54"/>
      <c r="AF56" s="16"/>
      <c r="AG56" s="14" t="str">
        <f t="shared" si="6"/>
        <v>Methylcyclohexaan</v>
      </c>
      <c r="AH56" s="16"/>
      <c r="AI56" s="16"/>
      <c r="AJ56" s="16"/>
      <c r="AK56" s="16"/>
      <c r="AL56" s="21">
        <f t="shared" si="11"/>
        <v>4600.6819999999998</v>
      </c>
      <c r="AM56" s="21">
        <v>4292.57</v>
      </c>
      <c r="AN56" s="21">
        <f t="shared" si="12"/>
        <v>98.187600000000003</v>
      </c>
      <c r="AO56" s="8">
        <v>20.5</v>
      </c>
      <c r="AP56" s="8">
        <v>0.38969999999999999</v>
      </c>
      <c r="AQ56" s="8">
        <v>7</v>
      </c>
      <c r="AR56" s="8">
        <v>14</v>
      </c>
      <c r="AS56" s="8"/>
      <c r="AT56" s="8"/>
      <c r="AU56" s="8"/>
    </row>
    <row r="57" spans="2:47" ht="24" hidden="1" customHeight="1" x14ac:dyDescent="0.25">
      <c r="B57" s="137"/>
      <c r="C57" s="148"/>
      <c r="D57" s="137" t="str">
        <f t="shared" si="4"/>
        <v>mol%</v>
      </c>
      <c r="E57" s="148" t="str">
        <f t="shared" si="8"/>
        <v>mol%</v>
      </c>
      <c r="F57" s="148"/>
      <c r="G57" s="148"/>
      <c r="H57" s="279" t="str">
        <f t="shared" si="9"/>
        <v>Tolueen</v>
      </c>
      <c r="I57" s="108" t="s">
        <v>312</v>
      </c>
      <c r="J57" s="267" t="str">
        <f>INDEX(D57:E57,'Combustion Emissions'!$J$54)</f>
        <v>mol%</v>
      </c>
      <c r="K57" s="286" t="str">
        <f>IF(Examples!D54="","",Examples!D54)</f>
        <v/>
      </c>
      <c r="L57" s="179" t="str">
        <f>IF(INDEX(F57:G57,'Combustion Emissions'!$J$54)="","",INDEX(F57:G57,'Combustion Emissions'!$J$54))</f>
        <v/>
      </c>
      <c r="M57" s="16" t="str">
        <f>IF('Combustion Emissions'!$J$54=1,"Tolueen","Toluene")</f>
        <v>Tolueen</v>
      </c>
      <c r="N57" s="13" t="s">
        <v>75</v>
      </c>
      <c r="O57" s="87">
        <f t="shared" si="5"/>
        <v>0</v>
      </c>
      <c r="P57" s="10"/>
      <c r="Q57" s="44"/>
      <c r="R57" s="14"/>
      <c r="S57" s="70"/>
      <c r="T57" s="10"/>
      <c r="U57" s="39"/>
      <c r="V57" s="16"/>
      <c r="W57" s="54"/>
      <c r="X57" s="10"/>
      <c r="Y57" s="39" t="s">
        <v>110</v>
      </c>
      <c r="Z57" s="13" t="s">
        <v>75</v>
      </c>
      <c r="AA57" s="87"/>
      <c r="AB57" s="10"/>
      <c r="AC57" s="39"/>
      <c r="AD57" s="16"/>
      <c r="AE57" s="54"/>
      <c r="AF57" s="16"/>
      <c r="AG57" s="14" t="str">
        <f t="shared" si="6"/>
        <v>Tolueen</v>
      </c>
      <c r="AH57" s="16"/>
      <c r="AI57" s="16"/>
      <c r="AJ57" s="16"/>
      <c r="AK57" s="16"/>
      <c r="AL57" s="21">
        <f t="shared" si="11"/>
        <v>3947.944</v>
      </c>
      <c r="AM57" s="21">
        <v>3771.88</v>
      </c>
      <c r="AN57" s="21">
        <f t="shared" si="12"/>
        <v>92.140199999999993</v>
      </c>
      <c r="AO57" s="8">
        <v>20.5</v>
      </c>
      <c r="AP57" s="8">
        <v>0.3901</v>
      </c>
      <c r="AQ57" s="8">
        <v>7</v>
      </c>
      <c r="AR57" s="8">
        <v>8</v>
      </c>
      <c r="AS57" s="8"/>
      <c r="AT57" s="8"/>
      <c r="AU57" s="8"/>
    </row>
    <row r="58" spans="2:47" ht="24" hidden="1" customHeight="1" x14ac:dyDescent="0.25">
      <c r="B58" s="137"/>
      <c r="C58" s="148"/>
      <c r="D58" s="137" t="str">
        <f t="shared" si="4"/>
        <v>mol%</v>
      </c>
      <c r="E58" s="148" t="str">
        <f t="shared" si="8"/>
        <v>mol%</v>
      </c>
      <c r="F58" s="148"/>
      <c r="G58" s="148"/>
      <c r="H58" s="280" t="str">
        <f t="shared" si="9"/>
        <v>2-Methylheptaan</v>
      </c>
      <c r="I58" s="107" t="s">
        <v>312</v>
      </c>
      <c r="J58" s="272" t="str">
        <f>INDEX(D58:E58,'Combustion Emissions'!$J$54)</f>
        <v>mol%</v>
      </c>
      <c r="K58" s="286" t="str">
        <f>IF(Examples!D55="","",Examples!D55)</f>
        <v/>
      </c>
      <c r="L58" s="179" t="str">
        <f>IF(INDEX(F58:G58,'Combustion Emissions'!$J$54)="","",INDEX(F58:G58,'Combustion Emissions'!$J$54))</f>
        <v/>
      </c>
      <c r="M58" s="161" t="str">
        <f>IF('Combustion Emissions'!$J$54=1,"2-Methylheptaan","2-Methylheptane")</f>
        <v>2-Methylheptaan</v>
      </c>
      <c r="N58" s="25" t="s">
        <v>75</v>
      </c>
      <c r="O58" s="89">
        <f t="shared" si="5"/>
        <v>0</v>
      </c>
      <c r="P58" s="10"/>
      <c r="Q58" s="44"/>
      <c r="R58" s="14"/>
      <c r="S58" s="70"/>
      <c r="T58" s="10"/>
      <c r="U58" s="39"/>
      <c r="V58" s="16"/>
      <c r="W58" s="54"/>
      <c r="X58" s="10"/>
      <c r="Y58" s="47" t="s">
        <v>159</v>
      </c>
      <c r="Z58" s="25" t="s">
        <v>75</v>
      </c>
      <c r="AA58" s="89"/>
      <c r="AB58" s="10"/>
      <c r="AC58" s="39"/>
      <c r="AD58" s="16"/>
      <c r="AE58" s="54"/>
      <c r="AF58" s="16"/>
      <c r="AG58" s="14" t="str">
        <f t="shared" si="6"/>
        <v>2-Methylheptaan</v>
      </c>
      <c r="AH58" s="16"/>
      <c r="AI58" s="16"/>
      <c r="AJ58" s="16"/>
      <c r="AK58" s="16"/>
      <c r="AL58" s="21">
        <f t="shared" si="11"/>
        <v>5504.7139999999999</v>
      </c>
      <c r="AM58" s="21">
        <v>5108.57</v>
      </c>
      <c r="AN58" s="21">
        <f t="shared" si="12"/>
        <v>114.2302</v>
      </c>
      <c r="AO58" s="8">
        <v>20.5</v>
      </c>
      <c r="AP58" s="8">
        <v>0.4955</v>
      </c>
      <c r="AQ58" s="8">
        <v>8</v>
      </c>
      <c r="AR58" s="8">
        <v>18</v>
      </c>
      <c r="AS58" s="8"/>
      <c r="AT58" s="8"/>
      <c r="AU58" s="8"/>
    </row>
    <row r="59" spans="2:47" ht="24" hidden="1" customHeight="1" x14ac:dyDescent="0.25">
      <c r="B59" s="137"/>
      <c r="C59" s="148"/>
      <c r="D59" s="137" t="str">
        <f t="shared" si="4"/>
        <v>mol%</v>
      </c>
      <c r="E59" s="148" t="str">
        <f t="shared" si="8"/>
        <v>mol%</v>
      </c>
      <c r="F59" s="148"/>
      <c r="G59" s="148"/>
      <c r="H59" s="279" t="str">
        <f t="shared" si="9"/>
        <v>2,2,4-Trimethylpentaan</v>
      </c>
      <c r="I59" s="107" t="s">
        <v>312</v>
      </c>
      <c r="J59" s="267" t="str">
        <f>INDEX(D59:E59,'Combustion Emissions'!$J$54)</f>
        <v>mol%</v>
      </c>
      <c r="K59" s="286" t="str">
        <f>IF(Examples!D56="","",Examples!D56)</f>
        <v/>
      </c>
      <c r="L59" s="179" t="str">
        <f>IF(INDEX(F59:G59,'Combustion Emissions'!$J$54)="","",INDEX(F59:G59,'Combustion Emissions'!$J$54))</f>
        <v/>
      </c>
      <c r="M59" s="16" t="str">
        <f>IF('Combustion Emissions'!$J$54=1,"2,2,4-Trimethylpentaan","2,2,4-Trimethylpentane")</f>
        <v>2,2,4-Trimethylpentaan</v>
      </c>
      <c r="N59" s="13" t="s">
        <v>75</v>
      </c>
      <c r="O59" s="87">
        <f t="shared" si="5"/>
        <v>0</v>
      </c>
      <c r="P59" s="10"/>
      <c r="Q59" s="44"/>
      <c r="R59" s="14"/>
      <c r="S59" s="70"/>
      <c r="T59" s="10"/>
      <c r="U59" s="44"/>
      <c r="V59" s="30"/>
      <c r="W59" s="70"/>
      <c r="X59" s="10"/>
      <c r="Y59" s="39" t="s">
        <v>111</v>
      </c>
      <c r="Z59" s="13" t="s">
        <v>75</v>
      </c>
      <c r="AA59" s="87"/>
      <c r="AB59" s="10"/>
      <c r="AC59" s="44"/>
      <c r="AD59" s="30"/>
      <c r="AE59" s="70"/>
      <c r="AF59" s="30"/>
      <c r="AG59" s="14" t="str">
        <f t="shared" si="6"/>
        <v>2,2,4-Trimethylpentaan</v>
      </c>
      <c r="AH59" s="30"/>
      <c r="AI59" s="30"/>
      <c r="AJ59" s="30"/>
      <c r="AK59" s="30"/>
      <c r="AL59" s="21">
        <f t="shared" si="11"/>
        <v>5496.5240000000003</v>
      </c>
      <c r="AM59" s="21">
        <v>5100.38</v>
      </c>
      <c r="AN59" s="21">
        <f t="shared" si="12"/>
        <v>114.2302</v>
      </c>
      <c r="AO59" s="8">
        <v>20.5</v>
      </c>
      <c r="AP59" s="8">
        <v>0.41959999999999997</v>
      </c>
      <c r="AQ59" s="8">
        <v>8</v>
      </c>
      <c r="AR59" s="8">
        <v>18</v>
      </c>
      <c r="AS59" s="8"/>
      <c r="AT59" s="8"/>
      <c r="AU59" s="8"/>
    </row>
    <row r="60" spans="2:47" ht="15" customHeight="1" x14ac:dyDescent="0.25">
      <c r="B60" s="137"/>
      <c r="C60" s="148"/>
      <c r="D60" s="137" t="str">
        <f t="shared" si="4"/>
        <v>mol%</v>
      </c>
      <c r="E60" s="148" t="str">
        <f t="shared" si="8"/>
        <v>mol%</v>
      </c>
      <c r="F60" s="148"/>
      <c r="G60" s="148"/>
      <c r="H60" s="169" t="str">
        <f t="shared" si="9"/>
        <v>C8</v>
      </c>
      <c r="I60" s="107" t="s">
        <v>312</v>
      </c>
      <c r="J60" s="267" t="str">
        <f>INDEX(D60:E60,'Combustion Emissions'!$J$54)</f>
        <v>mol%</v>
      </c>
      <c r="K60" s="286" t="str">
        <f>IF(Examples!D57="","",Examples!D57)</f>
        <v/>
      </c>
      <c r="L60" s="179" t="str">
        <f>IF(INDEX(F60:G60,'Combustion Emissions'!$J$54)="","",INDEX(F60:G60,'Combustion Emissions'!$J$54))</f>
        <v/>
      </c>
      <c r="M60" s="159" t="s">
        <v>168</v>
      </c>
      <c r="N60" s="23" t="s">
        <v>75</v>
      </c>
      <c r="O60" s="88">
        <f t="shared" si="5"/>
        <v>0</v>
      </c>
      <c r="P60" s="10"/>
      <c r="Q60" s="82"/>
      <c r="R60" s="83"/>
      <c r="S60" s="99"/>
      <c r="T60" s="31"/>
      <c r="U60" s="100"/>
      <c r="V60" s="101"/>
      <c r="W60" s="102"/>
      <c r="X60" s="10"/>
      <c r="Y60" s="46" t="s">
        <v>168</v>
      </c>
      <c r="Z60" s="23" t="s">
        <v>75</v>
      </c>
      <c r="AA60" s="88"/>
      <c r="AB60" s="31"/>
      <c r="AC60" s="100"/>
      <c r="AD60" s="101"/>
      <c r="AE60" s="102"/>
      <c r="AF60" s="31"/>
      <c r="AG60" s="14" t="str">
        <f t="shared" si="6"/>
        <v>C8</v>
      </c>
      <c r="AH60" s="31"/>
      <c r="AI60" s="31"/>
      <c r="AJ60" s="31"/>
      <c r="AK60" s="31"/>
      <c r="AL60" s="21">
        <f t="shared" si="11"/>
        <v>5511.7139999999999</v>
      </c>
      <c r="AM60" s="21">
        <v>5115.57</v>
      </c>
      <c r="AN60" s="21">
        <f t="shared" si="12"/>
        <v>114.2302</v>
      </c>
      <c r="AO60" s="8">
        <v>20.5</v>
      </c>
      <c r="AP60" s="8">
        <v>0.51259999999999994</v>
      </c>
      <c r="AQ60" s="8">
        <v>8</v>
      </c>
      <c r="AR60" s="8">
        <v>18</v>
      </c>
      <c r="AS60" s="8"/>
      <c r="AT60" s="8"/>
      <c r="AU60" s="8"/>
    </row>
    <row r="61" spans="2:47" ht="14.1" customHeight="1" thickBot="1" x14ac:dyDescent="0.3">
      <c r="B61" s="139" t="str">
        <f>IF(I61="","","Totaal")</f>
        <v>Totaal</v>
      </c>
      <c r="C61" s="139" t="str">
        <f>IF(B61="","","Total")</f>
        <v>Total</v>
      </c>
      <c r="D61" s="139" t="str">
        <f t="shared" si="4"/>
        <v>mol%</v>
      </c>
      <c r="E61" s="150" t="str">
        <f t="shared" si="8"/>
        <v>mol%</v>
      </c>
      <c r="F61" s="150"/>
      <c r="G61" s="150"/>
      <c r="H61" s="176" t="str">
        <f>INDEX(B61:C61,'Combustion Emissions'!$J$54)</f>
        <v>Totaal</v>
      </c>
      <c r="I61" s="136">
        <f>IF($AH$7=1,IF(O61="","",O61),IF($AH$7=3,IF(S61="","",S61),IF($AH$7=5,IF(W61="","",W61),"")))</f>
        <v>0</v>
      </c>
      <c r="J61" s="273" t="str">
        <f>INDEX(D61:E61,'Combustion Emissions'!$J$54)</f>
        <v>mol%</v>
      </c>
      <c r="K61" s="177"/>
      <c r="L61" s="181"/>
      <c r="M61" s="167" t="s">
        <v>112</v>
      </c>
      <c r="N61" s="57" t="s">
        <v>75</v>
      </c>
      <c r="O61" s="80">
        <f>SUM(O25:O60)/100</f>
        <v>0</v>
      </c>
      <c r="P61" s="10"/>
      <c r="Q61" s="61" t="s">
        <v>112</v>
      </c>
      <c r="R61" s="62"/>
      <c r="S61" s="98">
        <f>SUM(S30:S34)</f>
        <v>0</v>
      </c>
      <c r="T61" s="32"/>
      <c r="U61" s="71" t="s">
        <v>112</v>
      </c>
      <c r="V61" s="72"/>
      <c r="W61" s="73">
        <f>SUM(W30:W35)</f>
        <v>0</v>
      </c>
      <c r="X61" s="10"/>
      <c r="Y61" s="56" t="s">
        <v>112</v>
      </c>
      <c r="Z61" s="57" t="s">
        <v>75</v>
      </c>
      <c r="AA61" s="80">
        <f>SUM(AA25:AA60)/100</f>
        <v>1</v>
      </c>
      <c r="AB61" s="32"/>
      <c r="AC61" s="71" t="s">
        <v>112</v>
      </c>
      <c r="AD61" s="72"/>
      <c r="AE61" s="73">
        <f>SUM(AE30:AE35)</f>
        <v>1.4001999999999999</v>
      </c>
      <c r="AF61" s="32"/>
      <c r="AG61" s="32"/>
      <c r="AH61" s="32"/>
      <c r="AI61" s="32"/>
      <c r="AJ61" s="32"/>
      <c r="AK61" s="32"/>
      <c r="AL61" s="8"/>
      <c r="AM61" s="21"/>
      <c r="AN61" s="21"/>
      <c r="AO61" s="8"/>
      <c r="AP61" s="8"/>
      <c r="AQ61" s="8"/>
      <c r="AR61" s="8"/>
      <c r="AS61" s="8"/>
      <c r="AT61" s="8"/>
      <c r="AU61" s="8"/>
    </row>
    <row r="62" spans="2:47" ht="15.75" hidden="1" thickBot="1" x14ac:dyDescent="0.3">
      <c r="B62" s="8"/>
      <c r="C62" s="8"/>
      <c r="D62" s="8"/>
      <c r="E62" s="8"/>
      <c r="F62" s="8"/>
      <c r="G62" s="8"/>
      <c r="H62" s="16"/>
      <c r="I62" s="13"/>
      <c r="J62" s="13"/>
      <c r="K62" s="13"/>
      <c r="L62" s="30"/>
      <c r="M62" s="325" t="s">
        <v>219</v>
      </c>
      <c r="N62" s="325"/>
      <c r="O62" s="325"/>
      <c r="P62" s="10"/>
      <c r="Q62" s="325" t="s">
        <v>219</v>
      </c>
      <c r="R62" s="325"/>
      <c r="S62" s="325"/>
      <c r="T62" s="33"/>
      <c r="U62" s="325" t="s">
        <v>219</v>
      </c>
      <c r="V62" s="325"/>
      <c r="W62" s="325"/>
      <c r="X62" s="10"/>
      <c r="Y62" s="325" t="s">
        <v>219</v>
      </c>
      <c r="Z62" s="325"/>
      <c r="AA62" s="325"/>
      <c r="AB62" s="33"/>
      <c r="AC62" s="325" t="s">
        <v>219</v>
      </c>
      <c r="AD62" s="325"/>
      <c r="AE62" s="325"/>
      <c r="AF62" s="33"/>
      <c r="AG62" s="33"/>
      <c r="AH62" s="33"/>
      <c r="AI62" s="33"/>
      <c r="AJ62" s="33"/>
      <c r="AK62" s="33"/>
      <c r="AL62" s="22"/>
      <c r="AM62" s="8"/>
      <c r="AN62" s="28"/>
      <c r="AO62" s="8"/>
      <c r="AP62" s="8"/>
      <c r="AQ62" s="22"/>
      <c r="AR62" s="22"/>
      <c r="AS62" s="22"/>
      <c r="AT62" s="22"/>
      <c r="AU62" s="22"/>
    </row>
    <row r="63" spans="2:47" hidden="1" x14ac:dyDescent="0.25">
      <c r="B63" s="8"/>
      <c r="C63" s="8"/>
      <c r="D63" s="8"/>
      <c r="E63" s="8"/>
      <c r="F63" s="8"/>
      <c r="G63" s="8"/>
      <c r="H63" s="16"/>
      <c r="I63" s="13"/>
      <c r="J63" s="13"/>
      <c r="K63" s="13"/>
      <c r="L63" s="30"/>
      <c r="M63" s="16" t="s">
        <v>113</v>
      </c>
      <c r="N63" s="13"/>
      <c r="O63" s="51"/>
      <c r="P63" s="10"/>
      <c r="Q63" s="37" t="s">
        <v>113</v>
      </c>
      <c r="R63" s="63"/>
      <c r="S63" s="64"/>
      <c r="T63" s="8"/>
      <c r="U63" s="37" t="s">
        <v>113</v>
      </c>
      <c r="V63" s="63"/>
      <c r="W63" s="64"/>
      <c r="X63" s="10"/>
      <c r="Y63" s="39" t="s">
        <v>113</v>
      </c>
      <c r="Z63" s="13"/>
      <c r="AA63" s="51"/>
      <c r="AB63" s="8"/>
      <c r="AC63" s="37" t="s">
        <v>113</v>
      </c>
      <c r="AD63" s="63"/>
      <c r="AE63" s="64"/>
      <c r="AF63" s="36"/>
      <c r="AG63" s="36"/>
      <c r="AH63" s="36"/>
      <c r="AI63" s="36"/>
      <c r="AJ63" s="36"/>
      <c r="AK63" s="36"/>
      <c r="AL63" s="8"/>
      <c r="AM63" s="8"/>
      <c r="AN63" s="8"/>
      <c r="AO63" s="8"/>
      <c r="AP63" s="8"/>
      <c r="AQ63" s="8"/>
      <c r="AR63" s="8"/>
      <c r="AS63" s="8"/>
      <c r="AT63" s="8"/>
      <c r="AU63" s="8"/>
    </row>
    <row r="64" spans="2:47" hidden="1" x14ac:dyDescent="0.25">
      <c r="B64" s="8"/>
      <c r="C64" s="8"/>
      <c r="D64" s="8"/>
      <c r="E64" s="8"/>
      <c r="F64" s="8"/>
      <c r="G64" s="8"/>
      <c r="H64" s="16"/>
      <c r="I64" s="13"/>
      <c r="J64" s="13"/>
      <c r="K64" s="13"/>
      <c r="L64" s="30"/>
      <c r="M64" s="16" t="s">
        <v>114</v>
      </c>
      <c r="N64" s="13"/>
      <c r="O64" s="51" t="str">
        <f ca="1">IF(O87="","",(O80+O81/4-O84/2+O83))</f>
        <v/>
      </c>
      <c r="P64" s="10"/>
      <c r="Q64" s="39" t="s">
        <v>115</v>
      </c>
      <c r="R64" s="14" t="s">
        <v>116</v>
      </c>
      <c r="S64" s="65" t="str">
        <f ca="1">IF(SUM(S80:S84)=0,"",(S80/12.011+S81/1.0079/4-S85/15.9994/2+S83/32.06)*1000)</f>
        <v/>
      </c>
      <c r="T64" s="8"/>
      <c r="U64" s="39" t="s">
        <v>115</v>
      </c>
      <c r="V64" s="14" t="s">
        <v>116</v>
      </c>
      <c r="W64" s="65" t="str">
        <f ca="1">IF(W86="","",(W80/12.011+W81/1.0079/4-W84/15.9994/2+W83/32.06)*1000*(1-W85))</f>
        <v/>
      </c>
      <c r="X64" s="10"/>
      <c r="Y64" s="39" t="s">
        <v>114</v>
      </c>
      <c r="Z64" s="13"/>
      <c r="AA64" s="51">
        <f ca="1">IF(AA87="","",(AA80+AA81/4-AA84/2+AA83))</f>
        <v>0.79999999999999993</v>
      </c>
      <c r="AB64" s="8"/>
      <c r="AC64" s="39" t="s">
        <v>115</v>
      </c>
      <c r="AD64" s="14" t="s">
        <v>116</v>
      </c>
      <c r="AE64" s="65">
        <f ca="1">IF(AE86="","",(AE80/12.011+AE81/1.0079/4-AE84/15.9994/2+AE83/32.06)*1000*(1-AE85))</f>
        <v>22.147670125892667</v>
      </c>
      <c r="AF64" s="35"/>
      <c r="AG64" s="35"/>
      <c r="AH64" s="35"/>
      <c r="AI64" s="35"/>
      <c r="AJ64" s="35"/>
      <c r="AK64" s="35"/>
      <c r="AL64" s="8"/>
      <c r="AM64" s="8"/>
      <c r="AN64" s="8"/>
      <c r="AO64" s="8"/>
      <c r="AP64" s="8"/>
      <c r="AQ64" s="8"/>
      <c r="AR64" s="8"/>
      <c r="AS64" s="8"/>
      <c r="AT64" s="8"/>
      <c r="AU64" s="8"/>
    </row>
    <row r="65" spans="2:47" hidden="1" x14ac:dyDescent="0.25">
      <c r="B65" s="8"/>
      <c r="C65" s="8"/>
      <c r="D65" s="8"/>
      <c r="E65" s="8"/>
      <c r="F65" s="8"/>
      <c r="G65" s="8"/>
      <c r="H65" s="16"/>
      <c r="I65" s="13"/>
      <c r="J65" s="13"/>
      <c r="K65" s="13"/>
      <c r="L65" s="30"/>
      <c r="M65" s="16" t="s">
        <v>59</v>
      </c>
      <c r="N65" s="13" t="s">
        <v>60</v>
      </c>
      <c r="O65" s="51" t="str">
        <f ca="1">IF(O80="","",O80*$AO$34/O$94)</f>
        <v/>
      </c>
      <c r="P65" s="10"/>
      <c r="Q65" s="39" t="s">
        <v>59</v>
      </c>
      <c r="R65" s="14" t="s">
        <v>61</v>
      </c>
      <c r="S65" s="65" t="str">
        <f ca="1">IF(SUM(S80:S84)=0,"",(S80/12.011)*$AO$34)</f>
        <v/>
      </c>
      <c r="T65" s="8"/>
      <c r="U65" s="39" t="s">
        <v>59</v>
      </c>
      <c r="V65" s="14" t="s">
        <v>61</v>
      </c>
      <c r="W65" s="65" t="str">
        <f ca="1">IF(W86="","",(W80/12.011)*$AO$34*(1-W85))</f>
        <v/>
      </c>
      <c r="X65" s="10"/>
      <c r="Y65" s="39" t="s">
        <v>59</v>
      </c>
      <c r="Z65" s="13" t="s">
        <v>60</v>
      </c>
      <c r="AA65" s="51">
        <f ca="1">IF(AA80="","",AA80*$AO$34/AA$94)</f>
        <v>0.99608891248754849</v>
      </c>
      <c r="AB65" s="8"/>
      <c r="AC65" s="39" t="s">
        <v>59</v>
      </c>
      <c r="AD65" s="14" t="s">
        <v>61</v>
      </c>
      <c r="AE65" s="65">
        <f ca="1">IF(AE86="","",(AE80/12.011)*$AO$34*(1-AE85))</f>
        <v>0.49341112646740481</v>
      </c>
      <c r="AF65" s="35"/>
      <c r="AG65" s="35"/>
      <c r="AH65" s="35"/>
      <c r="AI65" s="35"/>
      <c r="AJ65" s="35"/>
      <c r="AK65" s="35"/>
      <c r="AL65" s="8"/>
      <c r="AM65" s="8"/>
      <c r="AN65" s="8"/>
      <c r="AO65" s="8"/>
      <c r="AP65" s="8"/>
      <c r="AQ65" s="8"/>
      <c r="AR65" s="8"/>
      <c r="AS65" s="8"/>
      <c r="AT65" s="8"/>
      <c r="AU65" s="8"/>
    </row>
    <row r="66" spans="2:47" hidden="1" x14ac:dyDescent="0.25">
      <c r="B66" s="8"/>
      <c r="C66" s="8"/>
      <c r="D66" s="8"/>
      <c r="E66" s="8"/>
      <c r="F66" s="8"/>
      <c r="G66" s="8"/>
      <c r="H66" s="16"/>
      <c r="I66" s="13"/>
      <c r="J66" s="13"/>
      <c r="K66" s="13"/>
      <c r="L66" s="30"/>
      <c r="M66" s="16" t="s">
        <v>62</v>
      </c>
      <c r="N66" s="13" t="s">
        <v>60</v>
      </c>
      <c r="O66" s="51" t="str">
        <f ca="1">IF(O81="","",O81/2*$AO$29/O94)</f>
        <v/>
      </c>
      <c r="P66" s="10"/>
      <c r="Q66" s="39" t="s">
        <v>62</v>
      </c>
      <c r="R66" s="14" t="s">
        <v>61</v>
      </c>
      <c r="S66" s="65" t="str">
        <f ca="1">IF(SUM(S80:S84)=0,"",(S81/1.0079/2)*$AO$29)</f>
        <v/>
      </c>
      <c r="T66" s="8"/>
      <c r="U66" s="39" t="s">
        <v>62</v>
      </c>
      <c r="V66" s="14" t="s">
        <v>61</v>
      </c>
      <c r="W66" s="65" t="str">
        <f ca="1">IF(W86="","",((W81/1.0079/2*(1-W85))+(W85/$AN$29))*$AO$29)</f>
        <v/>
      </c>
      <c r="X66" s="10"/>
      <c r="Y66" s="39" t="s">
        <v>62</v>
      </c>
      <c r="Z66" s="13" t="s">
        <v>60</v>
      </c>
      <c r="AA66" s="51">
        <f ca="1">IF(AA81="","",AA81/2*$AO$29/AA94)</f>
        <v>0.77476616892644334</v>
      </c>
      <c r="AB66" s="8"/>
      <c r="AC66" s="39" t="s">
        <v>62</v>
      </c>
      <c r="AD66" s="14" t="s">
        <v>61</v>
      </c>
      <c r="AE66" s="65">
        <f ca="1">IF(AE86="","",((AE81/1.0079/2*(1-AE85))+(AE85/$AN$29))*$AO$29)</f>
        <v>0.87938505481636253</v>
      </c>
      <c r="AF66" s="35"/>
      <c r="AG66" s="35"/>
      <c r="AH66" s="35"/>
      <c r="AI66" s="35"/>
      <c r="AJ66" s="35"/>
      <c r="AK66" s="35"/>
      <c r="AL66" s="8"/>
      <c r="AM66" s="8"/>
      <c r="AN66" s="8"/>
      <c r="AO66" s="8"/>
      <c r="AP66" s="8"/>
      <c r="AQ66" s="8"/>
      <c r="AR66" s="8"/>
      <c r="AS66" s="8"/>
      <c r="AT66" s="8"/>
      <c r="AU66" s="8"/>
    </row>
    <row r="67" spans="2:47" hidden="1" x14ac:dyDescent="0.25">
      <c r="B67" s="8"/>
      <c r="C67" s="8"/>
      <c r="D67" s="8"/>
      <c r="E67" s="8"/>
      <c r="F67" s="8"/>
      <c r="G67" s="8"/>
      <c r="H67" s="16"/>
      <c r="I67" s="13"/>
      <c r="J67" s="13"/>
      <c r="K67" s="13"/>
      <c r="L67" s="30"/>
      <c r="M67" s="16" t="s">
        <v>63</v>
      </c>
      <c r="N67" s="13" t="s">
        <v>60</v>
      </c>
      <c r="O67" s="51" t="str">
        <f ca="1">IF(O82="","",O82/2*$AO$30/O94)</f>
        <v/>
      </c>
      <c r="P67" s="10"/>
      <c r="Q67" s="39" t="s">
        <v>63</v>
      </c>
      <c r="R67" s="14" t="s">
        <v>61</v>
      </c>
      <c r="S67" s="65" t="str">
        <f ca="1">IF(SUM(S80:S84)=0,"",(S82/14.0067/2)*$AO$30)</f>
        <v/>
      </c>
      <c r="T67" s="8"/>
      <c r="U67" s="39" t="s">
        <v>63</v>
      </c>
      <c r="V67" s="14" t="s">
        <v>61</v>
      </c>
      <c r="W67" s="65" t="str">
        <f ca="1">IF(W86="","",(W82/14.0067/2)*$AO$30*(1-W85))</f>
        <v/>
      </c>
      <c r="X67" s="10"/>
      <c r="Y67" s="39" t="s">
        <v>63</v>
      </c>
      <c r="Z67" s="13" t="s">
        <v>60</v>
      </c>
      <c r="AA67" s="51">
        <f ca="1">IF(AA82="","",AA82/2*$AO$30/AA94)</f>
        <v>0</v>
      </c>
      <c r="AB67" s="8"/>
      <c r="AC67" s="39" t="s">
        <v>63</v>
      </c>
      <c r="AD67" s="14" t="s">
        <v>61</v>
      </c>
      <c r="AE67" s="65">
        <f ca="1">IF(AE86="","",(AE82/14.0067/2)*$AO$30*(1-AE85))</f>
        <v>0</v>
      </c>
      <c r="AF67" s="35"/>
      <c r="AG67" s="35"/>
      <c r="AH67" s="35"/>
      <c r="AI67" s="35"/>
      <c r="AJ67" s="35"/>
      <c r="AK67" s="35"/>
      <c r="AL67" s="8"/>
      <c r="AM67" s="8"/>
      <c r="AN67" s="8"/>
      <c r="AO67" s="8"/>
      <c r="AP67" s="8"/>
      <c r="AQ67" s="8"/>
      <c r="AR67" s="8"/>
      <c r="AS67" s="8"/>
      <c r="AT67" s="8"/>
      <c r="AU67" s="8"/>
    </row>
    <row r="68" spans="2:47" hidden="1" x14ac:dyDescent="0.25">
      <c r="B68" s="8"/>
      <c r="C68" s="8"/>
      <c r="D68" s="8"/>
      <c r="E68" s="8"/>
      <c r="F68" s="8"/>
      <c r="G68" s="8"/>
      <c r="H68" s="16"/>
      <c r="I68" s="13"/>
      <c r="J68" s="13"/>
      <c r="K68" s="13"/>
      <c r="L68" s="30"/>
      <c r="M68" s="16" t="s">
        <v>64</v>
      </c>
      <c r="N68" s="13" t="s">
        <v>60</v>
      </c>
      <c r="O68" s="51" t="str">
        <f ca="1">IF(O83="","",O83*22.4/O94)</f>
        <v/>
      </c>
      <c r="P68" s="10"/>
      <c r="Q68" s="39" t="s">
        <v>64</v>
      </c>
      <c r="R68" s="14" t="s">
        <v>61</v>
      </c>
      <c r="S68" s="65" t="str">
        <f ca="1">IF(SUM(S80:S84)=0,"",(S83/32)*22.4)</f>
        <v/>
      </c>
      <c r="T68" s="8"/>
      <c r="U68" s="39" t="s">
        <v>64</v>
      </c>
      <c r="V68" s="14" t="s">
        <v>61</v>
      </c>
      <c r="W68" s="65" t="str">
        <f ca="1">IF(W86="","",(W83/32)*22.4*(1-W85))</f>
        <v/>
      </c>
      <c r="X68" s="10"/>
      <c r="Y68" s="39" t="s">
        <v>64</v>
      </c>
      <c r="Z68" s="13" t="s">
        <v>60</v>
      </c>
      <c r="AA68" s="51">
        <f ca="1">IF(AA83="","",AA83*22.4/AA94)</f>
        <v>0</v>
      </c>
      <c r="AB68" s="8"/>
      <c r="AC68" s="39" t="s">
        <v>64</v>
      </c>
      <c r="AD68" s="14" t="s">
        <v>61</v>
      </c>
      <c r="AE68" s="65">
        <f ca="1">IF(AE86="","",(AE83/32)*22.4*(1-AE85))</f>
        <v>8.3999999999999995E-5</v>
      </c>
      <c r="AF68" s="35"/>
      <c r="AG68" s="35"/>
      <c r="AH68" s="35"/>
      <c r="AI68" s="35"/>
      <c r="AJ68" s="35"/>
      <c r="AK68" s="35"/>
      <c r="AL68" s="8"/>
      <c r="AM68" s="8"/>
      <c r="AN68" s="8"/>
      <c r="AO68" s="8"/>
      <c r="AP68" s="8"/>
      <c r="AQ68" s="8"/>
      <c r="AR68" s="8"/>
      <c r="AS68" s="8"/>
      <c r="AT68" s="8"/>
      <c r="AU68" s="8"/>
    </row>
    <row r="69" spans="2:47" hidden="1" x14ac:dyDescent="0.25">
      <c r="B69" s="8"/>
      <c r="C69" s="8"/>
      <c r="D69" s="8"/>
      <c r="E69" s="8"/>
      <c r="F69" s="8"/>
      <c r="G69" s="8"/>
      <c r="H69" s="16"/>
      <c r="I69" s="13"/>
      <c r="J69" s="13"/>
      <c r="K69" s="13"/>
      <c r="L69" s="30"/>
      <c r="M69" s="16" t="s">
        <v>117</v>
      </c>
      <c r="N69" s="13" t="s">
        <v>60</v>
      </c>
      <c r="O69" s="51" t="str">
        <f ca="1">IF(O64="","",O64/0.2095*22.4003/O94)</f>
        <v/>
      </c>
      <c r="P69" s="10"/>
      <c r="Q69" s="39" t="s">
        <v>117</v>
      </c>
      <c r="R69" s="14" t="s">
        <v>61</v>
      </c>
      <c r="S69" s="65" t="str">
        <f ca="1">IF(SUM(S80:S84)=0,"",S64/0.2095*22.4003/1000)</f>
        <v/>
      </c>
      <c r="T69" s="8"/>
      <c r="U69" s="39" t="s">
        <v>117</v>
      </c>
      <c r="V69" s="14" t="s">
        <v>61</v>
      </c>
      <c r="W69" s="52" t="str">
        <f ca="1">IF(W86="","",W64/0.2095*22.4003/1000)</f>
        <v/>
      </c>
      <c r="X69" s="10"/>
      <c r="Y69" s="39" t="s">
        <v>117</v>
      </c>
      <c r="Z69" s="13" t="s">
        <v>60</v>
      </c>
      <c r="AA69" s="51">
        <f ca="1">IF(AA64="","",AA64/0.2095*22.4003/AA94)</f>
        <v>3.8300462229239884</v>
      </c>
      <c r="AB69" s="8"/>
      <c r="AC69" s="39" t="s">
        <v>117</v>
      </c>
      <c r="AD69" s="14" t="s">
        <v>61</v>
      </c>
      <c r="AE69" s="52">
        <f ca="1">IF(AE86="","",AE64/0.2095*22.4003/1000)</f>
        <v>2.3680880912698501</v>
      </c>
      <c r="AF69" s="36"/>
      <c r="AG69" s="36"/>
      <c r="AH69" s="36"/>
      <c r="AI69" s="36"/>
      <c r="AJ69" s="36"/>
      <c r="AK69" s="36"/>
      <c r="AL69" s="8"/>
      <c r="AM69" s="8"/>
      <c r="AN69" s="8"/>
      <c r="AO69" s="8"/>
      <c r="AP69" s="8"/>
      <c r="AQ69" s="8"/>
      <c r="AR69" s="8"/>
      <c r="AS69" s="8"/>
      <c r="AT69" s="8"/>
      <c r="AU69" s="8"/>
    </row>
    <row r="70" spans="2:47" hidden="1" x14ac:dyDescent="0.25">
      <c r="B70" s="8"/>
      <c r="C70" s="8"/>
      <c r="D70" s="8"/>
      <c r="E70" s="8"/>
      <c r="F70" s="8"/>
      <c r="G70" s="8"/>
      <c r="H70" s="16"/>
      <c r="I70" s="13"/>
      <c r="J70" s="13"/>
      <c r="K70" s="13"/>
      <c r="L70" s="30"/>
      <c r="M70" s="16" t="s">
        <v>118</v>
      </c>
      <c r="N70" s="13" t="s">
        <v>60</v>
      </c>
      <c r="O70" s="51" t="str">
        <f ca="1">IF(O69="","",O69*(1-0.2095)+O65+O67+O68)</f>
        <v/>
      </c>
      <c r="P70" s="10"/>
      <c r="Q70" s="39" t="s">
        <v>118</v>
      </c>
      <c r="R70" s="14" t="s">
        <v>61</v>
      </c>
      <c r="S70" s="65" t="str">
        <f ca="1">IF(SUM(S80:S84)=0,"",S69*(1-0.2095)+S65+S67+S68)</f>
        <v/>
      </c>
      <c r="T70" s="8"/>
      <c r="U70" s="39" t="s">
        <v>118</v>
      </c>
      <c r="V70" s="14" t="s">
        <v>61</v>
      </c>
      <c r="W70" s="52" t="str">
        <f ca="1">IF(W86="","",W69*(1-0.2095)+W65+W67+W68)</f>
        <v/>
      </c>
      <c r="X70" s="10"/>
      <c r="Y70" s="39" t="s">
        <v>118</v>
      </c>
      <c r="Z70" s="13" t="s">
        <v>60</v>
      </c>
      <c r="AA70" s="51">
        <f ca="1">IF(AA69="","",AA69*(1-0.2095)+AA65+AA67+AA68)</f>
        <v>4.0237404517089619</v>
      </c>
      <c r="AB70" s="8"/>
      <c r="AC70" s="39" t="s">
        <v>118</v>
      </c>
      <c r="AD70" s="14" t="s">
        <v>61</v>
      </c>
      <c r="AE70" s="52">
        <f ca="1">IF(AE86="","",AE69*(1-0.2095)+AE65+AE67+AE68)</f>
        <v>2.3654687626162216</v>
      </c>
      <c r="AF70" s="36"/>
      <c r="AG70" s="36"/>
      <c r="AH70" s="36"/>
      <c r="AI70" s="36"/>
      <c r="AJ70" s="36"/>
      <c r="AK70" s="36"/>
      <c r="AL70" s="8"/>
      <c r="AM70" s="8"/>
      <c r="AN70" s="8"/>
      <c r="AO70" s="8"/>
      <c r="AP70" s="8"/>
      <c r="AQ70" s="8"/>
      <c r="AR70" s="8"/>
      <c r="AS70" s="8"/>
      <c r="AT70" s="8"/>
      <c r="AU70" s="8"/>
    </row>
    <row r="71" spans="2:47" hidden="1" x14ac:dyDescent="0.25">
      <c r="B71" s="8"/>
      <c r="C71" s="8"/>
      <c r="D71" s="8"/>
      <c r="E71" s="8"/>
      <c r="F71" s="8"/>
      <c r="G71" s="8"/>
      <c r="H71" s="16"/>
      <c r="I71" s="13"/>
      <c r="J71" s="13"/>
      <c r="K71" s="13"/>
      <c r="L71" s="30"/>
      <c r="M71" s="168" t="s">
        <v>119</v>
      </c>
      <c r="N71" s="19" t="s">
        <v>60</v>
      </c>
      <c r="O71" s="50" t="str">
        <f ca="1">IF(O70="","",O70+O66)</f>
        <v/>
      </c>
      <c r="P71" s="10"/>
      <c r="Q71" s="45" t="s">
        <v>119</v>
      </c>
      <c r="R71" s="20" t="s">
        <v>61</v>
      </c>
      <c r="S71" s="66" t="str">
        <f ca="1">IF(SUM(S80:S84)=0,"",S70+S66)</f>
        <v/>
      </c>
      <c r="T71" s="8"/>
      <c r="U71" s="45" t="s">
        <v>119</v>
      </c>
      <c r="V71" s="20" t="s">
        <v>61</v>
      </c>
      <c r="W71" s="69" t="str">
        <f ca="1">IF(W86="","",W70+W66)</f>
        <v/>
      </c>
      <c r="X71" s="10"/>
      <c r="Y71" s="45" t="s">
        <v>119</v>
      </c>
      <c r="Z71" s="19" t="s">
        <v>60</v>
      </c>
      <c r="AA71" s="50">
        <f ca="1">IF(AA70="","",AA70+AA66)</f>
        <v>4.798506620635405</v>
      </c>
      <c r="AB71" s="8"/>
      <c r="AC71" s="45" t="s">
        <v>119</v>
      </c>
      <c r="AD71" s="20" t="s">
        <v>61</v>
      </c>
      <c r="AE71" s="69">
        <f ca="1">IF(AE86="","",AE70+AE66)</f>
        <v>3.2448538174325843</v>
      </c>
      <c r="AF71" s="36"/>
      <c r="AG71" s="36"/>
      <c r="AH71" s="36"/>
      <c r="AI71" s="36"/>
      <c r="AJ71" s="36"/>
      <c r="AK71" s="36"/>
      <c r="AL71" s="8"/>
      <c r="AM71" s="8"/>
      <c r="AN71" s="8"/>
      <c r="AO71" s="8"/>
      <c r="AP71" s="8"/>
      <c r="AQ71" s="8"/>
      <c r="AR71" s="8"/>
      <c r="AS71" s="8"/>
      <c r="AT71" s="8"/>
      <c r="AU71" s="8"/>
    </row>
    <row r="72" spans="2:47" hidden="1" x14ac:dyDescent="0.25">
      <c r="B72" s="8"/>
      <c r="C72" s="8"/>
      <c r="D72" s="8"/>
      <c r="E72" s="8"/>
      <c r="F72" s="8"/>
      <c r="G72" s="8"/>
      <c r="H72" s="16"/>
      <c r="I72" s="13"/>
      <c r="J72" s="13"/>
      <c r="K72" s="13"/>
      <c r="L72" s="30"/>
      <c r="M72" s="16" t="s">
        <v>120</v>
      </c>
      <c r="N72" s="13"/>
      <c r="O72" s="51"/>
      <c r="P72" s="10"/>
      <c r="Q72" s="39" t="s">
        <v>120</v>
      </c>
      <c r="R72" s="14"/>
      <c r="S72" s="52"/>
      <c r="T72" s="8"/>
      <c r="U72" s="39" t="s">
        <v>120</v>
      </c>
      <c r="V72" s="14"/>
      <c r="W72" s="52"/>
      <c r="X72" s="10"/>
      <c r="Y72" s="39" t="s">
        <v>120</v>
      </c>
      <c r="Z72" s="13"/>
      <c r="AA72" s="51"/>
      <c r="AB72" s="8"/>
      <c r="AC72" s="39" t="s">
        <v>120</v>
      </c>
      <c r="AD72" s="14"/>
      <c r="AE72" s="52"/>
      <c r="AF72" s="36"/>
      <c r="AG72" s="36"/>
      <c r="AH72" s="36"/>
      <c r="AI72" s="36"/>
      <c r="AJ72" s="36"/>
      <c r="AK72" s="36"/>
      <c r="AL72" s="8"/>
      <c r="AM72" s="8"/>
      <c r="AN72" s="8"/>
      <c r="AO72" s="8"/>
      <c r="AP72" s="8"/>
      <c r="AQ72" s="8"/>
      <c r="AR72" s="8"/>
      <c r="AS72" s="8"/>
      <c r="AT72" s="8"/>
      <c r="AU72" s="8"/>
    </row>
    <row r="73" spans="2:47" hidden="1" x14ac:dyDescent="0.25">
      <c r="B73" s="8"/>
      <c r="C73" s="8"/>
      <c r="D73" s="8"/>
      <c r="E73" s="8"/>
      <c r="F73" s="8"/>
      <c r="G73" s="8"/>
      <c r="H73" s="16"/>
      <c r="I73" s="13"/>
      <c r="J73" s="13"/>
      <c r="K73" s="13"/>
      <c r="L73" s="30"/>
      <c r="M73" s="16" t="s">
        <v>59</v>
      </c>
      <c r="N73" s="13" t="s">
        <v>60</v>
      </c>
      <c r="O73" s="52" t="str">
        <f ca="1">IF(O10="","",0.231+0.02257*O10)</f>
        <v/>
      </c>
      <c r="P73" s="10"/>
      <c r="Q73" s="39" t="s">
        <v>59</v>
      </c>
      <c r="R73" s="14" t="s">
        <v>61</v>
      </c>
      <c r="S73" s="67" t="str">
        <f ca="1">IF(S10="","",1.191+0.009342*S10)</f>
        <v/>
      </c>
      <c r="T73" s="33"/>
      <c r="U73" s="39" t="s">
        <v>59</v>
      </c>
      <c r="V73" s="14" t="s">
        <v>61</v>
      </c>
      <c r="W73" s="52" t="str">
        <f ca="1">IF(W10="","",0.1016+0.044*W10)</f>
        <v/>
      </c>
      <c r="X73" s="10"/>
      <c r="Y73" s="39" t="s">
        <v>59</v>
      </c>
      <c r="Z73" s="13" t="s">
        <v>60</v>
      </c>
      <c r="AA73" s="52">
        <f ca="1">IF(AA10="","",0.231+0.02257*AA10)</f>
        <v>0.55532721258910855</v>
      </c>
      <c r="AB73" s="33"/>
      <c r="AC73" s="39" t="s">
        <v>59</v>
      </c>
      <c r="AD73" s="14" t="s">
        <v>61</v>
      </c>
      <c r="AE73" s="52">
        <f ca="1">IF(AE10="","",0.1016+0.044*AE10)</f>
        <v>0.54952000000000001</v>
      </c>
      <c r="AF73" s="36"/>
      <c r="AG73" s="36"/>
      <c r="AH73" s="36"/>
      <c r="AI73" s="36"/>
      <c r="AJ73" s="36"/>
      <c r="AK73" s="36"/>
      <c r="AL73" s="22"/>
      <c r="AM73" s="8"/>
      <c r="AN73" s="28"/>
      <c r="AO73" s="8"/>
      <c r="AP73" s="8"/>
      <c r="AQ73" s="22"/>
      <c r="AR73" s="22"/>
      <c r="AS73" s="22"/>
      <c r="AT73" s="22"/>
      <c r="AU73" s="22"/>
    </row>
    <row r="74" spans="2:47" hidden="1" x14ac:dyDescent="0.25">
      <c r="B74" s="8"/>
      <c r="C74" s="8"/>
      <c r="D74" s="8"/>
      <c r="E74" s="8"/>
      <c r="F74" s="8"/>
      <c r="G74" s="8"/>
      <c r="H74" s="16"/>
      <c r="I74" s="13"/>
      <c r="J74" s="13"/>
      <c r="K74" s="13"/>
      <c r="L74" s="30"/>
      <c r="M74" s="16" t="s">
        <v>62</v>
      </c>
      <c r="N74" s="13" t="s">
        <v>60</v>
      </c>
      <c r="O74" s="52" t="str">
        <f ca="1">IF(O10="","",-0.0784+0.0608*O10)</f>
        <v/>
      </c>
      <c r="P74" s="10"/>
      <c r="Q74" s="39" t="s">
        <v>62</v>
      </c>
      <c r="R74" s="14" t="s">
        <v>61</v>
      </c>
      <c r="S74" s="65" t="str">
        <f ca="1">IF(S10="","",-2.4082+0.0918*S10)</f>
        <v/>
      </c>
      <c r="T74" s="33"/>
      <c r="U74" s="39" t="s">
        <v>62</v>
      </c>
      <c r="V74" s="14" t="s">
        <v>61</v>
      </c>
      <c r="W74" s="52" t="str">
        <f ca="1">IF(W10="","",1.096-0.0166*W10)</f>
        <v/>
      </c>
      <c r="X74" s="10"/>
      <c r="Y74" s="39" t="s">
        <v>62</v>
      </c>
      <c r="Z74" s="13" t="s">
        <v>60</v>
      </c>
      <c r="AA74" s="52">
        <f ca="1">IF(AA10="","",-0.0784+0.0608*AA10)</f>
        <v>0.79528606669994661</v>
      </c>
      <c r="AB74" s="33"/>
      <c r="AC74" s="39" t="s">
        <v>62</v>
      </c>
      <c r="AD74" s="14" t="s">
        <v>61</v>
      </c>
      <c r="AE74" s="52">
        <f ca="1">IF(AE10="","",1.096-0.0166*AE10)</f>
        <v>0.92701200000000006</v>
      </c>
      <c r="AF74" s="36"/>
      <c r="AG74" s="36"/>
      <c r="AH74" s="36"/>
      <c r="AI74" s="36"/>
      <c r="AJ74" s="36"/>
      <c r="AK74" s="36"/>
      <c r="AL74" s="22"/>
      <c r="AM74" s="8"/>
      <c r="AN74" s="28"/>
      <c r="AO74" s="8"/>
      <c r="AP74" s="8"/>
      <c r="AQ74" s="22"/>
      <c r="AR74" s="22"/>
      <c r="AS74" s="22"/>
      <c r="AT74" s="22"/>
      <c r="AU74" s="22"/>
    </row>
    <row r="75" spans="2:47" hidden="1" x14ac:dyDescent="0.25">
      <c r="B75" s="8"/>
      <c r="C75" s="8"/>
      <c r="D75" s="8"/>
      <c r="E75" s="8"/>
      <c r="F75" s="8"/>
      <c r="G75" s="8"/>
      <c r="H75" s="16"/>
      <c r="I75" s="13"/>
      <c r="J75" s="13"/>
      <c r="K75" s="13"/>
      <c r="L75" s="30"/>
      <c r="M75" s="16" t="s">
        <v>63</v>
      </c>
      <c r="N75" s="13" t="s">
        <v>60</v>
      </c>
      <c r="O75" s="52" t="str">
        <f ca="1">IF(O10="","",0)</f>
        <v/>
      </c>
      <c r="P75" s="10"/>
      <c r="Q75" s="39" t="s">
        <v>63</v>
      </c>
      <c r="R75" s="14" t="s">
        <v>61</v>
      </c>
      <c r="S75" s="65" t="str">
        <f ca="1">IF(S10="","",0)</f>
        <v/>
      </c>
      <c r="T75" s="33"/>
      <c r="U75" s="39" t="s">
        <v>63</v>
      </c>
      <c r="V75" s="14" t="s">
        <v>61</v>
      </c>
      <c r="W75" s="52" t="str">
        <f ca="1">IF(W10="","",0)</f>
        <v/>
      </c>
      <c r="X75" s="10"/>
      <c r="Y75" s="39" t="s">
        <v>63</v>
      </c>
      <c r="Z75" s="13" t="s">
        <v>60</v>
      </c>
      <c r="AA75" s="52">
        <f ca="1">IF(AA10="","",0)</f>
        <v>0</v>
      </c>
      <c r="AB75" s="33"/>
      <c r="AC75" s="39" t="s">
        <v>63</v>
      </c>
      <c r="AD75" s="14" t="s">
        <v>61</v>
      </c>
      <c r="AE75" s="52">
        <f ca="1">IF(AE10="","",0)</f>
        <v>0</v>
      </c>
      <c r="AF75" s="36"/>
      <c r="AG75" s="36"/>
      <c r="AH75" s="36"/>
      <c r="AI75" s="36"/>
      <c r="AJ75" s="36"/>
      <c r="AK75" s="36"/>
      <c r="AL75" s="22"/>
      <c r="AM75" s="8"/>
      <c r="AN75" s="28"/>
      <c r="AO75" s="8"/>
      <c r="AP75" s="8"/>
      <c r="AQ75" s="22"/>
      <c r="AR75" s="22"/>
      <c r="AS75" s="22"/>
      <c r="AT75" s="22"/>
      <c r="AU75" s="22"/>
    </row>
    <row r="76" spans="2:47" hidden="1" x14ac:dyDescent="0.25">
      <c r="B76" s="8"/>
      <c r="C76" s="8"/>
      <c r="D76" s="8"/>
      <c r="E76" s="8"/>
      <c r="F76" s="8"/>
      <c r="G76" s="8"/>
      <c r="H76" s="16"/>
      <c r="I76" s="13"/>
      <c r="J76" s="13"/>
      <c r="K76" s="13"/>
      <c r="L76" s="30"/>
      <c r="M76" s="16" t="s">
        <v>64</v>
      </c>
      <c r="N76" s="13" t="s">
        <v>60</v>
      </c>
      <c r="O76" s="52" t="str">
        <f ca="1">IF(O10="","",0)</f>
        <v/>
      </c>
      <c r="P76" s="10"/>
      <c r="Q76" s="39" t="s">
        <v>64</v>
      </c>
      <c r="R76" s="14" t="s">
        <v>61</v>
      </c>
      <c r="S76" s="65" t="str">
        <f ca="1">IF(S10="","",IF(S68="",0,S68))</f>
        <v/>
      </c>
      <c r="T76" s="33"/>
      <c r="U76" s="39" t="s">
        <v>64</v>
      </c>
      <c r="V76" s="14" t="s">
        <v>61</v>
      </c>
      <c r="W76" s="52" t="str">
        <f ca="1">IF(W10="","",IF(W68="",0,W68))</f>
        <v/>
      </c>
      <c r="X76" s="10"/>
      <c r="Y76" s="39" t="s">
        <v>64</v>
      </c>
      <c r="Z76" s="13" t="s">
        <v>60</v>
      </c>
      <c r="AA76" s="52">
        <f ca="1">IF(AA10="","",0)</f>
        <v>0</v>
      </c>
      <c r="AB76" s="33"/>
      <c r="AC76" s="39" t="s">
        <v>64</v>
      </c>
      <c r="AD76" s="14" t="s">
        <v>61</v>
      </c>
      <c r="AE76" s="52">
        <f ca="1">IF(AE10="","",IF(AE68="",0,AE68))</f>
        <v>8.3999999999999995E-5</v>
      </c>
      <c r="AF76" s="36"/>
      <c r="AG76" s="36"/>
      <c r="AH76" s="36"/>
      <c r="AI76" s="36"/>
      <c r="AJ76" s="36"/>
      <c r="AK76" s="36"/>
      <c r="AL76" s="22"/>
      <c r="AM76" s="8"/>
      <c r="AN76" s="28"/>
      <c r="AO76" s="8"/>
      <c r="AP76" s="8"/>
      <c r="AQ76" s="22"/>
      <c r="AR76" s="22"/>
      <c r="AS76" s="22"/>
      <c r="AT76" s="22"/>
      <c r="AU76" s="22"/>
    </row>
    <row r="77" spans="2:47" hidden="1" x14ac:dyDescent="0.25">
      <c r="B77" s="8"/>
      <c r="C77" s="8"/>
      <c r="D77" s="8"/>
      <c r="E77" s="8"/>
      <c r="F77" s="8"/>
      <c r="G77" s="8"/>
      <c r="H77" s="16"/>
      <c r="I77" s="13"/>
      <c r="J77" s="13"/>
      <c r="K77" s="13"/>
      <c r="L77" s="30"/>
      <c r="M77" s="16" t="s">
        <v>117</v>
      </c>
      <c r="N77" s="13" t="s">
        <v>60</v>
      </c>
      <c r="O77" s="51" t="str">
        <f ca="1">IF(O10="","",-0.0405+0.2679*O10)</f>
        <v/>
      </c>
      <c r="P77" s="10"/>
      <c r="Q77" s="39" t="s">
        <v>117</v>
      </c>
      <c r="R77" s="14" t="s">
        <v>61</v>
      </c>
      <c r="S77" s="65" t="str">
        <f ca="1">IF(S10="","",-0.3311+0.2675*S10)</f>
        <v/>
      </c>
      <c r="T77" s="33"/>
      <c r="U77" s="39" t="s">
        <v>117</v>
      </c>
      <c r="V77" s="14" t="s">
        <v>61</v>
      </c>
      <c r="W77" s="52" t="str">
        <f ca="1">IF(W10="","",0.4408+0.2462*W10)</f>
        <v/>
      </c>
      <c r="X77" s="10"/>
      <c r="Y77" s="39" t="s">
        <v>117</v>
      </c>
      <c r="Z77" s="13" t="s">
        <v>60</v>
      </c>
      <c r="AA77" s="51">
        <f ca="1">IF(AA10="","",-0.0405+0.2679*AA10)</f>
        <v>3.8091792313966404</v>
      </c>
      <c r="AB77" s="33"/>
      <c r="AC77" s="39" t="s">
        <v>117</v>
      </c>
      <c r="AD77" s="14" t="s">
        <v>61</v>
      </c>
      <c r="AE77" s="52">
        <f ca="1">IF(AE10="","",0.4408+0.2462*AE10)</f>
        <v>2.9471159999999998</v>
      </c>
      <c r="AF77" s="36"/>
      <c r="AG77" s="36"/>
      <c r="AH77" s="36"/>
      <c r="AI77" s="36"/>
      <c r="AJ77" s="36"/>
      <c r="AK77" s="36"/>
      <c r="AL77" s="22"/>
      <c r="AM77" s="8"/>
      <c r="AN77" s="28"/>
      <c r="AO77" s="8"/>
      <c r="AP77" s="8"/>
      <c r="AQ77" s="22"/>
      <c r="AR77" s="22"/>
      <c r="AS77" s="22"/>
      <c r="AT77" s="22"/>
      <c r="AU77" s="22"/>
    </row>
    <row r="78" spans="2:47" hidden="1" x14ac:dyDescent="0.25">
      <c r="B78" s="8"/>
      <c r="C78" s="8"/>
      <c r="D78" s="8"/>
      <c r="E78" s="8"/>
      <c r="F78" s="8"/>
      <c r="G78" s="8"/>
      <c r="H78" s="16"/>
      <c r="I78" s="13"/>
      <c r="J78" s="13"/>
      <c r="K78" s="13"/>
      <c r="L78" s="30"/>
      <c r="M78" s="16" t="s">
        <v>118</v>
      </c>
      <c r="N78" s="13" t="s">
        <v>60</v>
      </c>
      <c r="O78" s="51" t="str">
        <f ca="1">IF(O10="","",0.199+0.2344*O10)</f>
        <v/>
      </c>
      <c r="P78" s="10"/>
      <c r="Q78" s="39" t="s">
        <v>118</v>
      </c>
      <c r="R78" s="14" t="s">
        <v>61</v>
      </c>
      <c r="S78" s="65" t="str">
        <f ca="1">IF(S10="","",0.929+0.2208*S10)</f>
        <v/>
      </c>
      <c r="T78" s="33"/>
      <c r="U78" s="39" t="s">
        <v>118</v>
      </c>
      <c r="V78" s="14" t="s">
        <v>61</v>
      </c>
      <c r="W78" s="52" t="str">
        <f ca="1">IF(W10="","",0.45+0.2386*W10)</f>
        <v/>
      </c>
      <c r="X78" s="10"/>
      <c r="Y78" s="39" t="s">
        <v>118</v>
      </c>
      <c r="Z78" s="13" t="s">
        <v>60</v>
      </c>
      <c r="AA78" s="51">
        <f ca="1">IF(AA10="","",0.199+0.2344*AA10)</f>
        <v>3.567289704514268</v>
      </c>
      <c r="AB78" s="33"/>
      <c r="AC78" s="39" t="s">
        <v>118</v>
      </c>
      <c r="AD78" s="14" t="s">
        <v>61</v>
      </c>
      <c r="AE78" s="52">
        <f ca="1">IF(AE10="","",0.45+0.2386*AE10)</f>
        <v>2.8789480000000003</v>
      </c>
      <c r="AF78" s="36"/>
      <c r="AG78" s="36"/>
      <c r="AH78" s="36"/>
      <c r="AI78" s="36"/>
      <c r="AJ78" s="36"/>
      <c r="AK78" s="36"/>
      <c r="AL78" s="22"/>
      <c r="AM78" s="8"/>
      <c r="AN78" s="28"/>
      <c r="AO78" s="8"/>
      <c r="AP78" s="8"/>
      <c r="AQ78" s="22"/>
      <c r="AR78" s="22"/>
      <c r="AS78" s="22"/>
      <c r="AT78" s="22"/>
      <c r="AU78" s="22"/>
    </row>
    <row r="79" spans="2:47" hidden="1" x14ac:dyDescent="0.25">
      <c r="B79" s="8"/>
      <c r="C79" s="8"/>
      <c r="D79" s="8"/>
      <c r="E79" s="8"/>
      <c r="F79" s="8"/>
      <c r="G79" s="8"/>
      <c r="H79" s="16"/>
      <c r="I79" s="13"/>
      <c r="J79" s="13"/>
      <c r="K79" s="13"/>
      <c r="L79" s="30"/>
      <c r="M79" s="168" t="s">
        <v>119</v>
      </c>
      <c r="N79" s="19" t="s">
        <v>60</v>
      </c>
      <c r="O79" s="50" t="str">
        <f ca="1">IF(O10="","",0.1211+0.292*O10)</f>
        <v/>
      </c>
      <c r="P79" s="10"/>
      <c r="Q79" s="45" t="s">
        <v>119</v>
      </c>
      <c r="R79" s="20" t="s">
        <v>61</v>
      </c>
      <c r="S79" s="66" t="str">
        <f ca="1">IF(S10="","",-1.4792+0.3126*S10)</f>
        <v/>
      </c>
      <c r="T79" s="33"/>
      <c r="U79" s="45" t="s">
        <v>119</v>
      </c>
      <c r="V79" s="20" t="s">
        <v>61</v>
      </c>
      <c r="W79" s="69" t="str">
        <f ca="1">IF(W10="","",1.5456+0.222*W10)</f>
        <v/>
      </c>
      <c r="X79" s="10"/>
      <c r="Y79" s="45" t="s">
        <v>119</v>
      </c>
      <c r="Z79" s="19" t="s">
        <v>60</v>
      </c>
      <c r="AA79" s="50">
        <f ca="1">IF(AA10="","",0.1211+0.292*AA10)</f>
        <v>4.3170922940194805</v>
      </c>
      <c r="AB79" s="33"/>
      <c r="AC79" s="45" t="s">
        <v>119</v>
      </c>
      <c r="AD79" s="20" t="s">
        <v>61</v>
      </c>
      <c r="AE79" s="69">
        <f ca="1">IF(AE10="","",1.5456+0.222*AE10)</f>
        <v>3.8055599999999998</v>
      </c>
      <c r="AF79" s="36"/>
      <c r="AG79" s="36"/>
      <c r="AH79" s="36"/>
      <c r="AI79" s="36"/>
      <c r="AJ79" s="36"/>
      <c r="AK79" s="36"/>
      <c r="AL79" s="22"/>
      <c r="AM79" s="8"/>
      <c r="AN79" s="28"/>
      <c r="AO79" s="8"/>
      <c r="AP79" s="8"/>
      <c r="AQ79" s="22"/>
      <c r="AR79" s="22"/>
      <c r="AS79" s="22"/>
      <c r="AT79" s="22"/>
      <c r="AU79" s="22"/>
    </row>
    <row r="80" spans="2:47" hidden="1" x14ac:dyDescent="0.25">
      <c r="B80" s="8"/>
      <c r="C80" s="8"/>
      <c r="D80" s="8"/>
      <c r="E80" s="8"/>
      <c r="F80" s="8"/>
      <c r="G80" s="8"/>
      <c r="H80" s="16"/>
      <c r="I80" s="13"/>
      <c r="J80" s="13"/>
      <c r="K80" s="13"/>
      <c r="L80" s="30"/>
      <c r="M80" s="160" t="s">
        <v>121</v>
      </c>
      <c r="N80" s="12"/>
      <c r="O80" s="53" t="str">
        <f ca="1">IF('Combustion Emissions'!I56=1,IF(O87="","",SUMPRODUCT(O25:O60,$AQ$25:$AQ$60)/100),"")</f>
        <v/>
      </c>
      <c r="P80" s="10"/>
      <c r="Q80" s="44" t="s">
        <v>82</v>
      </c>
      <c r="R80" s="14"/>
      <c r="S80" s="68" t="str">
        <f ca="1">IF('Combustion Emissions'!I56=1,IF(SUM(S$25:S$34)=0,"",IF(SUM(S$30:S$34)=0,S25*12/1000,S30)),"")</f>
        <v/>
      </c>
      <c r="T80" s="33"/>
      <c r="U80" s="44" t="s">
        <v>83</v>
      </c>
      <c r="V80" s="14"/>
      <c r="W80" s="68" t="str">
        <f ca="1">IF('Combustion Emissions'!I56=1,IF(SUM(W25:W35)=0,"",IF(SUM(W30:W35)=0,W25*12/1000,W30)),"")</f>
        <v/>
      </c>
      <c r="X80" s="10"/>
      <c r="Y80" s="40" t="s">
        <v>121</v>
      </c>
      <c r="Z80" s="12"/>
      <c r="AA80" s="53">
        <f ca="1">IF('Combustion Emissions'!I56=1,IF(AA87="","",SUMPRODUCT(AA25:AA60,$AQ$25:$AQ$60)/100),"")</f>
        <v>1</v>
      </c>
      <c r="AB80" s="33"/>
      <c r="AC80" s="44" t="s">
        <v>83</v>
      </c>
      <c r="AD80" s="14"/>
      <c r="AE80" s="68">
        <f ca="1">IF('Combustion Emissions'!$I$56=1,IF(SUM(AE25:AE35)=0,"",IF(SUM(AE30:AE35)=0,AE25*12/1000,AE30)),"")</f>
        <v>0.44400000000000001</v>
      </c>
      <c r="AF80" s="85"/>
      <c r="AG80" s="85"/>
      <c r="AH80" s="85"/>
      <c r="AI80" s="85"/>
      <c r="AJ80" s="85"/>
      <c r="AK80" s="85"/>
      <c r="AL80" s="22"/>
      <c r="AM80" s="8"/>
      <c r="AN80" s="28"/>
      <c r="AO80" s="8"/>
      <c r="AP80" s="8"/>
      <c r="AQ80" s="22"/>
      <c r="AR80" s="22"/>
      <c r="AS80" s="22"/>
      <c r="AT80" s="22"/>
      <c r="AU80" s="22"/>
    </row>
    <row r="81" spans="2:47" hidden="1" x14ac:dyDescent="0.25">
      <c r="B81" s="8"/>
      <c r="C81" s="8"/>
      <c r="D81" s="8"/>
      <c r="E81" s="8"/>
      <c r="F81" s="8"/>
      <c r="G81" s="8"/>
      <c r="H81" s="16"/>
      <c r="I81" s="13"/>
      <c r="J81" s="13"/>
      <c r="K81" s="13"/>
      <c r="L81" s="30"/>
      <c r="M81" s="16" t="s">
        <v>122</v>
      </c>
      <c r="N81" s="13"/>
      <c r="O81" s="51" t="str">
        <f ca="1">IF(O80="","",SUMPRODUCT(O25:O60,$AR$25:$AR$60)/100)</f>
        <v/>
      </c>
      <c r="P81" s="10"/>
      <c r="Q81" s="44" t="s">
        <v>85</v>
      </c>
      <c r="R81" s="14"/>
      <c r="S81" s="68" t="str">
        <f ca="1">IF('Combustion Emissions'!I56=1,IF(SUM(S$25:S$34)=0,"",IF(SUM(S$30:S$34)=0,S26/1000,S31)),"")</f>
        <v/>
      </c>
      <c r="T81" s="33"/>
      <c r="U81" s="44" t="s">
        <v>86</v>
      </c>
      <c r="V81" s="14"/>
      <c r="W81" s="68" t="str">
        <f ca="1">IF('Combustion Emissions'!I56=1,IF(SUM(W25:W35)=0,"",IF(SUM(W30:W35)=0,W26/1000,W31)),"")</f>
        <v/>
      </c>
      <c r="X81" s="10"/>
      <c r="Y81" s="39" t="s">
        <v>122</v>
      </c>
      <c r="Z81" s="13"/>
      <c r="AA81" s="51">
        <f ca="1">IF(AA80="","",SUMPRODUCT(AA25:AA60,$AR$25:$AR$60)/100)</f>
        <v>1.6</v>
      </c>
      <c r="AB81" s="33"/>
      <c r="AC81" s="44" t="s">
        <v>86</v>
      </c>
      <c r="AD81" s="14"/>
      <c r="AE81" s="68">
        <f ca="1">IF('Combustion Emissions'!$I$56=1,IF(SUM(AE25:AE35)=0,"",IF(SUM(AE30:AE35)=0,AE26/1000,AE31)),"")</f>
        <v>6.2E-2</v>
      </c>
      <c r="AF81" s="85"/>
      <c r="AG81" s="85"/>
      <c r="AH81" s="85"/>
      <c r="AI81" s="85"/>
      <c r="AJ81" s="85"/>
      <c r="AK81" s="85"/>
      <c r="AL81" s="22"/>
      <c r="AM81" s="8"/>
      <c r="AN81" s="28"/>
      <c r="AO81" s="8"/>
      <c r="AP81" s="8"/>
      <c r="AQ81" s="22"/>
      <c r="AR81" s="22"/>
      <c r="AS81" s="22"/>
      <c r="AT81" s="22"/>
      <c r="AU81" s="22"/>
    </row>
    <row r="82" spans="2:47" hidden="1" x14ac:dyDescent="0.25">
      <c r="B82" s="8"/>
      <c r="C82" s="8"/>
      <c r="D82" s="8"/>
      <c r="E82" s="8"/>
      <c r="F82" s="8"/>
      <c r="G82" s="8"/>
      <c r="H82" s="16"/>
      <c r="I82" s="13"/>
      <c r="J82" s="13"/>
      <c r="K82" s="13"/>
      <c r="L82" s="30"/>
      <c r="M82" s="16" t="s">
        <v>123</v>
      </c>
      <c r="N82" s="13"/>
      <c r="O82" s="51" t="str">
        <f ca="1">IF(O80="","",SUMPRODUCT(O25:O60,$AT$25:$AT$60)/100)</f>
        <v/>
      </c>
      <c r="P82" s="10"/>
      <c r="Q82" s="44" t="s">
        <v>88</v>
      </c>
      <c r="R82" s="14"/>
      <c r="S82" s="68" t="str">
        <f ca="1">IF('Combustion Emissions'!I56=1,IF(SUM(S$25:S$34)=0,"",IF(SUM(S$30:S$34)=0,S27*14/1000,S32)),"")</f>
        <v/>
      </c>
      <c r="T82" s="33"/>
      <c r="U82" s="44" t="s">
        <v>89</v>
      </c>
      <c r="V82" s="14"/>
      <c r="W82" s="68" t="str">
        <f ca="1">IF('Combustion Emissions'!I56=1,IF(SUM(W25:W35)=0,"",IF(SUM(W30:W35)=0,W27*14/1000,W32)),"")</f>
        <v/>
      </c>
      <c r="X82" s="10"/>
      <c r="Y82" s="39" t="s">
        <v>123</v>
      </c>
      <c r="Z82" s="13"/>
      <c r="AA82" s="51">
        <f ca="1">IF(AA80="","",SUMPRODUCT(AA25:AA60,$AT$25:$AT$60)/100)</f>
        <v>0</v>
      </c>
      <c r="AB82" s="33"/>
      <c r="AC82" s="44" t="s">
        <v>89</v>
      </c>
      <c r="AD82" s="14"/>
      <c r="AE82" s="68">
        <f ca="1">IF('Combustion Emissions'!$I$56=1,IF(SUM(AE25:AE35)=0,"",IF(SUM(AE30:AE35)=0,AE27*14/1000,AE32)),"")</f>
        <v>0</v>
      </c>
      <c r="AF82" s="85"/>
      <c r="AG82" s="85"/>
      <c r="AH82" s="85"/>
      <c r="AI82" s="85"/>
      <c r="AJ82" s="85"/>
      <c r="AK82" s="85"/>
      <c r="AL82" s="22"/>
      <c r="AM82" s="8"/>
      <c r="AN82" s="28"/>
      <c r="AO82" s="8"/>
      <c r="AP82" s="8"/>
      <c r="AQ82" s="22"/>
      <c r="AR82" s="22"/>
      <c r="AS82" s="22"/>
      <c r="AT82" s="22"/>
      <c r="AU82" s="22"/>
    </row>
    <row r="83" spans="2:47" hidden="1" x14ac:dyDescent="0.25">
      <c r="B83" s="8"/>
      <c r="C83" s="8"/>
      <c r="D83" s="8"/>
      <c r="E83" s="8"/>
      <c r="F83" s="8"/>
      <c r="G83" s="8"/>
      <c r="H83" s="16"/>
      <c r="I83" s="13"/>
      <c r="J83" s="13"/>
      <c r="K83" s="13"/>
      <c r="L83" s="30"/>
      <c r="M83" s="16" t="s">
        <v>124</v>
      </c>
      <c r="N83" s="13"/>
      <c r="O83" s="51" t="str">
        <f ca="1">IF(O80="","",SUMPRODUCT(O25:O60,$AU$25:$AU$60)/100)</f>
        <v/>
      </c>
      <c r="P83" s="10"/>
      <c r="Q83" s="44" t="s">
        <v>91</v>
      </c>
      <c r="R83" s="14"/>
      <c r="S83" s="68" t="str">
        <f ca="1">IF('Combustion Emissions'!I56=1,IF(SUM(S$25:S$34)=0,"",IF(SUM(S$30:S$34)=0,S28*32/1000,S33)),"")</f>
        <v/>
      </c>
      <c r="T83" s="33"/>
      <c r="U83" s="44" t="s">
        <v>92</v>
      </c>
      <c r="V83" s="14"/>
      <c r="W83" s="68" t="str">
        <f ca="1">IF('Combustion Emissions'!I56=1,IF(SUM(W25:W35)=0,"",IF(SUM(W30:W35)=0,W28*32/1000,W33)),"")</f>
        <v/>
      </c>
      <c r="X83" s="10"/>
      <c r="Y83" s="39" t="s">
        <v>124</v>
      </c>
      <c r="Z83" s="13"/>
      <c r="AA83" s="51">
        <f ca="1">IF(AA80="","",SUMPRODUCT(AA25:AA60,$AU$25:$AU$60)/100)</f>
        <v>0</v>
      </c>
      <c r="AB83" s="33"/>
      <c r="AC83" s="44" t="s">
        <v>92</v>
      </c>
      <c r="AD83" s="14"/>
      <c r="AE83" s="68">
        <f ca="1">IF('Combustion Emissions'!$I$56=1,IF(SUM(AE25:AE35)=0,"",IF(SUM(AE30:AE35)=0,AE28*32/1000,AE33)),"")</f>
        <v>2.0000000000000001E-4</v>
      </c>
      <c r="AF83" s="85"/>
      <c r="AG83" s="85"/>
      <c r="AH83" s="85"/>
      <c r="AI83" s="85"/>
      <c r="AJ83" s="85"/>
      <c r="AK83" s="85"/>
      <c r="AL83" s="22"/>
      <c r="AM83" s="8"/>
      <c r="AN83" s="28"/>
      <c r="AO83" s="8"/>
      <c r="AP83" s="8"/>
      <c r="AQ83" s="22"/>
      <c r="AR83" s="22"/>
      <c r="AS83" s="22"/>
      <c r="AT83" s="22"/>
      <c r="AU83" s="22"/>
    </row>
    <row r="84" spans="2:47" hidden="1" x14ac:dyDescent="0.25">
      <c r="B84" s="8"/>
      <c r="C84" s="8"/>
      <c r="D84" s="8"/>
      <c r="E84" s="8"/>
      <c r="F84" s="8"/>
      <c r="G84" s="8"/>
      <c r="H84" s="16"/>
      <c r="I84" s="13"/>
      <c r="J84" s="13"/>
      <c r="K84" s="13"/>
      <c r="L84" s="30"/>
      <c r="M84" s="16" t="s">
        <v>125</v>
      </c>
      <c r="N84" s="13"/>
      <c r="O84" s="51" t="str">
        <f ca="1">IF(O80="","",SUMPRODUCT(O25:O60,$AS$25:$AS$60)/100)</f>
        <v/>
      </c>
      <c r="P84" s="10"/>
      <c r="Q84" s="44" t="s">
        <v>94</v>
      </c>
      <c r="R84" s="14"/>
      <c r="S84" s="68" t="str">
        <f ca="1">IF('Combustion Emissions'!I56=1,IF(SUM(S$25:S$34)=0,"",IF(SUM(S$30:S$34)=0,"",IF(S34="","",S34))),"")</f>
        <v/>
      </c>
      <c r="T84" s="33"/>
      <c r="U84" s="44" t="s">
        <v>95</v>
      </c>
      <c r="V84" s="14"/>
      <c r="W84" s="68" t="str">
        <f ca="1">IF('Combustion Emissions'!I56=1,IF(SUM(W25:W35)=0,"",IF(SUM(W30:W35)=0,W29*16/1000,W34)),"")</f>
        <v/>
      </c>
      <c r="X84" s="10"/>
      <c r="Y84" s="39" t="s">
        <v>125</v>
      </c>
      <c r="Z84" s="13"/>
      <c r="AA84" s="51">
        <f ca="1">IF(AA80="","",SUMPRODUCT(AA25:AA60,$AS$25:$AS$60)/100)</f>
        <v>1.2</v>
      </c>
      <c r="AB84" s="33"/>
      <c r="AC84" s="44" t="s">
        <v>95</v>
      </c>
      <c r="AD84" s="14"/>
      <c r="AE84" s="68">
        <f ca="1">IF('Combustion Emissions'!$I$56=1,IF(SUM(AE25:AE35)=0,"",IF(SUM(AE30:AE35)=0,AE29*16/1000,AE34)),"")</f>
        <v>0.49399999999999999</v>
      </c>
      <c r="AF84" s="85"/>
      <c r="AG84" s="85"/>
      <c r="AH84" s="85"/>
      <c r="AI84" s="85"/>
      <c r="AJ84" s="85"/>
      <c r="AK84" s="85"/>
      <c r="AL84" s="22"/>
      <c r="AM84" s="8"/>
      <c r="AN84" s="28"/>
      <c r="AO84" s="8"/>
      <c r="AP84" s="8"/>
      <c r="AQ84" s="22"/>
      <c r="AR84" s="22"/>
      <c r="AS84" s="22"/>
      <c r="AT84" s="22"/>
      <c r="AU84" s="22"/>
    </row>
    <row r="85" spans="2:47" hidden="1" x14ac:dyDescent="0.25">
      <c r="B85" s="8"/>
      <c r="C85" s="8"/>
      <c r="D85" s="8"/>
      <c r="E85" s="8"/>
      <c r="F85" s="8"/>
      <c r="G85" s="8"/>
      <c r="H85" s="16"/>
      <c r="I85" s="16"/>
      <c r="J85" s="16"/>
      <c r="K85" s="16"/>
      <c r="L85" s="30"/>
      <c r="M85" s="16"/>
      <c r="N85" s="16"/>
      <c r="O85" s="127"/>
      <c r="P85" s="30"/>
      <c r="Q85" s="44" t="s">
        <v>126</v>
      </c>
      <c r="R85" s="14"/>
      <c r="S85" s="68" t="str">
        <f ca="1">IF('Combustion Emissions'!I56=1,IF(SUM(S25:S34)=0,"",IF(SUM(S30:S34)=0,S29*16/1000,1-SUM(S80:S84))),"")</f>
        <v/>
      </c>
      <c r="T85" s="33"/>
      <c r="U85" s="44" t="s">
        <v>96</v>
      </c>
      <c r="V85" s="34"/>
      <c r="W85" s="68" t="str">
        <f ca="1">IF('Combustion Emissions'!I56=1,IF(W84="","",IF(SUM(W30:W35)=0,0,W35)),"")</f>
        <v/>
      </c>
      <c r="X85" s="30"/>
      <c r="Y85" s="39"/>
      <c r="Z85" s="16"/>
      <c r="AA85" s="127"/>
      <c r="AB85" s="33"/>
      <c r="AC85" s="44" t="s">
        <v>96</v>
      </c>
      <c r="AD85" s="34"/>
      <c r="AE85" s="68">
        <f ca="1">IF('Combustion Emissions'!$I$56=1,IF(AE84="","",IF(SUM(AE30:AE35)=0,0,AE35)),"")</f>
        <v>0.4</v>
      </c>
      <c r="AF85" s="85"/>
      <c r="AG85" s="85"/>
      <c r="AH85" s="85"/>
      <c r="AI85" s="85"/>
      <c r="AJ85" s="85"/>
      <c r="AK85" s="85"/>
      <c r="AL85" s="22"/>
      <c r="AM85" s="8"/>
      <c r="AN85" s="28"/>
      <c r="AO85" s="8"/>
      <c r="AP85" s="8"/>
      <c r="AQ85" s="22"/>
      <c r="AR85" s="22"/>
      <c r="AS85" s="22"/>
      <c r="AT85" s="22"/>
      <c r="AU85" s="22"/>
    </row>
    <row r="86" spans="2:47" hidden="1" x14ac:dyDescent="0.25">
      <c r="B86" s="8"/>
      <c r="C86" s="8"/>
      <c r="D86" s="8"/>
      <c r="E86" s="8"/>
      <c r="F86" s="8"/>
      <c r="G86" s="8"/>
      <c r="H86" s="16"/>
      <c r="I86" s="13"/>
      <c r="J86" s="13"/>
      <c r="K86" s="13"/>
      <c r="L86" s="30"/>
      <c r="M86" s="16"/>
      <c r="N86" s="13"/>
      <c r="O86" s="51"/>
      <c r="P86" s="10"/>
      <c r="Q86" s="39"/>
      <c r="R86" s="13"/>
      <c r="S86" s="51"/>
      <c r="T86" s="33"/>
      <c r="U86" s="44" t="s">
        <v>127</v>
      </c>
      <c r="V86" s="34"/>
      <c r="W86" s="68" t="str">
        <f ca="1">IF('Combustion Emissions'!I56=1,IF(SUM(W25:W35)=0,"",1-W84-W83-W82-W81-W80),"")</f>
        <v/>
      </c>
      <c r="X86" s="10"/>
      <c r="Y86" s="39" t="s">
        <v>139</v>
      </c>
      <c r="Z86" s="13"/>
      <c r="AA86" s="51"/>
      <c r="AB86" s="33"/>
      <c r="AC86" s="44" t="s">
        <v>127</v>
      </c>
      <c r="AD86" s="34"/>
      <c r="AE86" s="68">
        <f ca="1">IF('Combustion Emissions'!$I$56=1,IF(SUM(AE25:AE35)=0,"",1-AE84-AE83-AE82-AE81-AE80),"")</f>
        <v>-1.9999999999997797E-4</v>
      </c>
      <c r="AF86" s="85"/>
      <c r="AG86" s="85"/>
      <c r="AH86" s="85"/>
      <c r="AI86" s="85"/>
      <c r="AJ86" s="85"/>
      <c r="AK86" s="85"/>
      <c r="AL86" s="22"/>
      <c r="AM86" s="8"/>
      <c r="AN86" s="28"/>
      <c r="AO86" s="8"/>
      <c r="AP86" s="8"/>
      <c r="AQ86" s="22"/>
      <c r="AR86" s="22"/>
      <c r="AS86" s="22"/>
      <c r="AT86" s="22"/>
      <c r="AU86" s="22"/>
    </row>
    <row r="87" spans="2:47" hidden="1" x14ac:dyDescent="0.25">
      <c r="B87" s="8"/>
      <c r="C87" s="8"/>
      <c r="D87" s="8"/>
      <c r="E87" s="8"/>
      <c r="F87" s="8"/>
      <c r="G87" s="8"/>
      <c r="H87" s="16"/>
      <c r="I87" s="13"/>
      <c r="J87" s="13"/>
      <c r="K87" s="13"/>
      <c r="L87" s="30"/>
      <c r="M87" s="16" t="s">
        <v>56</v>
      </c>
      <c r="N87" s="13" t="s">
        <v>128</v>
      </c>
      <c r="O87" s="55" t="str">
        <f ca="1">IF('Combustion Emissions'!I56=1,IF(SUMPRODUCT(O25:O60,$AL$25:$AL$60)=0,"",SUMPRODUCT(O25:O60,$AL$25:$AL$60)/100),"")</f>
        <v/>
      </c>
      <c r="P87" s="10"/>
      <c r="Q87" s="39"/>
      <c r="R87" s="13"/>
      <c r="S87" s="51"/>
      <c r="T87" s="33"/>
      <c r="U87" s="39"/>
      <c r="V87" s="13"/>
      <c r="W87" s="51"/>
      <c r="X87" s="10"/>
      <c r="Y87" s="39" t="s">
        <v>56</v>
      </c>
      <c r="Z87" s="13" t="s">
        <v>128</v>
      </c>
      <c r="AA87" s="55">
        <f ca="1">IF('Combustion Emissions'!I56=1,IF(SUMPRODUCT(AA25:AA60,$AL$25:$AL$60)=0,"",SUMPRODUCT(AA25:AA60,$AL$25:$AL$60)/100),"")</f>
        <v>356.14080000000001</v>
      </c>
      <c r="AB87" s="33"/>
      <c r="AC87" s="39"/>
      <c r="AD87" s="13"/>
      <c r="AE87" s="51"/>
      <c r="AF87" s="36"/>
      <c r="AG87" s="36"/>
      <c r="AH87" s="36"/>
      <c r="AI87" s="36"/>
      <c r="AJ87" s="36"/>
      <c r="AK87" s="36"/>
      <c r="AL87" s="22"/>
      <c r="AM87" s="8"/>
      <c r="AN87" s="28"/>
      <c r="AO87" s="8"/>
      <c r="AP87" s="8"/>
      <c r="AQ87" s="22"/>
      <c r="AR87" s="22"/>
      <c r="AS87" s="22"/>
      <c r="AT87" s="22"/>
      <c r="AU87" s="22"/>
    </row>
    <row r="88" spans="2:47" hidden="1" x14ac:dyDescent="0.25">
      <c r="B88" s="8"/>
      <c r="C88" s="8"/>
      <c r="D88" s="8"/>
      <c r="E88" s="8"/>
      <c r="F88" s="8"/>
      <c r="G88" s="8"/>
      <c r="H88" s="16"/>
      <c r="I88" s="13"/>
      <c r="J88" s="13"/>
      <c r="K88" s="13"/>
      <c r="L88" s="30"/>
      <c r="M88" s="16"/>
      <c r="N88" s="13" t="s">
        <v>54</v>
      </c>
      <c r="O88" s="55" t="str">
        <f ca="1">IF(O87="","",O87/O94)</f>
        <v/>
      </c>
      <c r="P88" s="10"/>
      <c r="Q88" s="39"/>
      <c r="R88" s="13"/>
      <c r="S88" s="51"/>
      <c r="T88" s="33"/>
      <c r="U88" s="39"/>
      <c r="V88" s="13"/>
      <c r="W88" s="51"/>
      <c r="X88" s="10"/>
      <c r="Y88" s="39"/>
      <c r="Z88" s="13" t="s">
        <v>54</v>
      </c>
      <c r="AA88" s="55">
        <f ca="1">IF(AA87="","",AA87/AA94)</f>
        <v>15.946521060520519</v>
      </c>
      <c r="AB88" s="33"/>
      <c r="AC88" s="39"/>
      <c r="AD88" s="13"/>
      <c r="AE88" s="51"/>
      <c r="AF88" s="36"/>
      <c r="AG88" s="36"/>
      <c r="AH88" s="36"/>
      <c r="AI88" s="36"/>
      <c r="AJ88" s="36"/>
      <c r="AK88" s="36"/>
      <c r="AL88" s="22"/>
      <c r="AM88" s="8"/>
      <c r="AN88" s="28"/>
      <c r="AO88" s="8"/>
      <c r="AP88" s="8"/>
      <c r="AQ88" s="22"/>
      <c r="AR88" s="22"/>
      <c r="AS88" s="22"/>
      <c r="AT88" s="22"/>
      <c r="AU88" s="22"/>
    </row>
    <row r="89" spans="2:47" hidden="1" x14ac:dyDescent="0.25">
      <c r="B89" s="8"/>
      <c r="C89" s="8"/>
      <c r="D89" s="8"/>
      <c r="E89" s="8"/>
      <c r="F89" s="8"/>
      <c r="G89" s="8"/>
      <c r="H89" s="16"/>
      <c r="I89" s="13"/>
      <c r="J89" s="13"/>
      <c r="K89" s="13"/>
      <c r="L89" s="30"/>
      <c r="M89" s="16" t="s">
        <v>57</v>
      </c>
      <c r="N89" s="13" t="s">
        <v>54</v>
      </c>
      <c r="O89" s="55" t="str">
        <f ca="1">IF(O88="","",O88/SQRT(O97))</f>
        <v/>
      </c>
      <c r="P89" s="10"/>
      <c r="Q89" s="39"/>
      <c r="R89" s="13"/>
      <c r="S89" s="51"/>
      <c r="T89" s="33"/>
      <c r="U89" s="39"/>
      <c r="V89" s="13"/>
      <c r="W89" s="51"/>
      <c r="X89" s="10"/>
      <c r="Y89" s="39" t="s">
        <v>57</v>
      </c>
      <c r="Z89" s="13" t="s">
        <v>54</v>
      </c>
      <c r="AA89" s="55">
        <f ca="1">IF(AA88="","",AA88/SQRT(AA97))</f>
        <v>14.943344590554805</v>
      </c>
      <c r="AB89" s="33"/>
      <c r="AC89" s="39"/>
      <c r="AD89" s="13"/>
      <c r="AE89" s="51"/>
      <c r="AF89" s="36"/>
      <c r="AG89" s="36"/>
      <c r="AH89" s="36"/>
      <c r="AI89" s="36"/>
      <c r="AJ89" s="36"/>
      <c r="AK89" s="36"/>
      <c r="AL89" s="22"/>
      <c r="AM89" s="8"/>
      <c r="AN89" s="28"/>
      <c r="AO89" s="8"/>
      <c r="AP89" s="8"/>
      <c r="AQ89" s="22"/>
      <c r="AR89" s="22"/>
      <c r="AS89" s="22"/>
      <c r="AT89" s="22"/>
      <c r="AU89" s="22"/>
    </row>
    <row r="90" spans="2:47" hidden="1" x14ac:dyDescent="0.25">
      <c r="B90" s="8"/>
      <c r="C90" s="8"/>
      <c r="D90" s="8"/>
      <c r="E90" s="8"/>
      <c r="F90" s="8"/>
      <c r="G90" s="8"/>
      <c r="H90" s="16"/>
      <c r="I90" s="13"/>
      <c r="J90" s="13"/>
      <c r="K90" s="13"/>
      <c r="L90" s="10"/>
      <c r="M90" s="39" t="s">
        <v>51</v>
      </c>
      <c r="N90" s="13" t="s">
        <v>128</v>
      </c>
      <c r="O90" s="55" t="str">
        <f ca="1">IF(O87="","",SUMPRODUCT(O25:O60,$AM$25:$AM$60)/100)</f>
        <v/>
      </c>
      <c r="P90" s="10"/>
      <c r="Q90" s="39"/>
      <c r="R90" s="13"/>
      <c r="S90" s="51"/>
      <c r="T90" s="33"/>
      <c r="U90" s="39"/>
      <c r="V90" s="13"/>
      <c r="W90" s="51"/>
      <c r="X90" s="10"/>
      <c r="Y90" s="39" t="s">
        <v>51</v>
      </c>
      <c r="Z90" s="13" t="s">
        <v>128</v>
      </c>
      <c r="AA90" s="55">
        <f ca="1">IF(AA87="","",SUMPRODUCT(AA25:AA60,$AM$25:$AM$60)/100)</f>
        <v>320.92800000000005</v>
      </c>
      <c r="AB90" s="33"/>
      <c r="AC90" s="39"/>
      <c r="AD90" s="13"/>
      <c r="AE90" s="51"/>
      <c r="AF90" s="33"/>
      <c r="AG90" s="33"/>
      <c r="AH90" s="33"/>
      <c r="AI90" s="33"/>
      <c r="AJ90" s="33"/>
      <c r="AK90" s="33"/>
      <c r="AL90" s="22"/>
      <c r="AM90" s="8"/>
      <c r="AN90" s="28"/>
      <c r="AO90" s="8"/>
      <c r="AP90" s="8"/>
      <c r="AQ90" s="22"/>
      <c r="AR90" s="22"/>
      <c r="AS90" s="22"/>
      <c r="AT90" s="22"/>
      <c r="AU90" s="22"/>
    </row>
    <row r="91" spans="2:47" hidden="1" x14ac:dyDescent="0.25">
      <c r="B91" s="8"/>
      <c r="C91" s="8"/>
      <c r="D91" s="8"/>
      <c r="E91" s="8"/>
      <c r="F91" s="8"/>
      <c r="G91" s="8"/>
      <c r="H91" s="16"/>
      <c r="I91" s="13"/>
      <c r="J91" s="13"/>
      <c r="K91" s="13"/>
      <c r="L91" s="10"/>
      <c r="M91" s="39"/>
      <c r="N91" s="13" t="s">
        <v>54</v>
      </c>
      <c r="O91" s="55" t="str">
        <f ca="1">IF(O90="","",O90/O94)</f>
        <v/>
      </c>
      <c r="P91" s="10"/>
      <c r="Q91" s="39"/>
      <c r="R91" s="13"/>
      <c r="S91" s="51"/>
      <c r="T91" s="33"/>
      <c r="U91" s="39"/>
      <c r="V91" s="13"/>
      <c r="W91" s="51"/>
      <c r="X91" s="10"/>
      <c r="Y91" s="39"/>
      <c r="Z91" s="13" t="s">
        <v>54</v>
      </c>
      <c r="AA91" s="55">
        <f ca="1">IF(AA90="","",AA90/AA94)</f>
        <v>14.369836623354386</v>
      </c>
      <c r="AB91" s="33"/>
      <c r="AC91" s="39"/>
      <c r="AD91" s="13"/>
      <c r="AE91" s="51"/>
      <c r="AF91" s="33"/>
      <c r="AG91" s="33"/>
      <c r="AH91" s="33"/>
      <c r="AI91" s="33"/>
      <c r="AJ91" s="33"/>
      <c r="AK91" s="33"/>
      <c r="AL91" s="22"/>
      <c r="AM91" s="8"/>
      <c r="AN91" s="28"/>
      <c r="AO91" s="8"/>
      <c r="AP91" s="8"/>
      <c r="AQ91" s="22"/>
      <c r="AR91" s="22"/>
      <c r="AS91" s="22"/>
      <c r="AT91" s="22"/>
      <c r="AU91" s="22"/>
    </row>
    <row r="92" spans="2:47" hidden="1" x14ac:dyDescent="0.25">
      <c r="B92" s="8"/>
      <c r="C92" s="8"/>
      <c r="D92" s="8"/>
      <c r="E92" s="8"/>
      <c r="F92" s="8"/>
      <c r="G92" s="8"/>
      <c r="H92" s="16"/>
      <c r="I92" s="13"/>
      <c r="J92" s="13"/>
      <c r="K92" s="13"/>
      <c r="L92" s="10"/>
      <c r="M92" s="39" t="s">
        <v>129</v>
      </c>
      <c r="N92" s="13"/>
      <c r="O92" s="55" t="str">
        <f ca="1">IF(O87="","",SUMPRODUCT(O25:O60,$AN$25:$AN$60)/100)</f>
        <v/>
      </c>
      <c r="P92" s="10"/>
      <c r="Q92" s="39"/>
      <c r="R92" s="13"/>
      <c r="S92" s="51"/>
      <c r="T92" s="33"/>
      <c r="U92" s="39"/>
      <c r="V92" s="13"/>
      <c r="W92" s="51"/>
      <c r="X92" s="10"/>
      <c r="Y92" s="39" t="s">
        <v>129</v>
      </c>
      <c r="Z92" s="13"/>
      <c r="AA92" s="55">
        <f ca="1">IF(AA87="","",SUMPRODUCT(AA25:AA60,$AN$25:$AN$60)/100)</f>
        <v>32.822919999999996</v>
      </c>
      <c r="AB92" s="33"/>
      <c r="AC92" s="39"/>
      <c r="AD92" s="13"/>
      <c r="AE92" s="51"/>
      <c r="AF92" s="33"/>
      <c r="AG92" s="33"/>
      <c r="AH92" s="33"/>
      <c r="AI92" s="33"/>
      <c r="AJ92" s="33"/>
      <c r="AK92" s="33"/>
      <c r="AL92" s="22"/>
      <c r="AM92" s="8"/>
      <c r="AN92" s="28"/>
      <c r="AO92" s="8"/>
      <c r="AP92" s="8"/>
      <c r="AQ92" s="22"/>
      <c r="AR92" s="22"/>
      <c r="AS92" s="22"/>
      <c r="AT92" s="22"/>
      <c r="AU92" s="22"/>
    </row>
    <row r="93" spans="2:47" hidden="1" x14ac:dyDescent="0.25">
      <c r="B93" s="8"/>
      <c r="C93" s="8"/>
      <c r="D93" s="8"/>
      <c r="E93" s="8"/>
      <c r="F93" s="8"/>
      <c r="G93" s="8"/>
      <c r="H93" s="16"/>
      <c r="I93" s="13"/>
      <c r="J93" s="13"/>
      <c r="K93" s="13"/>
      <c r="L93" s="10"/>
      <c r="M93" s="39" t="s">
        <v>130</v>
      </c>
      <c r="N93" s="13"/>
      <c r="O93" s="51" t="str">
        <f ca="1">IF(O87="","",1-(SUMPRODUCT(O25:O60,$AP$25:$AP$60)/100)^2+0.0005*(0.02*O28-O28*O28/10000))</f>
        <v/>
      </c>
      <c r="P93" s="10"/>
      <c r="Q93" s="39"/>
      <c r="R93" s="13"/>
      <c r="S93" s="51"/>
      <c r="T93" s="33"/>
      <c r="U93" s="39"/>
      <c r="V93" s="13"/>
      <c r="W93" s="51"/>
      <c r="X93" s="10"/>
      <c r="Y93" s="39" t="s">
        <v>130</v>
      </c>
      <c r="Z93" s="13"/>
      <c r="AA93" s="51">
        <f ca="1">IF(AA87="","",1-(SUMPRODUCT(AA25:AA60,$AP$25:$AP$60)/100)^2+0.0005*(0.02*AA28-AA28*AA28/10000))</f>
        <v>0.99642396</v>
      </c>
      <c r="AB93" s="33"/>
      <c r="AC93" s="39"/>
      <c r="AD93" s="13"/>
      <c r="AE93" s="51"/>
      <c r="AF93" s="33"/>
      <c r="AG93" s="33"/>
      <c r="AH93" s="33"/>
      <c r="AI93" s="33"/>
      <c r="AJ93" s="33"/>
      <c r="AK93" s="33"/>
      <c r="AL93" s="22"/>
      <c r="AM93" s="8"/>
      <c r="AN93" s="28"/>
      <c r="AO93" s="8"/>
      <c r="AP93" s="8"/>
      <c r="AQ93" s="22"/>
      <c r="AR93" s="22"/>
      <c r="AS93" s="22"/>
      <c r="AT93" s="22"/>
      <c r="AU93" s="22"/>
    </row>
    <row r="94" spans="2:47" hidden="1" x14ac:dyDescent="0.25">
      <c r="B94" s="8"/>
      <c r="C94" s="8"/>
      <c r="D94" s="8"/>
      <c r="E94" s="8"/>
      <c r="F94" s="8"/>
      <c r="G94" s="8"/>
      <c r="H94" s="16"/>
      <c r="I94" s="13"/>
      <c r="J94" s="13"/>
      <c r="K94" s="13"/>
      <c r="L94" s="10"/>
      <c r="M94" s="39" t="s">
        <v>131</v>
      </c>
      <c r="N94" s="13"/>
      <c r="O94" s="55" t="str">
        <f ca="1">IF(O93="","",O93*22.4136)</f>
        <v/>
      </c>
      <c r="P94" s="10"/>
      <c r="Q94" s="39"/>
      <c r="R94" s="13"/>
      <c r="S94" s="51"/>
      <c r="T94" s="33"/>
      <c r="U94" s="39"/>
      <c r="V94" s="13"/>
      <c r="W94" s="51"/>
      <c r="X94" s="10"/>
      <c r="Y94" s="39" t="s">
        <v>131</v>
      </c>
      <c r="Z94" s="13"/>
      <c r="AA94" s="55">
        <f ca="1">IF(AA93="","",AA93*22.4136)</f>
        <v>22.333448069855997</v>
      </c>
      <c r="AB94" s="33"/>
      <c r="AC94" s="39"/>
      <c r="AD94" s="13"/>
      <c r="AE94" s="51"/>
      <c r="AF94" s="33"/>
      <c r="AG94" s="33"/>
      <c r="AH94" s="33"/>
      <c r="AI94" s="33"/>
      <c r="AJ94" s="33"/>
      <c r="AK94" s="33"/>
      <c r="AL94" s="22"/>
      <c r="AM94" s="8"/>
      <c r="AN94" s="28"/>
      <c r="AO94" s="8"/>
      <c r="AP94" s="8"/>
      <c r="AQ94" s="22"/>
      <c r="AR94" s="22"/>
      <c r="AS94" s="22"/>
      <c r="AT94" s="22"/>
      <c r="AU94" s="22"/>
    </row>
    <row r="95" spans="2:47" hidden="1" x14ac:dyDescent="0.25">
      <c r="B95" s="8"/>
      <c r="C95" s="8"/>
      <c r="D95" s="8"/>
      <c r="E95" s="8"/>
      <c r="F95" s="8"/>
      <c r="G95" s="8"/>
      <c r="H95" s="16"/>
      <c r="I95" s="13"/>
      <c r="J95" s="13"/>
      <c r="K95" s="13"/>
      <c r="L95" s="10"/>
      <c r="M95" s="39" t="s">
        <v>132</v>
      </c>
      <c r="N95" s="13"/>
      <c r="O95" s="55" t="str">
        <f ca="1">IF(O87="","",SUMPRODUCT(O25:O60,$AO$25:$AO$60)/100)</f>
        <v/>
      </c>
      <c r="P95" s="10"/>
      <c r="Q95" s="39"/>
      <c r="R95" s="13"/>
      <c r="S95" s="51"/>
      <c r="T95" s="33"/>
      <c r="U95" s="39"/>
      <c r="V95" s="13"/>
      <c r="W95" s="51"/>
      <c r="X95" s="10"/>
      <c r="Y95" s="39" t="s">
        <v>132</v>
      </c>
      <c r="Z95" s="13"/>
      <c r="AA95" s="55">
        <f ca="1">IF(AA87="","",SUMPRODUCT(AA25:AA60,$AO$25:$AO$60)/100)</f>
        <v>22.291659999999997</v>
      </c>
      <c r="AB95" s="33"/>
      <c r="AC95" s="39"/>
      <c r="AD95" s="13"/>
      <c r="AE95" s="51"/>
      <c r="AF95" s="33"/>
      <c r="AG95" s="33"/>
      <c r="AH95" s="33"/>
      <c r="AI95" s="33"/>
      <c r="AJ95" s="33"/>
      <c r="AK95" s="33"/>
      <c r="AL95" s="22"/>
      <c r="AM95" s="8"/>
      <c r="AN95" s="28"/>
      <c r="AO95" s="8"/>
      <c r="AP95" s="8"/>
      <c r="AQ95" s="22"/>
      <c r="AR95" s="22"/>
      <c r="AS95" s="22"/>
      <c r="AT95" s="22"/>
      <c r="AU95" s="22"/>
    </row>
    <row r="96" spans="2:47" hidden="1" x14ac:dyDescent="0.25">
      <c r="B96" s="8"/>
      <c r="C96" s="8"/>
      <c r="D96" s="8"/>
      <c r="E96" s="8"/>
      <c r="F96" s="8"/>
      <c r="G96" s="8"/>
      <c r="H96" s="16"/>
      <c r="I96" s="13"/>
      <c r="J96" s="13"/>
      <c r="K96" s="13"/>
      <c r="L96" s="10"/>
      <c r="M96" s="39" t="s">
        <v>133</v>
      </c>
      <c r="N96" s="13" t="s">
        <v>134</v>
      </c>
      <c r="O96" s="51" t="str">
        <f ca="1">IF(O95="","",O92/O95)</f>
        <v/>
      </c>
      <c r="P96" s="10"/>
      <c r="Q96" s="39"/>
      <c r="R96" s="13"/>
      <c r="S96" s="51"/>
      <c r="T96" s="33"/>
      <c r="U96" s="39"/>
      <c r="V96" s="13"/>
      <c r="W96" s="51"/>
      <c r="X96" s="10"/>
      <c r="Y96" s="39" t="s">
        <v>133</v>
      </c>
      <c r="Z96" s="13" t="s">
        <v>134</v>
      </c>
      <c r="AA96" s="51">
        <f ca="1">IF(AA95="","",AA92/AA95)</f>
        <v>1.4724304964278121</v>
      </c>
      <c r="AB96" s="33"/>
      <c r="AC96" s="39"/>
      <c r="AD96" s="13"/>
      <c r="AE96" s="51"/>
      <c r="AF96" s="33"/>
      <c r="AG96" s="33"/>
      <c r="AH96" s="33"/>
      <c r="AI96" s="33"/>
      <c r="AJ96" s="33"/>
      <c r="AK96" s="33"/>
      <c r="AL96" s="22"/>
      <c r="AM96" s="8"/>
      <c r="AN96" s="28"/>
      <c r="AO96" s="8"/>
      <c r="AP96" s="8"/>
      <c r="AQ96" s="22"/>
      <c r="AR96" s="22"/>
      <c r="AS96" s="22"/>
      <c r="AT96" s="22"/>
      <c r="AU96" s="22"/>
    </row>
    <row r="97" spans="2:48" ht="15.75" hidden="1" thickBot="1" x14ac:dyDescent="0.3">
      <c r="B97" s="8"/>
      <c r="C97" s="8"/>
      <c r="D97" s="8"/>
      <c r="E97" s="8"/>
      <c r="F97" s="8"/>
      <c r="G97" s="8"/>
      <c r="H97" s="16"/>
      <c r="I97" s="13"/>
      <c r="J97" s="13"/>
      <c r="K97" s="13"/>
      <c r="L97" s="10"/>
      <c r="M97" s="56" t="s">
        <v>135</v>
      </c>
      <c r="N97" s="57"/>
      <c r="O97" s="58" t="str">
        <f ca="1">IF(O96="","",O96/1.293)</f>
        <v/>
      </c>
      <c r="P97" s="10"/>
      <c r="Q97" s="56"/>
      <c r="R97" s="57"/>
      <c r="S97" s="58"/>
      <c r="T97" s="33"/>
      <c r="U97" s="56"/>
      <c r="V97" s="57"/>
      <c r="W97" s="58"/>
      <c r="X97" s="10"/>
      <c r="Y97" s="56" t="s">
        <v>135</v>
      </c>
      <c r="Z97" s="57"/>
      <c r="AA97" s="58">
        <f ca="1">IF(AA96="","",AA96/1.293)</f>
        <v>1.1387706855590194</v>
      </c>
      <c r="AB97" s="33"/>
      <c r="AC97" s="56"/>
      <c r="AD97" s="57"/>
      <c r="AE97" s="58"/>
      <c r="AF97" s="33"/>
      <c r="AG97" s="33"/>
      <c r="AH97" s="33"/>
      <c r="AI97" s="33"/>
      <c r="AJ97" s="33"/>
      <c r="AK97" s="33"/>
      <c r="AL97" s="22"/>
      <c r="AM97" s="8"/>
      <c r="AN97" s="28"/>
      <c r="AO97" s="8"/>
      <c r="AP97" s="8"/>
      <c r="AQ97" s="22"/>
      <c r="AR97" s="22"/>
      <c r="AS97" s="22"/>
      <c r="AT97" s="22"/>
      <c r="AU97" s="22"/>
    </row>
    <row r="98" spans="2:48" ht="7.5" customHeight="1" x14ac:dyDescent="0.25">
      <c r="H98" s="117"/>
      <c r="I98" s="118"/>
      <c r="J98" s="118"/>
      <c r="K98" s="274"/>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row>
    <row r="99" spans="2:48" ht="16.5" hidden="1" customHeight="1" x14ac:dyDescent="0.25"/>
    <row r="100" spans="2:48" ht="16.5" hidden="1" customHeight="1" x14ac:dyDescent="0.25"/>
    <row r="101" spans="2:48" ht="16.5" hidden="1" customHeight="1" x14ac:dyDescent="0.25"/>
    <row r="102" spans="2:48" ht="16.5" hidden="1" customHeight="1" x14ac:dyDescent="0.25"/>
    <row r="103" spans="2:48" ht="16.5" hidden="1" customHeight="1" x14ac:dyDescent="0.25"/>
    <row r="104" spans="2:48" ht="16.5" hidden="1" customHeight="1" x14ac:dyDescent="0.25"/>
    <row r="105" spans="2:48" ht="16.5" hidden="1" customHeight="1" x14ac:dyDescent="0.25"/>
    <row r="106" spans="2:48" ht="16.5" hidden="1" customHeight="1" x14ac:dyDescent="0.25"/>
    <row r="107" spans="2:48" ht="16.5" hidden="1" customHeight="1" x14ac:dyDescent="0.25"/>
    <row r="108" spans="2:48" ht="16.5" hidden="1" customHeight="1" x14ac:dyDescent="0.25"/>
    <row r="109" spans="2:48" ht="16.5" hidden="1" customHeight="1" x14ac:dyDescent="0.25"/>
    <row r="110" spans="2:48" ht="16.5" hidden="1" customHeight="1" x14ac:dyDescent="0.25"/>
    <row r="111" spans="2:48" ht="16.5" hidden="1" customHeight="1" x14ac:dyDescent="0.25"/>
    <row r="112" spans="2:48"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ht="16.5" hidden="1" customHeight="1" x14ac:dyDescent="0.25"/>
    <row r="139" ht="16.5" hidden="1" customHeight="1" x14ac:dyDescent="0.25"/>
    <row r="140" ht="16.5" hidden="1" customHeight="1" x14ac:dyDescent="0.25"/>
    <row r="141" ht="16.5" hidden="1" customHeight="1" x14ac:dyDescent="0.25"/>
    <row r="142" ht="16.5" hidden="1" customHeight="1" x14ac:dyDescent="0.25"/>
    <row r="143" ht="16.5" hidden="1" customHeight="1" x14ac:dyDescent="0.25"/>
    <row r="144" ht="16.5" hidden="1" customHeight="1" x14ac:dyDescent="0.25"/>
    <row r="145" ht="16.5" hidden="1" customHeight="1" x14ac:dyDescent="0.25"/>
    <row r="146" ht="16.5" hidden="1" customHeight="1" x14ac:dyDescent="0.25"/>
    <row r="147" ht="16.5" hidden="1" customHeight="1" x14ac:dyDescent="0.25"/>
    <row r="148" ht="16.5" hidden="1" customHeight="1" x14ac:dyDescent="0.25"/>
    <row r="149" ht="16.5" hidden="1" customHeight="1" x14ac:dyDescent="0.25"/>
    <row r="150" ht="16.5" hidden="1" customHeight="1" x14ac:dyDescent="0.25"/>
    <row r="151" ht="16.5" hidden="1" customHeight="1" x14ac:dyDescent="0.25"/>
    <row r="152" ht="16.5" hidden="1" customHeight="1" x14ac:dyDescent="0.25"/>
    <row r="153" ht="16.5" hidden="1" customHeight="1" x14ac:dyDescent="0.25"/>
    <row r="154" ht="16.5" hidden="1" customHeight="1" x14ac:dyDescent="0.25"/>
    <row r="155" ht="16.5" hidden="1" customHeight="1" x14ac:dyDescent="0.25"/>
    <row r="156" ht="16.5" hidden="1" customHeight="1" x14ac:dyDescent="0.25"/>
    <row r="157" ht="16.5" hidden="1" customHeight="1" x14ac:dyDescent="0.25"/>
    <row r="158" ht="16.5" hidden="1" customHeight="1" x14ac:dyDescent="0.25"/>
    <row r="159" ht="16.5" hidden="1" customHeight="1" x14ac:dyDescent="0.25"/>
    <row r="160" ht="16.5" hidden="1" customHeight="1" x14ac:dyDescent="0.25"/>
    <row r="161" ht="16.5" hidden="1" customHeight="1" x14ac:dyDescent="0.25"/>
    <row r="162" ht="16.5" hidden="1" customHeight="1" x14ac:dyDescent="0.25"/>
    <row r="163" ht="16.5" hidden="1" customHeight="1" x14ac:dyDescent="0.25"/>
    <row r="164" ht="16.5" hidden="1" customHeight="1" x14ac:dyDescent="0.25"/>
    <row r="165" ht="16.5" hidden="1" customHeight="1" x14ac:dyDescent="0.25"/>
    <row r="166" ht="16.5" hidden="1" customHeight="1" x14ac:dyDescent="0.25"/>
    <row r="167" ht="16.5" hidden="1" customHeight="1" x14ac:dyDescent="0.25"/>
    <row r="168" ht="16.5" hidden="1" customHeight="1" x14ac:dyDescent="0.25"/>
    <row r="169" ht="16.5" hidden="1" customHeight="1" x14ac:dyDescent="0.25"/>
    <row r="170" ht="16.5" hidden="1" customHeight="1" x14ac:dyDescent="0.25"/>
    <row r="171" ht="16.5" hidden="1" customHeight="1" x14ac:dyDescent="0.25"/>
    <row r="172" ht="16.5" hidden="1" customHeight="1" x14ac:dyDescent="0.25"/>
    <row r="173" ht="16.5" hidden="1" customHeight="1" x14ac:dyDescent="0.25"/>
    <row r="174" ht="16.5" hidden="1" customHeight="1" x14ac:dyDescent="0.25"/>
    <row r="175" ht="16.5" hidden="1" customHeight="1" x14ac:dyDescent="0.25"/>
    <row r="176" ht="16.5" hidden="1" customHeight="1" x14ac:dyDescent="0.25"/>
    <row r="177" ht="16.5" hidden="1" customHeight="1" x14ac:dyDescent="0.25"/>
    <row r="178" ht="16.5" hidden="1" customHeight="1" x14ac:dyDescent="0.25"/>
    <row r="179" ht="16.5" hidden="1" customHeight="1" x14ac:dyDescent="0.25"/>
    <row r="180" ht="16.5" hidden="1" customHeight="1" x14ac:dyDescent="0.25"/>
    <row r="181" ht="16.5" hidden="1" customHeight="1" x14ac:dyDescent="0.25"/>
    <row r="182" ht="16.5" hidden="1" customHeight="1" x14ac:dyDescent="0.25"/>
    <row r="183" ht="16.5" hidden="1" customHeight="1" x14ac:dyDescent="0.25"/>
    <row r="184" ht="16.5" hidden="1" customHeight="1" x14ac:dyDescent="0.25"/>
    <row r="185" ht="16.5" hidden="1" customHeight="1" x14ac:dyDescent="0.25"/>
    <row r="186" ht="16.5" hidden="1" customHeight="1" x14ac:dyDescent="0.25"/>
    <row r="187" ht="16.5" hidden="1" customHeight="1" x14ac:dyDescent="0.25"/>
    <row r="188" ht="16.5" hidden="1" customHeight="1" x14ac:dyDescent="0.25"/>
    <row r="189" ht="16.5" hidden="1" customHeight="1" x14ac:dyDescent="0.25"/>
    <row r="190" ht="16.5" hidden="1" customHeight="1" x14ac:dyDescent="0.25"/>
    <row r="191" ht="16.5" hidden="1" customHeight="1" x14ac:dyDescent="0.25"/>
    <row r="192" ht="16.5" hidden="1" customHeight="1" x14ac:dyDescent="0.25"/>
    <row r="193" ht="16.5" hidden="1" customHeight="1" x14ac:dyDescent="0.25"/>
    <row r="194" ht="16.5" hidden="1" customHeight="1" x14ac:dyDescent="0.25"/>
    <row r="195" ht="16.5" hidden="1" customHeight="1" x14ac:dyDescent="0.25"/>
    <row r="196" ht="16.5" hidden="1" customHeight="1" x14ac:dyDescent="0.25"/>
    <row r="197" ht="16.5" hidden="1" customHeight="1" x14ac:dyDescent="0.25"/>
    <row r="198" ht="16.5" hidden="1" customHeight="1" x14ac:dyDescent="0.25"/>
    <row r="199" ht="16.5" hidden="1" customHeight="1" x14ac:dyDescent="0.25"/>
    <row r="200" ht="16.5" hidden="1" customHeight="1" x14ac:dyDescent="0.25"/>
    <row r="201" ht="16.5" hidden="1" customHeight="1" x14ac:dyDescent="0.25"/>
    <row r="202" ht="16.5" hidden="1" customHeight="1" x14ac:dyDescent="0.25"/>
    <row r="203" ht="16.5" hidden="1" customHeight="1" x14ac:dyDescent="0.25"/>
    <row r="204" ht="16.5" hidden="1" customHeight="1" x14ac:dyDescent="0.25"/>
    <row r="205" ht="16.5" hidden="1" customHeight="1" x14ac:dyDescent="0.25"/>
    <row r="206" ht="16.5" hidden="1" customHeight="1" x14ac:dyDescent="0.25"/>
    <row r="207" ht="16.5" hidden="1" customHeight="1" x14ac:dyDescent="0.25"/>
    <row r="208" ht="16.5" hidden="1" customHeight="1" x14ac:dyDescent="0.25"/>
    <row r="209" ht="16.5" hidden="1" customHeight="1" x14ac:dyDescent="0.25"/>
    <row r="210" ht="16.5" hidden="1" customHeight="1" x14ac:dyDescent="0.25"/>
    <row r="211" ht="16.5" hidden="1" customHeight="1" x14ac:dyDescent="0.25"/>
    <row r="212" ht="16.5" hidden="1" customHeight="1" x14ac:dyDescent="0.25"/>
    <row r="213" ht="16.5" hidden="1" customHeight="1" x14ac:dyDescent="0.25"/>
    <row r="214" ht="16.5" hidden="1" customHeight="1" x14ac:dyDescent="0.25"/>
    <row r="215" ht="16.5" hidden="1" customHeight="1" x14ac:dyDescent="0.25"/>
    <row r="216" ht="16.5" hidden="1" customHeight="1" x14ac:dyDescent="0.25"/>
    <row r="217" ht="16.5" hidden="1" customHeight="1" x14ac:dyDescent="0.25"/>
    <row r="218" ht="16.5" hidden="1" customHeight="1" x14ac:dyDescent="0.25"/>
    <row r="219" ht="16.5" hidden="1" customHeight="1" x14ac:dyDescent="0.25"/>
    <row r="220" ht="16.5" hidden="1" customHeight="1" x14ac:dyDescent="0.25"/>
    <row r="221" ht="16.5" hidden="1" customHeight="1" x14ac:dyDescent="0.25"/>
    <row r="222" ht="16.5" hidden="1" customHeight="1" x14ac:dyDescent="0.25"/>
    <row r="223" ht="16.5" hidden="1" customHeight="1" x14ac:dyDescent="0.25"/>
    <row r="224" ht="16.5" hidden="1" customHeight="1" x14ac:dyDescent="0.25"/>
    <row r="225" ht="16.5" hidden="1" customHeight="1" x14ac:dyDescent="0.25"/>
    <row r="226" ht="16.5" hidden="1" customHeight="1" x14ac:dyDescent="0.25"/>
    <row r="227" ht="16.5" hidden="1" customHeight="1" x14ac:dyDescent="0.25"/>
    <row r="228" ht="16.5" hidden="1" customHeight="1" x14ac:dyDescent="0.25"/>
    <row r="229" ht="16.5" hidden="1" customHeight="1" x14ac:dyDescent="0.25"/>
    <row r="230" ht="16.5" hidden="1" customHeight="1" x14ac:dyDescent="0.25"/>
    <row r="231" ht="16.5" hidden="1" customHeight="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sheetData>
  <sheetProtection algorithmName="SHA-512" hashValue="mXE1rLQV+5So2baAGCDqXObeBd7EBzWWM9pmkj6CnI6ZvtA9qpIkvuJrryRGfF6Yce54QgW+ozd4mVGBkc4llA==" saltValue="yyvrG4AssjksgPhsVPVRRQ==" spinCount="100000" sheet="1" objects="1" scenarios="1"/>
  <mergeCells count="29">
    <mergeCell ref="AJ6:AL6"/>
    <mergeCell ref="AG23:AI23"/>
    <mergeCell ref="M6:O6"/>
    <mergeCell ref="Q6:S6"/>
    <mergeCell ref="U6:W6"/>
    <mergeCell ref="Y6:AA6"/>
    <mergeCell ref="AG6:AI6"/>
    <mergeCell ref="Y23:AA23"/>
    <mergeCell ref="AC23:AE23"/>
    <mergeCell ref="AC6:AE6"/>
    <mergeCell ref="H2:J2"/>
    <mergeCell ref="H3:J3"/>
    <mergeCell ref="Y5:AA5"/>
    <mergeCell ref="P5:R5"/>
    <mergeCell ref="L25:L27"/>
    <mergeCell ref="M23:O23"/>
    <mergeCell ref="Q23:S23"/>
    <mergeCell ref="U23:W23"/>
    <mergeCell ref="M5:O5"/>
    <mergeCell ref="L8:L9"/>
    <mergeCell ref="H4:K5"/>
    <mergeCell ref="J6:K6"/>
    <mergeCell ref="H23:I23"/>
    <mergeCell ref="J23:K23"/>
    <mergeCell ref="M62:O62"/>
    <mergeCell ref="Q62:S62"/>
    <mergeCell ref="U62:W62"/>
    <mergeCell ref="Y62:AA62"/>
    <mergeCell ref="AC62:AE62"/>
  </mergeCells>
  <conditionalFormatting sqref="I30:I60">
    <cfRule type="expression" dxfId="6" priority="6" stopIfTrue="1">
      <formula>$H30=""</formula>
    </cfRule>
  </conditionalFormatting>
  <conditionalFormatting sqref="I25">
    <cfRule type="expression" dxfId="5" priority="4" stopIfTrue="1">
      <formula>$H25=""</formula>
    </cfRule>
  </conditionalFormatting>
  <conditionalFormatting sqref="I26:I29">
    <cfRule type="expression" dxfId="4" priority="3" stopIfTrue="1">
      <formula>$H26=""</formula>
    </cfRule>
  </conditionalFormatting>
  <pageMargins left="1.0236220472440944" right="0.23622047244094491" top="0.74803149606299213" bottom="0.74803149606299213" header="0.31496062992125984" footer="0.31496062992125984"/>
  <pageSetup paperSize="9" scale="6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7</xdr:col>
                    <xdr:colOff>1038225</xdr:colOff>
                    <xdr:row>6</xdr:row>
                    <xdr:rowOff>9525</xdr:rowOff>
                  </from>
                  <to>
                    <xdr:col>7</xdr:col>
                    <xdr:colOff>2476500</xdr:colOff>
                    <xdr:row>6</xdr:row>
                    <xdr:rowOff>209550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7</xdr:col>
                    <xdr:colOff>1038225</xdr:colOff>
                    <xdr:row>23</xdr:row>
                    <xdr:rowOff>9525</xdr:rowOff>
                  </from>
                  <to>
                    <xdr:col>7</xdr:col>
                    <xdr:colOff>2476500</xdr:colOff>
                    <xdr:row>23</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4AA421BC-FEEF-4F2B-8A32-DDDBB73DCC93}">
            <xm:f>$K$7&lt;&gt;Examples!$F$2</xm:f>
            <x14:dxf>
              <font>
                <color theme="0"/>
              </font>
            </x14:dxf>
          </x14:cfRule>
          <xm:sqref>K7</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14:formula1>
            <xm:f>Examples!$F$2:$F$12</xm:f>
          </x14:formula1>
          <xm:sqref>K7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A1:AV250"/>
  <sheetViews>
    <sheetView workbookViewId="0">
      <pane xSplit="7" ySplit="5" topLeftCell="H6" activePane="bottomRight" state="frozen"/>
      <selection pane="topRight" activeCell="H1" sqref="H1"/>
      <selection pane="bottomLeft" activeCell="A6" sqref="A6"/>
      <selection pane="bottomRight" activeCell="H31" sqref="H31"/>
    </sheetView>
  </sheetViews>
  <sheetFormatPr defaultColWidth="0" defaultRowHeight="0" customHeight="1" zeroHeight="1" x14ac:dyDescent="0.25"/>
  <cols>
    <col min="1" max="1" width="1.42578125" style="117" customWidth="1"/>
    <col min="2" max="7" width="15.7109375" style="117" hidden="1" customWidth="1"/>
    <col min="8" max="8" width="57.85546875" style="11" customWidth="1"/>
    <col min="9" max="9" width="11.42578125" style="29" customWidth="1"/>
    <col min="10" max="10" width="9.28515625" style="29" customWidth="1"/>
    <col min="11" max="11" width="24.140625" style="29" customWidth="1"/>
    <col min="12" max="12" width="51.7109375" style="15" customWidth="1"/>
    <col min="13" max="13" width="33.5703125" style="11" hidden="1" customWidth="1"/>
    <col min="14" max="14" width="9.7109375" style="29" hidden="1" customWidth="1"/>
    <col min="15" max="15" width="12.140625" style="11" hidden="1" customWidth="1"/>
    <col min="16" max="16" width="2.28515625" style="15" hidden="1" customWidth="1"/>
    <col min="17" max="17" width="33.5703125" style="15" hidden="1" customWidth="1"/>
    <col min="18" max="18" width="9.7109375" style="24" hidden="1" customWidth="1"/>
    <col min="19" max="19" width="12.140625" style="15" hidden="1" customWidth="1"/>
    <col min="20" max="20" width="2.85546875" style="11" hidden="1" customWidth="1"/>
    <col min="21" max="21" width="33.5703125" style="11" hidden="1" customWidth="1"/>
    <col min="22" max="22" width="9.7109375" style="11" hidden="1" customWidth="1"/>
    <col min="23" max="23" width="12.140625" style="11" hidden="1" customWidth="1"/>
    <col min="24" max="24" width="2.28515625" style="15" hidden="1" customWidth="1"/>
    <col min="25" max="25" width="33.5703125" style="11" hidden="1" customWidth="1"/>
    <col min="26" max="26" width="9.7109375" style="29" hidden="1" customWidth="1"/>
    <col min="27" max="27" width="12.140625" style="11" hidden="1" customWidth="1"/>
    <col min="28" max="28" width="2.85546875" style="11" hidden="1" customWidth="1"/>
    <col min="29" max="29" width="33.5703125" style="11" hidden="1" customWidth="1"/>
    <col min="30" max="30" width="9.7109375" style="11" hidden="1" customWidth="1"/>
    <col min="31" max="31" width="12.140625" style="11" hidden="1" customWidth="1"/>
    <col min="32" max="32" width="2.85546875" style="11" hidden="1" customWidth="1"/>
    <col min="33" max="33" width="37.28515625" style="11" hidden="1" customWidth="1"/>
    <col min="34" max="36" width="12.140625" style="11" hidden="1" customWidth="1"/>
    <col min="37" max="37" width="15.42578125" style="11" hidden="1" customWidth="1"/>
    <col min="38" max="47" width="12.140625" style="11" hidden="1" customWidth="1"/>
    <col min="48" max="48" width="1.42578125" style="117" customWidth="1"/>
    <col min="49" max="16384" width="9.140625" style="11" hidden="1"/>
  </cols>
  <sheetData>
    <row r="1" spans="1:47" ht="7.5" customHeight="1" thickBot="1" x14ac:dyDescent="0.3">
      <c r="H1" s="117"/>
      <c r="I1" s="118"/>
      <c r="J1" s="118"/>
      <c r="K1" s="118"/>
      <c r="L1" s="117"/>
      <c r="M1" s="117"/>
      <c r="N1" s="118"/>
      <c r="O1" s="117"/>
      <c r="P1" s="119"/>
      <c r="Q1" s="119"/>
      <c r="R1" s="120"/>
      <c r="S1" s="119"/>
      <c r="T1" s="117"/>
      <c r="U1" s="117"/>
      <c r="V1" s="117"/>
      <c r="W1" s="117"/>
      <c r="X1" s="117"/>
      <c r="Y1" s="117"/>
      <c r="Z1" s="118"/>
      <c r="AA1" s="117"/>
      <c r="AB1" s="117"/>
      <c r="AC1" s="117"/>
      <c r="AD1" s="117"/>
      <c r="AE1" s="117"/>
      <c r="AF1" s="117"/>
      <c r="AG1" s="117"/>
      <c r="AH1" s="117"/>
      <c r="AI1" s="117"/>
      <c r="AJ1" s="117"/>
      <c r="AK1" s="117"/>
      <c r="AL1" s="117"/>
      <c r="AM1" s="117"/>
      <c r="AN1" s="117"/>
      <c r="AO1" s="117"/>
      <c r="AP1" s="117"/>
      <c r="AQ1" s="117"/>
      <c r="AR1" s="117"/>
      <c r="AS1" s="117"/>
      <c r="AT1" s="117"/>
      <c r="AU1" s="117"/>
    </row>
    <row r="2" spans="1:47" ht="87" customHeight="1" thickBot="1" x14ac:dyDescent="0.3">
      <c r="A2" s="116"/>
      <c r="B2" s="129" t="str">
        <f>IF(Fuel1!B2="","",Fuel1!B2)</f>
        <v>Nl kolom H</v>
      </c>
      <c r="C2" s="129" t="str">
        <f>IF(Fuel1!C2="","",Fuel1!C2)</f>
        <v>En kolom H</v>
      </c>
      <c r="D2" s="129" t="str">
        <f>IF(Fuel1!D2="","",Fuel1!D2)</f>
        <v>Nl kolom I</v>
      </c>
      <c r="E2" s="129" t="str">
        <f>IF(Fuel1!E2="","",Fuel1!E2)</f>
        <v>En kolom I</v>
      </c>
      <c r="F2" s="129" t="str">
        <f>IF(Fuel1!F2="","",Fuel1!F2)</f>
        <v>Nl kolom K</v>
      </c>
      <c r="G2" s="129" t="str">
        <f>IF(Fuel1!G2="","",Fuel1!G2)</f>
        <v>En kolom L</v>
      </c>
      <c r="H2" s="326"/>
      <c r="I2" s="327"/>
      <c r="J2" s="327"/>
      <c r="K2" s="266"/>
      <c r="L2" s="182" t="str">
        <f>IF(INDEX(F3:G3,'Combustion Emissions'!$J$54)="","",INDEX(F3:G3,'Combustion Emissions'!$J$54))</f>
        <v>Aanwijzingen voor gebruik van dit werkblad</v>
      </c>
      <c r="M2" s="4"/>
      <c r="N2" s="4"/>
      <c r="O2" s="4"/>
      <c r="P2" s="4"/>
      <c r="Q2" s="4"/>
      <c r="R2" s="4"/>
      <c r="S2" s="4"/>
      <c r="T2" s="4"/>
      <c r="U2" s="4"/>
      <c r="V2" s="4"/>
      <c r="W2" s="4"/>
      <c r="X2" s="16"/>
      <c r="Y2" s="4"/>
      <c r="Z2" s="4"/>
      <c r="AA2" s="4"/>
      <c r="AB2" s="4"/>
      <c r="AC2" s="4"/>
      <c r="AD2" s="4"/>
      <c r="AE2" s="4"/>
      <c r="AF2" s="4"/>
      <c r="AG2" s="4"/>
      <c r="AH2" s="1"/>
      <c r="AI2" s="1"/>
      <c r="AJ2" s="1"/>
      <c r="AK2" s="1"/>
      <c r="AL2" s="1"/>
      <c r="AM2" s="1"/>
      <c r="AN2" s="1"/>
      <c r="AO2" s="1"/>
      <c r="AP2" s="1"/>
      <c r="AQ2" s="1"/>
      <c r="AR2" s="1"/>
      <c r="AS2" s="1"/>
      <c r="AT2" s="1"/>
      <c r="AU2" s="1"/>
    </row>
    <row r="3" spans="1:47" ht="15" customHeight="1" x14ac:dyDescent="0.25">
      <c r="A3" s="116"/>
      <c r="B3" s="137" t="s">
        <v>296</v>
      </c>
      <c r="C3" s="148" t="s">
        <v>295</v>
      </c>
      <c r="D3" s="137" t="str">
        <f>IF(Fuel1!D3="","",Fuel1!D3)</f>
        <v/>
      </c>
      <c r="E3" s="148" t="str">
        <f>IF(Fuel1!E3="","",Fuel1!E3)</f>
        <v/>
      </c>
      <c r="F3" s="148" t="str">
        <f>IF(Fuel1!F3="","",Fuel1!F3)</f>
        <v>Aanwijzingen voor gebruik van dit werkblad</v>
      </c>
      <c r="G3" s="148" t="str">
        <f>IF(Fuel1!G3="","",Fuel1!G3)</f>
        <v>Instructions for the use of this worksheet</v>
      </c>
      <c r="H3" s="328" t="str">
        <f>IF(AND(OR('Combustion Emissions'!H63=8,'Combustion Emissions'!H73=8),'Combustion Emissions'!I7&lt;&gt;""),IF($J$54=2,"Short extract of entered and calculated data","Korte samenvatting ingevoerde en berekende gegevens"),IF($J$54=2,"Short description","Korte beschrijving"))</f>
        <v>Korte beschrijving</v>
      </c>
      <c r="I3" s="329"/>
      <c r="J3" s="329"/>
      <c r="K3" s="264"/>
      <c r="L3" s="187"/>
      <c r="M3" s="4"/>
      <c r="N3" s="4"/>
      <c r="O3" s="4"/>
      <c r="P3" s="4"/>
      <c r="Q3" s="4"/>
      <c r="R3" s="4"/>
      <c r="S3" s="4"/>
      <c r="T3" s="4"/>
      <c r="U3" s="4"/>
      <c r="V3" s="4"/>
      <c r="W3" s="4"/>
      <c r="X3" s="16"/>
      <c r="Y3" s="4"/>
      <c r="Z3" s="4"/>
      <c r="AA3" s="4"/>
      <c r="AB3" s="4"/>
      <c r="AC3" s="4"/>
      <c r="AD3" s="4"/>
      <c r="AE3" s="4"/>
      <c r="AF3" s="4"/>
      <c r="AG3" s="4"/>
      <c r="AH3" s="1"/>
      <c r="AI3" s="1"/>
      <c r="AJ3" s="1"/>
      <c r="AK3" s="1"/>
      <c r="AL3" s="1"/>
      <c r="AM3" s="1"/>
      <c r="AN3" s="1"/>
      <c r="AO3" s="1"/>
      <c r="AP3" s="1"/>
      <c r="AQ3" s="1"/>
      <c r="AR3" s="1"/>
      <c r="AS3" s="1"/>
      <c r="AT3" s="1"/>
      <c r="AU3" s="1"/>
    </row>
    <row r="4" spans="1:47" ht="39.75" customHeight="1" x14ac:dyDescent="0.25">
      <c r="A4" s="116"/>
      <c r="B4" s="137" t="str">
        <f ca="1">IF(Fuel1!B4="","",Fuel1!B4)</f>
        <v>Deze versie van CalComEmis.xlsx (4-7) is te gebruiken tot 01-01-2025.
Ondanks de zorgvuldigheid waarmee dit spreadsheet is opgesteld, kunnen fouten niet worden uitgesloten. 
Suggesties voor aanpassingen naar wim.burgers@rws.nl.</v>
      </c>
      <c r="C4" s="148" t="str">
        <f ca="1">IF(Fuel1!C4="","",Fuel1!C4)</f>
        <v>This version of CalComEmis.xlsx (4-7) can be used until 01-01-2025.
Although this spreadsheet has been carefully developed, mistakes can not be excluded.
Proposals for changes to wim.burgers@rws.nl.</v>
      </c>
      <c r="D4" s="137" t="str">
        <f>IF(Fuel1!D4="","",Fuel1!D4)</f>
        <v/>
      </c>
      <c r="E4" s="148" t="str">
        <f>IF(Fuel1!E4="","",Fuel1!E4)</f>
        <v/>
      </c>
      <c r="F4" s="148" t="str">
        <f>IF(Fuel1!F4="","",Fuel1!F4)</f>
        <v xml:space="preserve">Met de pulldownmenu's in kolom H en de gele cellen in kolom I voert u de gegevens van de brandstof in. De berekende verbrandingsparameters staan in I10..I22. </v>
      </c>
      <c r="G4" s="148" t="str">
        <f>IF(Fuel1!G4="","",Fuel1!G4)</f>
        <v>The data for the calculation of the combustion parameters are entered via the pull down menu in column H and in the yellow cells in column I. The calculated combustion parameters are given in I10..I22.</v>
      </c>
      <c r="H4" s="335" t="str">
        <f>IF(AND(OR('Combustion Emissions'!H63=8,'Combustion Emissions'!H73=8),'Combustion Emissions'!I7&lt;&gt;""),'Combustion Emissions'!H4:J4,CONCATENATE(INDEX(B3:C3,'Combustion Emissions'!$J$54)))</f>
        <v>Met het werkblad &lt;Fuel2&gt; kunnen de verbrandingsparameters van een eigen brandstof 2 worden berekenend die noodzakelijk zijn voor de emissieberekeningen in het werkblad &lt;Combustion Emissions&gt;.</v>
      </c>
      <c r="I4" s="336"/>
      <c r="J4" s="336"/>
      <c r="K4" s="337"/>
      <c r="L4" s="179" t="str">
        <f>IF(INDEX(F4:G4,'Combustion Emissions'!$J$54)="","",INDEX(F4:G4,'Combustion Emissions'!$J$54))</f>
        <v xml:space="preserve">Met de pulldownmenu's in kolom H en de gele cellen in kolom I voert u de gegevens van de brandstof in. De berekende verbrandingsparameters staan in I10..I22. </v>
      </c>
      <c r="M4" s="4"/>
      <c r="N4" s="4"/>
      <c r="O4" s="4"/>
      <c r="P4" s="4"/>
      <c r="Q4" s="4"/>
      <c r="R4" s="4"/>
      <c r="S4" s="4"/>
      <c r="T4" s="4"/>
      <c r="U4" s="4"/>
      <c r="V4" s="4"/>
      <c r="W4" s="4"/>
      <c r="X4" s="16"/>
      <c r="Y4" s="4"/>
      <c r="Z4" s="4"/>
      <c r="AA4" s="4"/>
      <c r="AB4" s="4"/>
      <c r="AC4" s="4"/>
      <c r="AD4" s="4"/>
      <c r="AE4" s="4"/>
      <c r="AF4" s="4"/>
      <c r="AG4" s="4"/>
      <c r="AH4" s="1"/>
      <c r="AI4" s="1"/>
      <c r="AJ4" s="1"/>
      <c r="AK4" s="1"/>
      <c r="AL4" s="1"/>
      <c r="AM4" s="1"/>
      <c r="AN4" s="1"/>
      <c r="AO4" s="1"/>
      <c r="AP4" s="1"/>
      <c r="AQ4" s="1"/>
      <c r="AR4" s="1"/>
      <c r="AS4" s="1"/>
      <c r="AT4" s="1"/>
      <c r="AU4" s="1"/>
    </row>
    <row r="5" spans="1:47" ht="34.5" customHeight="1" thickBot="1" x14ac:dyDescent="0.3">
      <c r="A5" s="116"/>
      <c r="B5" s="138" t="str">
        <f>IF(Fuel1!B5="","",Fuel1!B5)</f>
        <v/>
      </c>
      <c r="C5" s="149" t="str">
        <f>IF(Fuel1!C5="","",Fuel1!C5)</f>
        <v/>
      </c>
      <c r="D5" s="137" t="str">
        <f>IF(Fuel1!D5="","",Fuel1!D5)</f>
        <v/>
      </c>
      <c r="E5" s="148" t="str">
        <f>IF(Fuel1!E5="","",Fuel1!E5)</f>
        <v/>
      </c>
      <c r="F5" s="148" t="str">
        <f>IF(Examples!G2="","","● Selecteer een voorbeeld samenstelling in cel K7 om deze in te zien. Kopieer de gegevens in kolom I om er berekeningen mee uit te voeren.")</f>
        <v>● Selecteer een voorbeeld samenstelling in cel K7 om deze in te zien. Kopieer de gegevens in kolom I om er berekeningen mee uit te voeren.</v>
      </c>
      <c r="G5" s="148" t="str">
        <f>IF(Examples!G2="","","● Select a fuel in cel K7 in order to see an example composition. Copy the data in column I to perform calculations with the example composition.")</f>
        <v>● Select a fuel in cel K7 in order to see an example composition. Copy the data in column I to perform calculations with the example composition.</v>
      </c>
      <c r="H5" s="338"/>
      <c r="I5" s="339"/>
      <c r="J5" s="339"/>
      <c r="K5" s="340"/>
      <c r="L5" s="295" t="str">
        <f>IF(INDEX(F5:G5,'Combustion Emissions'!$J$54)="","",INDEX(F5:G5,'Combustion Emissions'!$J$54))</f>
        <v>● Selecteer een voorbeeld samenstelling in cel K7 om deze in te zien. Kopieer de gegevens in kolom I om er berekeningen mee uit te voeren.</v>
      </c>
      <c r="M5" s="344"/>
      <c r="N5" s="344"/>
      <c r="O5" s="344"/>
      <c r="P5" s="331"/>
      <c r="Q5" s="331"/>
      <c r="R5" s="331"/>
      <c r="S5" s="1"/>
      <c r="T5" s="1"/>
      <c r="U5" s="1"/>
      <c r="V5" s="1"/>
      <c r="W5" s="1"/>
      <c r="X5" s="8"/>
      <c r="Y5" s="344"/>
      <c r="Z5" s="344"/>
      <c r="AA5" s="344"/>
      <c r="AB5" s="1"/>
      <c r="AC5" s="1"/>
      <c r="AD5" s="1"/>
      <c r="AE5" s="1"/>
      <c r="AF5" s="1"/>
      <c r="AG5" s="1"/>
      <c r="AH5" s="1"/>
      <c r="AI5" s="10"/>
      <c r="AJ5" s="10"/>
      <c r="AK5" s="10"/>
      <c r="AL5" s="8"/>
      <c r="AM5" s="8"/>
      <c r="AN5" s="8"/>
      <c r="AO5" s="8"/>
      <c r="AP5" s="8"/>
      <c r="AQ5" s="8"/>
      <c r="AR5" s="8"/>
      <c r="AS5" s="8"/>
      <c r="AT5" s="8"/>
      <c r="AU5" s="8"/>
    </row>
    <row r="6" spans="1:47" ht="15" customHeight="1" thickBot="1" x14ac:dyDescent="0.3">
      <c r="A6" s="122"/>
      <c r="B6" s="137" t="str">
        <f>IF(Fuel1!B6="","",Fuel1!B6)</f>
        <v>Verbrandingsparameters</v>
      </c>
      <c r="C6" s="148" t="str">
        <f>IF(Fuel1!C6="","",Fuel1!C6)</f>
        <v>Combustion parameters</v>
      </c>
      <c r="D6" s="137" t="str">
        <f>IF(Fuel1!D6="","",Fuel1!D6)</f>
        <v/>
      </c>
      <c r="E6" s="148" t="str">
        <f>IF(Fuel1!E6="","",Fuel1!E6)</f>
        <v/>
      </c>
      <c r="F6" s="148" t="str">
        <f>IF(Fuel1!F6="","",Fuel1!F6)</f>
        <v/>
      </c>
      <c r="G6" s="148" t="str">
        <f>IF(Fuel1!G6="","",Fuel1!G6)</f>
        <v/>
      </c>
      <c r="H6" s="178" t="str">
        <f>INDEX(B6:C6,'Combustion Emissions'!$J$54)</f>
        <v>Verbrandingsparameters</v>
      </c>
      <c r="I6" s="186"/>
      <c r="J6" s="341" t="str">
        <f>IF(Examples!E18="","",IF('Combustion Emissions'!$J$54=1,CONCATENATE("Voorbeeld: ",K7),CONCATENATE("Example: ",K7)))</f>
        <v/>
      </c>
      <c r="K6" s="342"/>
      <c r="L6" s="187"/>
      <c r="M6" s="307" t="s">
        <v>214</v>
      </c>
      <c r="N6" s="307"/>
      <c r="O6" s="307"/>
      <c r="P6" s="7"/>
      <c r="Q6" s="307" t="s">
        <v>215</v>
      </c>
      <c r="R6" s="307"/>
      <c r="S6" s="307"/>
      <c r="T6" s="7"/>
      <c r="U6" s="307" t="s">
        <v>216</v>
      </c>
      <c r="V6" s="307"/>
      <c r="W6" s="307"/>
      <c r="X6" s="8"/>
      <c r="Y6" s="307" t="s">
        <v>217</v>
      </c>
      <c r="Z6" s="307"/>
      <c r="AA6" s="307"/>
      <c r="AB6" s="7"/>
      <c r="AC6" s="307" t="s">
        <v>218</v>
      </c>
      <c r="AD6" s="307"/>
      <c r="AE6" s="307"/>
      <c r="AF6" s="10"/>
      <c r="AG6" s="343" t="s">
        <v>221</v>
      </c>
      <c r="AH6" s="343"/>
      <c r="AI6" s="343"/>
      <c r="AJ6" s="343"/>
      <c r="AK6" s="343"/>
      <c r="AL6" s="343"/>
      <c r="AM6" s="154"/>
      <c r="AN6" s="8"/>
      <c r="AO6" s="8"/>
      <c r="AP6" s="8"/>
      <c r="AQ6" s="8"/>
      <c r="AR6" s="8"/>
      <c r="AS6" s="8"/>
      <c r="AT6" s="8"/>
      <c r="AU6" s="8"/>
    </row>
    <row r="7" spans="1:47" ht="18" customHeight="1" thickBot="1" x14ac:dyDescent="0.3">
      <c r="B7" s="137" t="str">
        <f>IF(Fuel1!B7="","",Fuel1!B7)</f>
        <v>Brandstoftype</v>
      </c>
      <c r="C7" s="148" t="str">
        <f>IF(Fuel1!C7="","",Fuel1!C7)</f>
        <v>Type of fuel</v>
      </c>
      <c r="D7" s="137" t="str">
        <f>IF(Fuel1!D7="","",Fuel1!D7)</f>
        <v>Omschrijving</v>
      </c>
      <c r="E7" s="148" t="str">
        <f>IF(Fuel1!E7="","",Fuel1!E7)</f>
        <v/>
      </c>
      <c r="F7" s="148" t="str">
        <f>IF(Fuel1!F7="","",Fuel1!F7)</f>
        <v>● Selecteer het type brandstof en voer de omschrijving in.</v>
      </c>
      <c r="G7" s="148" t="str">
        <f>IF(Fuel1!G7="","",Fuel1!G7)</f>
        <v>● Select the type of fuel and enter the description.</v>
      </c>
      <c r="H7" s="169" t="str">
        <f>INDEX(B7:C7,'Combustion Emissions'!$J$54)</f>
        <v>Brandstoftype</v>
      </c>
      <c r="I7" s="123"/>
      <c r="J7" s="267"/>
      <c r="K7" s="290" t="s">
        <v>316</v>
      </c>
      <c r="L7" s="188" t="str">
        <f>IF(INDEX(F7:G7,'Combustion Emissions'!$J$54)="","",INDEX(F7:G7,'Combustion Emissions'!$J$54))</f>
        <v>● Selecteer het type brandstof en voer de omschrijving in.</v>
      </c>
      <c r="M7" s="158"/>
      <c r="N7" s="38" t="s">
        <v>152</v>
      </c>
      <c r="O7" s="86" t="str">
        <f>IF($AI$7&lt;&gt;1,"",IF($I7="","",$I7))</f>
        <v/>
      </c>
      <c r="P7" s="8"/>
      <c r="Q7" s="37"/>
      <c r="R7" s="38" t="s">
        <v>153</v>
      </c>
      <c r="S7" s="86" t="str">
        <f>IF($AI$7&lt;&gt;2,"",IF($I7="","",$I7))</f>
        <v/>
      </c>
      <c r="T7" s="8"/>
      <c r="U7" s="37"/>
      <c r="V7" s="38" t="s">
        <v>154</v>
      </c>
      <c r="W7" s="86" t="str">
        <f>IF($AI$7&lt;&gt;3,"",IF($I7="","",$I7))</f>
        <v/>
      </c>
      <c r="X7" s="8"/>
      <c r="Y7" s="37"/>
      <c r="Z7" s="38" t="s">
        <v>152</v>
      </c>
      <c r="AA7" s="86" t="str">
        <f>IF('Combustion Emissions'!$J$54=1,"Vergistingsgas","Fermentation gas")</f>
        <v>Vergistingsgas</v>
      </c>
      <c r="AB7" s="8"/>
      <c r="AC7" s="37"/>
      <c r="AD7" s="38" t="s">
        <v>154</v>
      </c>
      <c r="AE7" s="86" t="str">
        <f>IF('Combustion Emissions'!$J$54=1,"Hout","Wood")</f>
        <v>Hout</v>
      </c>
      <c r="AF7" s="110"/>
      <c r="AG7" s="8" t="s">
        <v>141</v>
      </c>
      <c r="AH7" s="10">
        <f>IF(AK7=1,1,IF(AK7=2,1+AM7,3+AM7))</f>
        <v>1</v>
      </c>
      <c r="AI7" s="8">
        <f>INDEX(AI8:AI12,AH7)</f>
        <v>1</v>
      </c>
      <c r="AJ7" s="8" t="str">
        <f>IF('Combustion Emissions'!$J$54=1,"Brandstof","Fuel")</f>
        <v>Brandstof</v>
      </c>
      <c r="AK7" s="84">
        <v>1</v>
      </c>
      <c r="AL7" s="8" t="s">
        <v>156</v>
      </c>
      <c r="AM7" s="84">
        <v>2</v>
      </c>
      <c r="AN7" s="8"/>
      <c r="AO7" s="8"/>
      <c r="AP7" s="8"/>
      <c r="AQ7" s="8"/>
      <c r="AR7" s="8"/>
      <c r="AS7" s="8"/>
      <c r="AT7" s="8"/>
      <c r="AU7" s="8"/>
    </row>
    <row r="8" spans="1:47" ht="18" customHeight="1" x14ac:dyDescent="0.25">
      <c r="B8" s="137" t="str">
        <f>IF(Fuel1!B8="","",Fuel1!B8)</f>
        <v>Onderste verbrandingswaarde (stookwaarde)</v>
      </c>
      <c r="C8" s="148" t="str">
        <f>IF(Fuel1!C8="","",Fuel1!C8)</f>
        <v>Lower heating value (net calorific value)</v>
      </c>
      <c r="D8" s="137" t="str">
        <f>IF($AH$7=1,IF(N8="","",N8),IF($AI$7=2,IF(R8="","",R8),IF(V8="","",V8)))</f>
        <v>kJ/Nm³</v>
      </c>
      <c r="E8" s="148" t="str">
        <f t="shared" ref="E8:E21" si="0">D8</f>
        <v>kJ/Nm³</v>
      </c>
      <c r="F8" s="148" t="str">
        <f>IF(Fuel1!F8="","",Fuel1!F8)</f>
        <v>● Voor vloeibare en vaste brandstoffen moet u de stookwaarde in kJ/kg invoeren. Voor gasvormige brandstoffen is dat niet verplicht, omdat de stookwaarde wordt berekend op basis van de samenstelling.</v>
      </c>
      <c r="G8" s="148" t="str">
        <f>IF(Fuel1!G8="","",Fuel1!G8)</f>
        <v>● For liquid and solid fuels it is required to enter the lower calorific value. For gasseous fuels this is not necessary, because the lower heating value is calculated from the composition of the fuel.</v>
      </c>
      <c r="H8" s="169" t="str">
        <f>INDEX(B8:C8,'Combustion Emissions'!$J$54)</f>
        <v>Onderste verbrandingswaarde (stookwaarde)</v>
      </c>
      <c r="I8" s="103"/>
      <c r="J8" s="268" t="str">
        <f>INDEX(D8:E8,'Combustion Emissions'!$J$54)</f>
        <v>kJ/Nm³</v>
      </c>
      <c r="K8" s="291" t="str">
        <f>IF(Examples!E21="","",Examples!E21)</f>
        <v/>
      </c>
      <c r="L8" s="333" t="str">
        <f>IF(INDEX(F8:G8,'Combustion Emissions'!$J$54)="","",INDEX(F8:G8,'Combustion Emissions'!$J$54))</f>
        <v>● Voor vloeibare en vaste brandstoffen moet u de stookwaarde in kJ/kg invoeren. Voor gasvormige brandstoffen is dat niet verplicht, omdat de stookwaarde wordt berekend op basis van de samenstelling.</v>
      </c>
      <c r="M8" s="16" t="s">
        <v>174</v>
      </c>
      <c r="N8" s="13" t="s">
        <v>284</v>
      </c>
      <c r="O8" s="86" t="str">
        <f>IF($AI$7&lt;&gt;1,"",IF($I8="","",$I8))</f>
        <v/>
      </c>
      <c r="P8" s="10"/>
      <c r="Q8" s="39" t="s">
        <v>174</v>
      </c>
      <c r="R8" s="14" t="s">
        <v>53</v>
      </c>
      <c r="S8" s="86" t="str">
        <f>IF($AI$7&lt;&gt;2,"",IF($I8="","",$I8))</f>
        <v/>
      </c>
      <c r="T8" s="10"/>
      <c r="U8" s="39" t="s">
        <v>174</v>
      </c>
      <c r="V8" s="14" t="s">
        <v>53</v>
      </c>
      <c r="W8" s="94" t="str">
        <f>IF($AI$7&lt;&gt;3,"",IF($I8="","",$I8))</f>
        <v/>
      </c>
      <c r="X8" s="10"/>
      <c r="Y8" s="39" t="s">
        <v>174</v>
      </c>
      <c r="Z8" s="13" t="s">
        <v>284</v>
      </c>
      <c r="AA8" s="86"/>
      <c r="AB8" s="10"/>
      <c r="AC8" s="39" t="s">
        <v>174</v>
      </c>
      <c r="AD8" s="14" t="s">
        <v>53</v>
      </c>
      <c r="AE8" s="94">
        <f ca="1">IF('Combustion Emissions'!$I$56=1,(18500*(1-AE35)-AE35*2300),"")</f>
        <v>10180</v>
      </c>
      <c r="AF8" s="111"/>
      <c r="AG8" s="8" t="s">
        <v>142</v>
      </c>
      <c r="AH8" s="8"/>
      <c r="AI8" s="8">
        <v>1</v>
      </c>
      <c r="AJ8" s="8" t="str">
        <f>IF('Combustion Emissions'!$J$54=1,"gasvormige brandstof","gaseous fuel")</f>
        <v>gasvormige brandstof</v>
      </c>
      <c r="AK8" s="8"/>
      <c r="AL8" s="8" t="str">
        <f>IF(AK7=1,"mol%","mol/kg")</f>
        <v>mol%</v>
      </c>
      <c r="AM8" s="8"/>
      <c r="AN8" s="8"/>
      <c r="AO8" s="8"/>
      <c r="AP8" s="8"/>
      <c r="AQ8" s="8"/>
      <c r="AR8" s="8"/>
      <c r="AS8" s="8"/>
      <c r="AT8" s="8"/>
      <c r="AU8" s="8"/>
    </row>
    <row r="9" spans="1:47" ht="18" customHeight="1" x14ac:dyDescent="0.25">
      <c r="B9" s="137" t="str">
        <f>IF(Fuel1!B9="","",Fuel1!B9)</f>
        <v>Berekeningsmethode</v>
      </c>
      <c r="C9" s="148" t="str">
        <f>IF(Fuel1!C9="","",Fuel1!C9)</f>
        <v>Calculation method</v>
      </c>
      <c r="D9" s="137" t="str">
        <f ca="1">IF($AH$7=1,IF(O9="","",O9),IF($AI$7=2,IF(S9="","",S9),IF(W9="","",W9)))</f>
        <v/>
      </c>
      <c r="E9" s="148" t="str">
        <f t="shared" ca="1" si="0"/>
        <v/>
      </c>
      <c r="F9" s="148" t="str">
        <f>IF(Fuel1!F9="","",Fuel1!F9)</f>
        <v/>
      </c>
      <c r="G9" s="148" t="str">
        <f>IF(Fuel1!G9="","",Fuel1!G9)</f>
        <v/>
      </c>
      <c r="H9" s="170" t="str">
        <f>INDEX(B9:C9,'Combustion Emissions'!$J$54)</f>
        <v>Berekeningsmethode</v>
      </c>
      <c r="I9" s="130" t="str">
        <f ca="1">INDEX(D9:E9,'Combustion Emissions'!$J$54)</f>
        <v/>
      </c>
      <c r="J9" s="270" t="str">
        <f>IF($AH$7=1,IF(N9="","",N9),IF($AI$7=2,IF(R9="","",R9),IF(V9="","",V9)))</f>
        <v/>
      </c>
      <c r="K9" s="284"/>
      <c r="L9" s="334"/>
      <c r="M9" s="159" t="s">
        <v>58</v>
      </c>
      <c r="N9" s="23"/>
      <c r="O9" s="81" t="str">
        <f ca="1">IF('Combustion Emissions'!$I$56=1,IF(O90="",IF(O10="","","DIN1942"),"samenstelling"),"")</f>
        <v/>
      </c>
      <c r="P9" s="10"/>
      <c r="Q9" s="46" t="s">
        <v>58</v>
      </c>
      <c r="R9" s="83"/>
      <c r="S9" s="81" t="str">
        <f ca="1">IF('Combustion Emissions'!$I$56=1,IF(OR(S80=0,S80=""),IF(S8="","","DIN1942"),"samenstelling"),"")</f>
        <v/>
      </c>
      <c r="T9" s="10"/>
      <c r="U9" s="46" t="s">
        <v>58</v>
      </c>
      <c r="V9" s="83"/>
      <c r="W9" s="81" t="str">
        <f ca="1">IF('Combustion Emissions'!$I$56=1,IF(OR(W80=0,W80=""),IF(W8="","","DIN1942"),"samenstelling"),"")</f>
        <v/>
      </c>
      <c r="X9" s="10"/>
      <c r="Y9" s="46" t="s">
        <v>58</v>
      </c>
      <c r="Z9" s="23"/>
      <c r="AA9" s="81" t="str">
        <f ca="1">IF('Combustion Emissions'!$I$56=1,IF(AA90="",IF(AA10="","","DIN1942"),"samenstelling"),"")</f>
        <v>samenstelling</v>
      </c>
      <c r="AB9" s="10"/>
      <c r="AC9" s="46" t="s">
        <v>58</v>
      </c>
      <c r="AD9" s="83"/>
      <c r="AE9" s="81" t="str">
        <f ca="1">IF('Combustion Emissions'!$I$56=1,IF(OR(AE80=0,AE80=""),IF(AE8="","","DIN1942"),"samenstelling"),"")</f>
        <v>samenstelling</v>
      </c>
      <c r="AF9" s="74"/>
      <c r="AG9" s="8" t="s">
        <v>143</v>
      </c>
      <c r="AH9" s="8"/>
      <c r="AI9" s="8">
        <v>2</v>
      </c>
      <c r="AJ9" s="8" t="str">
        <f>IF('Combustion Emissions'!$J$54=1,"vloeibare brandstof","liquid fuel")</f>
        <v>vloeibare brandstof</v>
      </c>
      <c r="AK9" s="8"/>
      <c r="AL9" s="8" t="str">
        <f>IF(AK7=1,"mol%",IF(AK7=2,IF('Combustion Emissions'!$J$54=1,"gew%","weight%"),IF('Combustion Emissions'!$J$54=1,"gew% droog","weight% dry")))</f>
        <v>mol%</v>
      </c>
      <c r="AM9" s="8"/>
      <c r="AN9" s="8"/>
      <c r="AO9" s="8"/>
      <c r="AP9" s="8"/>
      <c r="AQ9" s="8"/>
      <c r="AR9" s="8"/>
      <c r="AS9" s="8"/>
      <c r="AT9" s="8"/>
      <c r="AU9" s="8"/>
    </row>
    <row r="10" spans="1:47" ht="15" x14ac:dyDescent="0.25">
      <c r="B10" s="137" t="str">
        <f>IF(Fuel1!B10="","",Fuel1!B10)</f>
        <v>Berekende onderste verbrandingswaarde (stookwaarde)</v>
      </c>
      <c r="C10" s="148" t="str">
        <f>IF(Fuel1!C10="","",Fuel1!C10)</f>
        <v>Calculated lower heating value (net calorific value)</v>
      </c>
      <c r="D10" s="137" t="str">
        <f>IF($AH$7=1,IF(N10="","",N10),IF($AI$7=2,IF(R10="","",R10),IF(V10="","",V10)))</f>
        <v>MJ/Nm³</v>
      </c>
      <c r="E10" s="148" t="str">
        <f t="shared" si="0"/>
        <v>MJ/Nm³</v>
      </c>
      <c r="F10" s="148" t="str">
        <f>IF(Fuel1!F10="","",Fuel1!F10)</f>
        <v/>
      </c>
      <c r="G10" s="148" t="str">
        <f>IF(Fuel1!G10="","",Fuel1!G10)</f>
        <v/>
      </c>
      <c r="H10" s="169" t="str">
        <f>INDEX(B10:C10,'Combustion Emissions'!$J$54)</f>
        <v>Berekende onderste verbrandingswaarde (stookwaarde)</v>
      </c>
      <c r="I10" s="104" t="str">
        <f t="shared" ref="I10:I22" ca="1" si="1">IF($AH$7=1,IF(O10="","",O10),IF($AI$7=2,IF(S10="","",S10),IF(W10="","",W10)))</f>
        <v/>
      </c>
      <c r="J10" s="267" t="str">
        <f>INDEX(D10:E10,'Combustion Emissions'!$J$54)</f>
        <v>MJ/Nm³</v>
      </c>
      <c r="K10" s="292"/>
      <c r="L10" s="179" t="str">
        <f>IF(INDEX(F10:G10,'Combustion Emissions'!$J$54)="","",INDEX(F10:G10,'Combustion Emissions'!$J$54))</f>
        <v/>
      </c>
      <c r="M10" s="160" t="s">
        <v>175</v>
      </c>
      <c r="N10" s="12" t="s">
        <v>280</v>
      </c>
      <c r="O10" s="41" t="str">
        <f ca="1">IF('Combustion Emissions'!$I$56=1,IF(O91="",IF(O8="","",O8/1000),O91),"")</f>
        <v/>
      </c>
      <c r="P10" s="10"/>
      <c r="Q10" s="40" t="s">
        <v>174</v>
      </c>
      <c r="R10" s="17" t="s">
        <v>55</v>
      </c>
      <c r="S10" s="41" t="str">
        <f ca="1">IF('Combustion Emissions'!$I$56=1,IF(S8="","",S8/1000),"")</f>
        <v/>
      </c>
      <c r="T10" s="10"/>
      <c r="U10" s="40" t="s">
        <v>174</v>
      </c>
      <c r="V10" s="17" t="s">
        <v>55</v>
      </c>
      <c r="W10" s="41" t="str">
        <f ca="1">IF('Combustion Emissions'!$I$56=1,IF(W8="","",W8/1000),"")</f>
        <v/>
      </c>
      <c r="X10" s="10"/>
      <c r="Y10" s="40" t="s">
        <v>51</v>
      </c>
      <c r="Z10" s="12" t="s">
        <v>280</v>
      </c>
      <c r="AA10" s="41">
        <f ca="1">IF('Combustion Emissions'!$I$56=1,IF(AA91="",IF(AA8="","",AA8/1000),AA91),"")</f>
        <v>14.369836623354386</v>
      </c>
      <c r="AB10" s="10"/>
      <c r="AC10" s="40" t="s">
        <v>51</v>
      </c>
      <c r="AD10" s="17" t="s">
        <v>55</v>
      </c>
      <c r="AE10" s="41">
        <f ca="1">IF('Combustion Emissions'!$I$56=1,IF(AE8="","",AE8/1000),"")</f>
        <v>10.18</v>
      </c>
      <c r="AF10" s="75"/>
      <c r="AG10" s="8" t="s">
        <v>145</v>
      </c>
      <c r="AH10" s="8"/>
      <c r="AI10" s="8">
        <v>2</v>
      </c>
      <c r="AJ10" s="8" t="str">
        <f>IF('Combustion Emissions'!$J$54=1,"vaste brandstof","solid fuel")</f>
        <v>vaste brandstof</v>
      </c>
      <c r="AK10" s="8"/>
      <c r="AL10" s="8"/>
      <c r="AM10" s="8"/>
      <c r="AN10" s="8"/>
      <c r="AO10" s="8"/>
      <c r="AP10" s="8"/>
      <c r="AQ10" s="8"/>
      <c r="AR10" s="8"/>
      <c r="AS10" s="8"/>
      <c r="AT10" s="8"/>
      <c r="AU10" s="8"/>
    </row>
    <row r="11" spans="1:47" ht="15" x14ac:dyDescent="0.25">
      <c r="B11" s="137" t="str">
        <f>IF(Fuel1!B11="","",Fuel1!B11)</f>
        <v>Bovenste verbrandingswaarde</v>
      </c>
      <c r="C11" s="148" t="str">
        <f>IF(Fuel1!C11="","",Fuel1!C11)</f>
        <v>Higher heating value (gross calorific value)</v>
      </c>
      <c r="D11" s="137" t="str">
        <f>IF($AH$7=1,IF(N11="","",N11),IF($AI$7=2,IF(R11="","",R11),IF(V11="","",V11)))</f>
        <v>MJ/Nm³</v>
      </c>
      <c r="E11" s="148" t="str">
        <f t="shared" si="0"/>
        <v>MJ/Nm³</v>
      </c>
      <c r="F11" s="148" t="str">
        <f>IF(Fuel1!F11="","",Fuel1!F11)</f>
        <v/>
      </c>
      <c r="G11" s="148" t="str">
        <f>IF(Fuel1!G11="","",Fuel1!G11)</f>
        <v/>
      </c>
      <c r="H11" s="169" t="str">
        <f>INDEX(B11:C11,'Combustion Emissions'!$J$54)</f>
        <v>Bovenste verbrandingswaarde</v>
      </c>
      <c r="I11" s="105" t="str">
        <f t="shared" ca="1" si="1"/>
        <v/>
      </c>
      <c r="J11" s="267" t="str">
        <f>INDEX(D11:E11,'Combustion Emissions'!$J$54)</f>
        <v>MJ/Nm³</v>
      </c>
      <c r="K11" s="292"/>
      <c r="L11" s="179" t="str">
        <f>IF(INDEX(F11:G11,'Combustion Emissions'!$J$54)="","",INDEX(F11:G11,'Combustion Emissions'!$J$54))</f>
        <v/>
      </c>
      <c r="M11" s="16" t="s">
        <v>56</v>
      </c>
      <c r="N11" s="13" t="str">
        <f>N10</f>
        <v>MJ/Nm³</v>
      </c>
      <c r="O11" s="42" t="str">
        <f ca="1">IF(O88="",IF(O10="","",O10+(IF(O9="DIN1942",O79,O71)-O18)*44.0136/21.629),O88)</f>
        <v/>
      </c>
      <c r="P11" s="8"/>
      <c r="Q11" s="39" t="s">
        <v>56</v>
      </c>
      <c r="R11" s="14" t="s">
        <v>55</v>
      </c>
      <c r="S11" s="42" t="str">
        <f>IF(S8="","",S10+(IF(S9="DIN1942",S79,S71)-S18)*44.0136/21.629)</f>
        <v/>
      </c>
      <c r="T11" s="8"/>
      <c r="U11" s="39" t="s">
        <v>56</v>
      </c>
      <c r="V11" s="14" t="s">
        <v>55</v>
      </c>
      <c r="W11" s="42" t="str">
        <f ca="1">IF(W10="","",W10+(IF(W9="DIN1942",W79,W71)-W18)*44.0136/21.629)</f>
        <v/>
      </c>
      <c r="X11" s="8"/>
      <c r="Y11" s="39" t="s">
        <v>56</v>
      </c>
      <c r="Z11" s="13" t="str">
        <f>Z10</f>
        <v>MJ/Nm³</v>
      </c>
      <c r="AA11" s="42">
        <f ca="1">IF(AA88="",IF(AA10="","",AA10+(IF(AA9="DIN1942",AA79,AA71)-AA18)*44.0136/21.629),AA88)</f>
        <v>15.946521060520519</v>
      </c>
      <c r="AB11" s="8"/>
      <c r="AC11" s="39" t="s">
        <v>56</v>
      </c>
      <c r="AD11" s="14" t="s">
        <v>55</v>
      </c>
      <c r="AE11" s="42">
        <f ca="1">IF(AE10="","",AE10+(IF(AE9="DIN1942",AE79,AE71)-AE18)*44.0136/21.629)</f>
        <v>11.969491055927941</v>
      </c>
      <c r="AF11" s="112"/>
      <c r="AG11" s="8" t="s">
        <v>144</v>
      </c>
      <c r="AH11" s="8"/>
      <c r="AI11" s="8">
        <v>3</v>
      </c>
      <c r="AJ11" s="8" t="str">
        <f ca="1">IF(I10="",CONCATENATE(AJ7," 2",IF('Combustion Emissions'!$J$54=1," (vul gegevens in werkblad &lt;Fuel2&gt; in)"," (enter data in worksheet &lt;Fuel2&gt;)")),CONCATENATE(IF(I7&lt;&gt;"",I7,CONCATENATE(INDEX(AJ8:AJ10,AK7)," 2"))))</f>
        <v>Brandstof 2 (vul gegevens in werkblad &lt;Fuel2&gt; in)</v>
      </c>
      <c r="AK11" s="8"/>
      <c r="AL11" s="8"/>
      <c r="AM11" s="8"/>
      <c r="AN11" s="8"/>
      <c r="AO11" s="8"/>
      <c r="AP11" s="8"/>
      <c r="AQ11" s="8"/>
      <c r="AR11" s="8"/>
      <c r="AS11" s="8"/>
      <c r="AT11" s="8"/>
      <c r="AU11" s="8"/>
    </row>
    <row r="12" spans="1:47" ht="15" x14ac:dyDescent="0.25">
      <c r="B12" s="137" t="str">
        <f>IF(Fuel1!B12="","",Fuel1!B12)</f>
        <v>Wobbe-index</v>
      </c>
      <c r="C12" s="148" t="str">
        <f>IF(Fuel1!C12="","",Fuel1!C12)</f>
        <v>Wobbe index</v>
      </c>
      <c r="D12" s="137" t="str">
        <f>IF($AH$7=1,IF(N12="","",N12),IF($AI$7=2,IF(R12="","",R12),IF(V12="","",V12)))</f>
        <v>MJ/Nm³</v>
      </c>
      <c r="E12" s="148" t="str">
        <f t="shared" si="0"/>
        <v>MJ/Nm³</v>
      </c>
      <c r="F12" s="148" t="str">
        <f>IF(Fuel1!F12="","",Fuel1!F12)</f>
        <v/>
      </c>
      <c r="G12" s="148" t="str">
        <f>IF(Fuel1!G12="","",Fuel1!G12)</f>
        <v/>
      </c>
      <c r="H12" s="169" t="str">
        <f>INDEX(B12:C12,'Combustion Emissions'!$J$54)</f>
        <v>Wobbe-index</v>
      </c>
      <c r="I12" s="105" t="str">
        <f t="shared" ca="1" si="1"/>
        <v/>
      </c>
      <c r="J12" s="267" t="str">
        <f ca="1">IF(I12="","",INDEX(D12:E12,'Combustion Emissions'!$J$54))</f>
        <v/>
      </c>
      <c r="K12" s="284"/>
      <c r="L12" s="281" t="str">
        <f>IF(INDEX(F12:G12,'Combustion Emissions'!$J$54)="","",INDEX(F12:G12,'Combustion Emissions'!$J$54))</f>
        <v/>
      </c>
      <c r="M12" s="16" t="s">
        <v>57</v>
      </c>
      <c r="N12" s="13" t="str">
        <f>N11</f>
        <v>MJ/Nm³</v>
      </c>
      <c r="O12" s="42" t="str">
        <f ca="1">IF(O89="",IF(OR(O8="",$A5=0),"",O11/SQRT(0.82/1.293)),O89)</f>
        <v/>
      </c>
      <c r="P12" s="8"/>
      <c r="Q12" s="39"/>
      <c r="R12" s="14"/>
      <c r="S12" s="59"/>
      <c r="T12" s="8"/>
      <c r="U12" s="39"/>
      <c r="V12" s="14"/>
      <c r="W12" s="59"/>
      <c r="X12" s="8"/>
      <c r="Y12" s="39" t="s">
        <v>57</v>
      </c>
      <c r="Z12" s="13" t="str">
        <f>Z11</f>
        <v>MJ/Nm³</v>
      </c>
      <c r="AA12" s="42">
        <f ca="1">IF(AA89="",IF(OR(AA8="",$A5=0),"",AA11/SQRT(0.82/1.293)),AA89)</f>
        <v>14.943344590554805</v>
      </c>
      <c r="AB12" s="8"/>
      <c r="AC12" s="39"/>
      <c r="AD12" s="14"/>
      <c r="AE12" s="59"/>
      <c r="AF12" s="113"/>
      <c r="AG12" s="8" t="s">
        <v>146</v>
      </c>
      <c r="AH12" s="8"/>
      <c r="AI12" s="8">
        <v>3</v>
      </c>
      <c r="AJ12" s="8"/>
      <c r="AK12" s="8"/>
      <c r="AL12" s="8"/>
      <c r="AM12" s="8"/>
      <c r="AN12" s="8"/>
      <c r="AO12" s="8"/>
      <c r="AP12" s="8"/>
      <c r="AQ12" s="8"/>
      <c r="AR12" s="8"/>
      <c r="AS12" s="8"/>
      <c r="AT12" s="8"/>
      <c r="AU12" s="8"/>
    </row>
    <row r="13" spans="1:47" ht="15" x14ac:dyDescent="0.25">
      <c r="B13" s="137" t="str">
        <f>IF(Fuel1!B13="","",Fuel1!B13)</f>
        <v>Stoichiometrisch droog rookgasvolume</v>
      </c>
      <c r="C13" s="148" t="str">
        <f>IF(Fuel1!C13="","",Fuel1!C13)</f>
        <v>Stoichiometric flue gas flow</v>
      </c>
      <c r="D13" s="137" t="str">
        <f>IF(Fuel1!D13="","",Fuel1!D13)</f>
        <v>Nm³/MJ</v>
      </c>
      <c r="E13" s="148" t="str">
        <f t="shared" si="0"/>
        <v>Nm³/MJ</v>
      </c>
      <c r="F13" s="148" t="str">
        <f>IF(Fuel1!F13="","",Fuel1!F13)</f>
        <v/>
      </c>
      <c r="G13" s="148" t="str">
        <f>IF(Fuel1!G13="","",Fuel1!G13)</f>
        <v/>
      </c>
      <c r="H13" s="171" t="str">
        <f>INDEX(B13:C13,'Combustion Emissions'!$J$54)</f>
        <v>Stoichiometrisch droog rookgasvolume</v>
      </c>
      <c r="I13" s="131" t="str">
        <f t="shared" ca="1" si="1"/>
        <v/>
      </c>
      <c r="J13" s="269" t="str">
        <f>INDEX(D13:E13,'Combustion Emissions'!$J$54)</f>
        <v>Nm³/MJ</v>
      </c>
      <c r="K13" s="292"/>
      <c r="L13" s="179" t="str">
        <f>IF(INDEX(F13:G13,'Combustion Emissions'!$J$54)="","",INDEX(F13:G13,'Combustion Emissions'!$J$54))</f>
        <v/>
      </c>
      <c r="M13" s="161" t="str">
        <f>M18</f>
        <v>Stoichiometrisch droog rookgasvolume</v>
      </c>
      <c r="N13" s="25" t="s">
        <v>281</v>
      </c>
      <c r="O13" s="97" t="str">
        <f ca="1">IF(O18="","",O18/O$10)</f>
        <v/>
      </c>
      <c r="P13" s="10"/>
      <c r="Q13" s="47" t="str">
        <f>Q18</f>
        <v>Stoichiometrisch droog rookgasvolume</v>
      </c>
      <c r="R13" s="25" t="str">
        <f>N13</f>
        <v>Nm³/MJ</v>
      </c>
      <c r="S13" s="97" t="str">
        <f>IF(S18="","",S18/S$10)</f>
        <v/>
      </c>
      <c r="T13" s="10"/>
      <c r="U13" s="47" t="str">
        <f>U18</f>
        <v>Stoichiometrisch droog rookgasvolume</v>
      </c>
      <c r="V13" s="25" t="str">
        <f>R13</f>
        <v>Nm³/MJ</v>
      </c>
      <c r="W13" s="97" t="str">
        <f ca="1">IF(W18="","",W18/W$10)</f>
        <v/>
      </c>
      <c r="X13" s="10"/>
      <c r="Y13" s="47" t="str">
        <f>Y18</f>
        <v>Stoichiometrisch droog rookgasvolume</v>
      </c>
      <c r="Z13" s="25" t="s">
        <v>281</v>
      </c>
      <c r="AA13" s="97">
        <f ca="1">IF(AA18="","",AA18/AA$10)</f>
        <v>0.28001295750081329</v>
      </c>
      <c r="AB13" s="10"/>
      <c r="AC13" s="47" t="str">
        <f>AC18</f>
        <v>Stoichiometrisch droog rookgasvolume</v>
      </c>
      <c r="AD13" s="25" t="str">
        <f>Z13</f>
        <v>Nm³/MJ</v>
      </c>
      <c r="AE13" s="97">
        <f ca="1">IF(AE18="","",AE18/AE$10)</f>
        <v>0.23232498987259997</v>
      </c>
      <c r="AF13" s="74"/>
      <c r="AG13" s="74"/>
      <c r="AH13" s="74"/>
      <c r="AI13" s="74"/>
      <c r="AJ13" s="74"/>
      <c r="AK13" s="74"/>
      <c r="AL13" s="18"/>
      <c r="AM13" s="8"/>
      <c r="AN13" s="8"/>
      <c r="AO13" s="8"/>
      <c r="AP13" s="8"/>
      <c r="AQ13" s="8"/>
      <c r="AR13" s="8"/>
      <c r="AS13" s="8"/>
      <c r="AT13" s="8"/>
      <c r="AU13" s="8"/>
    </row>
    <row r="14" spans="1:47" ht="15" x14ac:dyDescent="0.25">
      <c r="B14" s="137" t="str">
        <f>IF(Fuel1!B14="","",Fuel1!B14)</f>
        <v>Stoichiometrisch luchtverbruik</v>
      </c>
      <c r="C14" s="148" t="str">
        <f>IF(Fuel1!C14="","",Fuel1!C14)</f>
        <v>Stoichiometric air demand</v>
      </c>
      <c r="D14" s="137" t="str">
        <f>IF(Fuel1!D14="","",Fuel1!D14)</f>
        <v>Nm³/MJ</v>
      </c>
      <c r="E14" s="148" t="str">
        <f t="shared" si="0"/>
        <v>Nm³/MJ</v>
      </c>
      <c r="F14" s="148" t="str">
        <f>IF(Fuel1!F14="","",Fuel1!F14)</f>
        <v/>
      </c>
      <c r="G14" s="148" t="str">
        <f>IF(Fuel1!G14="","",Fuel1!G14)</f>
        <v/>
      </c>
      <c r="H14" s="169" t="str">
        <f>INDEX(B14:C14,'Combustion Emissions'!$J$54)</f>
        <v>Stoichiometrisch luchtverbruik</v>
      </c>
      <c r="I14" s="106" t="str">
        <f t="shared" ca="1" si="1"/>
        <v/>
      </c>
      <c r="J14" s="267" t="str">
        <f>INDEX(D14:E14,'Combustion Emissions'!$J$54)</f>
        <v>Nm³/MJ</v>
      </c>
      <c r="K14" s="292"/>
      <c r="L14" s="179" t="str">
        <f>IF(INDEX(F14:G14,'Combustion Emissions'!$J$54)="","",INDEX(F14:G14,'Combustion Emissions'!$J$54))</f>
        <v/>
      </c>
      <c r="M14" s="16" t="str">
        <f>M19</f>
        <v>Stoichiometrisch luchtverbruik</v>
      </c>
      <c r="N14" s="13" t="str">
        <f>N13</f>
        <v>Nm³/MJ</v>
      </c>
      <c r="O14" s="43" t="str">
        <f ca="1">IF(O19="","",O19/O$10)</f>
        <v/>
      </c>
      <c r="P14" s="10"/>
      <c r="Q14" s="39" t="str">
        <f>Q19</f>
        <v>Stoichiometrisch luchtverbruik</v>
      </c>
      <c r="R14" s="13" t="str">
        <f>R13</f>
        <v>Nm³/MJ</v>
      </c>
      <c r="S14" s="43" t="str">
        <f>IF(S19="","",S19/S$10)</f>
        <v/>
      </c>
      <c r="T14" s="10"/>
      <c r="U14" s="39" t="str">
        <f>U19</f>
        <v>Stoichiometrisch luchtverbruik</v>
      </c>
      <c r="V14" s="13" t="str">
        <f>V13</f>
        <v>Nm³/MJ</v>
      </c>
      <c r="W14" s="43" t="str">
        <f ca="1">IF(W19="","",W19/W$10)</f>
        <v/>
      </c>
      <c r="X14" s="10"/>
      <c r="Y14" s="39" t="str">
        <f>Y19</f>
        <v>Stoichiometrisch luchtverbruik</v>
      </c>
      <c r="Z14" s="13" t="str">
        <f>Z13</f>
        <v>Nm³/MJ</v>
      </c>
      <c r="AA14" s="43">
        <f ca="1">IF(AA19="","",AA19/AA$10)</f>
        <v>0.26653373474679987</v>
      </c>
      <c r="AB14" s="10"/>
      <c r="AC14" s="39" t="str">
        <f>AC19</f>
        <v>Stoichiometrisch luchtverbruik</v>
      </c>
      <c r="AD14" s="13" t="str">
        <f>AD13</f>
        <v>Nm³/MJ</v>
      </c>
      <c r="AE14" s="43">
        <f ca="1">IF(AE19="","",AE19/AE$10)</f>
        <v>0.23258230664430668</v>
      </c>
      <c r="AF14" s="74"/>
      <c r="AG14" s="74"/>
      <c r="AH14" s="74"/>
      <c r="AI14" s="74"/>
      <c r="AJ14" s="74"/>
      <c r="AK14" s="74"/>
      <c r="AL14" s="18"/>
      <c r="AM14" s="8"/>
      <c r="AN14" s="8"/>
      <c r="AO14" s="8"/>
      <c r="AP14" s="8"/>
      <c r="AQ14" s="8"/>
      <c r="AR14" s="8"/>
      <c r="AS14" s="8"/>
      <c r="AT14" s="8"/>
      <c r="AU14" s="8"/>
    </row>
    <row r="15" spans="1:47" ht="15" x14ac:dyDescent="0.25">
      <c r="B15" s="137" t="str">
        <f>IF(Fuel1!B15="","",Fuel1!B15)</f>
        <v>Waterdamp</v>
      </c>
      <c r="C15" s="148" t="str">
        <f>IF(Fuel1!C15="","",Fuel1!C15)</f>
        <v>Water vapour</v>
      </c>
      <c r="D15" s="137" t="str">
        <f>IF(Fuel1!D15="","",Fuel1!D15)</f>
        <v>Nm³/MJ</v>
      </c>
      <c r="E15" s="148" t="str">
        <f t="shared" si="0"/>
        <v>Nm³/MJ</v>
      </c>
      <c r="F15" s="148" t="str">
        <f>IF(Fuel1!F15="","",Fuel1!F15)</f>
        <v/>
      </c>
      <c r="G15" s="148" t="str">
        <f>IF(Fuel1!G15="","",Fuel1!G15)</f>
        <v/>
      </c>
      <c r="H15" s="172" t="str">
        <f>INDEX(B15:C15,'Combustion Emissions'!$J$54)</f>
        <v>Waterdamp</v>
      </c>
      <c r="I15" s="106" t="str">
        <f t="shared" ca="1" si="1"/>
        <v/>
      </c>
      <c r="J15" s="267" t="str">
        <f>INDEX(D15:E15,'Combustion Emissions'!$J$54)</f>
        <v>Nm³/MJ</v>
      </c>
      <c r="K15" s="292"/>
      <c r="L15" s="179" t="str">
        <f>IF(INDEX(F15:G15,'Combustion Emissions'!$J$54)="","",INDEX(F15:G15,'Combustion Emissions'!$J$54))</f>
        <v/>
      </c>
      <c r="M15" s="30" t="str">
        <f>M20</f>
        <v>Waterdamp</v>
      </c>
      <c r="N15" s="13" t="str">
        <f>N14</f>
        <v>Nm³/MJ</v>
      </c>
      <c r="O15" s="43" t="str">
        <f ca="1">IF(O20="","",O20/O$10)</f>
        <v/>
      </c>
      <c r="P15" s="10"/>
      <c r="Q15" s="44" t="str">
        <f>Q20</f>
        <v>Waterdamp</v>
      </c>
      <c r="R15" s="13" t="str">
        <f>R14</f>
        <v>Nm³/MJ</v>
      </c>
      <c r="S15" s="43" t="str">
        <f>IF(S20="","",S20/S$10)</f>
        <v/>
      </c>
      <c r="T15" s="10"/>
      <c r="U15" s="44" t="str">
        <f>U20</f>
        <v>Waterdamp</v>
      </c>
      <c r="V15" s="13" t="str">
        <f>V14</f>
        <v>Nm³/MJ</v>
      </c>
      <c r="W15" s="43" t="str">
        <f>IF(W20="","",W20/W$10)</f>
        <v/>
      </c>
      <c r="X15" s="10"/>
      <c r="Y15" s="44" t="str">
        <f>Y20</f>
        <v>Waterdamp</v>
      </c>
      <c r="Z15" s="13" t="str">
        <f>Z14</f>
        <v>Nm³/MJ</v>
      </c>
      <c r="AA15" s="43">
        <f ca="1">IF(AA20="","",AA20/AA$10)</f>
        <v>5.3916143184764183E-2</v>
      </c>
      <c r="AB15" s="10"/>
      <c r="AC15" s="44" t="str">
        <f>AC20</f>
        <v>Waterdamp</v>
      </c>
      <c r="AD15" s="13" t="str">
        <f>AD14</f>
        <v>Nm³/MJ</v>
      </c>
      <c r="AE15" s="43">
        <f ca="1">IF(AE20="","",AE20/AE$10)</f>
        <v>8.6383600669583754E-2</v>
      </c>
      <c r="AF15" s="74"/>
      <c r="AG15" s="74"/>
      <c r="AH15" s="74"/>
      <c r="AI15" s="74"/>
      <c r="AJ15" s="74"/>
      <c r="AK15" s="74"/>
      <c r="AL15" s="18"/>
      <c r="AM15" s="8"/>
      <c r="AN15" s="8"/>
      <c r="AO15" s="8"/>
      <c r="AP15" s="8"/>
      <c r="AQ15" s="8"/>
      <c r="AR15" s="8"/>
      <c r="AS15" s="8"/>
      <c r="AT15" s="8"/>
      <c r="AU15" s="8"/>
    </row>
    <row r="16" spans="1:47" ht="15" x14ac:dyDescent="0.25">
      <c r="B16" s="137" t="str">
        <f>IF(Fuel1!B16="","",Fuel1!B16)</f>
        <v>Koolstofdioxide</v>
      </c>
      <c r="C16" s="148" t="str">
        <f>IF(Fuel1!C16="","",Fuel1!C16)</f>
        <v>Carbondioxide</v>
      </c>
      <c r="D16" s="137" t="str">
        <f>IF(Fuel1!D16="","",Fuel1!D16)</f>
        <v>Nm³/MJ</v>
      </c>
      <c r="E16" s="148" t="str">
        <f t="shared" si="0"/>
        <v>Nm³/MJ</v>
      </c>
      <c r="F16" s="148" t="str">
        <f>IF(Fuel1!F16="","",Fuel1!F16)</f>
        <v/>
      </c>
      <c r="G16" s="148" t="str">
        <f>IF(Fuel1!G16="","",Fuel1!G16)</f>
        <v/>
      </c>
      <c r="H16" s="172" t="str">
        <f>INDEX(B16:C16,'Combustion Emissions'!$J$54)</f>
        <v>Koolstofdioxide</v>
      </c>
      <c r="I16" s="106" t="str">
        <f t="shared" ca="1" si="1"/>
        <v/>
      </c>
      <c r="J16" s="267" t="str">
        <f>INDEX(D16:E16,'Combustion Emissions'!$J$54)</f>
        <v>Nm³/MJ</v>
      </c>
      <c r="K16" s="292"/>
      <c r="L16" s="179" t="str">
        <f>IF(INDEX(F16:G16,'Combustion Emissions'!$J$54)="","",INDEX(F16:G16,'Combustion Emissions'!$J$54))</f>
        <v/>
      </c>
      <c r="M16" s="30" t="str">
        <f>M21</f>
        <v>Koolstofdioxide</v>
      </c>
      <c r="N16" s="13" t="str">
        <f>N15</f>
        <v>Nm³/MJ</v>
      </c>
      <c r="O16" s="43" t="str">
        <f ca="1">IF(O21="","",O21/O$10)</f>
        <v/>
      </c>
      <c r="P16" s="10"/>
      <c r="Q16" s="44" t="str">
        <f>Q21</f>
        <v>Koolstofdioxide</v>
      </c>
      <c r="R16" s="13" t="str">
        <f>R15</f>
        <v>Nm³/MJ</v>
      </c>
      <c r="S16" s="43" t="str">
        <f>IF(S21="","",S21/S$10)</f>
        <v/>
      </c>
      <c r="T16" s="10"/>
      <c r="U16" s="44" t="str">
        <f>U21</f>
        <v>Koolstofdioxide</v>
      </c>
      <c r="V16" s="13" t="str">
        <f>V15</f>
        <v>Nm³/MJ</v>
      </c>
      <c r="W16" s="43" t="str">
        <f>IF(W21="","",W21/W$10)</f>
        <v/>
      </c>
      <c r="X16" s="10"/>
      <c r="Y16" s="44" t="str">
        <f>Y21</f>
        <v>Koolstofdioxide</v>
      </c>
      <c r="Z16" s="13" t="str">
        <f>Z15</f>
        <v>Nm³/MJ</v>
      </c>
      <c r="AA16" s="43">
        <f ca="1">IF(AA21="","",AA21/AA$10)</f>
        <v>6.9318040183467933E-2</v>
      </c>
      <c r="AB16" s="10"/>
      <c r="AC16" s="44" t="str">
        <f>AC21</f>
        <v>Koolstofdioxide</v>
      </c>
      <c r="AD16" s="13" t="str">
        <f>AD15</f>
        <v>Nm³/MJ</v>
      </c>
      <c r="AE16" s="43">
        <f ca="1">IF(AE21="","",AE21/AE$10)</f>
        <v>4.8468676470275522E-2</v>
      </c>
      <c r="AF16" s="74"/>
      <c r="AG16" s="74"/>
      <c r="AH16" s="74"/>
      <c r="AI16" s="74"/>
      <c r="AJ16" s="74"/>
      <c r="AK16" s="74"/>
      <c r="AL16" s="18"/>
      <c r="AM16" s="8"/>
      <c r="AN16" s="8"/>
      <c r="AO16" s="8"/>
      <c r="AP16" s="8"/>
      <c r="AQ16" s="8"/>
      <c r="AR16" s="8"/>
      <c r="AS16" s="8"/>
      <c r="AT16" s="8"/>
      <c r="AU16" s="8"/>
    </row>
    <row r="17" spans="1:48" ht="15" x14ac:dyDescent="0.25">
      <c r="B17" s="137" t="str">
        <f>IF(Fuel1!B17="","",Fuel1!B17)</f>
        <v>Zwaveldioxide</v>
      </c>
      <c r="C17" s="148" t="str">
        <f>IF(Fuel1!C17="","",Fuel1!C17)</f>
        <v>Sulphurdioxide</v>
      </c>
      <c r="D17" s="137" t="str">
        <f>IF(Fuel1!D17="","",Fuel1!D17)</f>
        <v>Nm³/MJ</v>
      </c>
      <c r="E17" s="148" t="str">
        <f t="shared" si="0"/>
        <v>Nm³/MJ</v>
      </c>
      <c r="F17" s="148" t="str">
        <f>IF(Fuel1!F17="","",Fuel1!F17)</f>
        <v/>
      </c>
      <c r="G17" s="148" t="str">
        <f>IF(Fuel1!G17="","",Fuel1!G17)</f>
        <v/>
      </c>
      <c r="H17" s="173" t="str">
        <f>INDEX(B17:C17,'Combustion Emissions'!$J$54)</f>
        <v>Zwaveldioxide</v>
      </c>
      <c r="I17" s="132" t="str">
        <f t="shared" ca="1" si="1"/>
        <v/>
      </c>
      <c r="J17" s="270" t="str">
        <f>INDEX(D17:E17,'Combustion Emissions'!$J$54)</f>
        <v>Nm³/MJ</v>
      </c>
      <c r="K17" s="284"/>
      <c r="L17" s="180" t="str">
        <f>IF(INDEX(F17:G17,'Combustion Emissions'!$J$54)="","",INDEX(F17:G17,'Combustion Emissions'!$J$54))</f>
        <v/>
      </c>
      <c r="M17" s="162" t="str">
        <f>M22</f>
        <v>Zwaveldioxide</v>
      </c>
      <c r="N17" s="192" t="str">
        <f>N16</f>
        <v>Nm³/MJ</v>
      </c>
      <c r="O17" s="81" t="str">
        <f ca="1">IF(O22="","",O22/O$10)</f>
        <v/>
      </c>
      <c r="P17" s="10"/>
      <c r="Q17" s="82" t="str">
        <f>Q22</f>
        <v>Zwaveldioxide</v>
      </c>
      <c r="R17" s="192" t="str">
        <f>R16</f>
        <v>Nm³/MJ</v>
      </c>
      <c r="S17" s="81" t="str">
        <f>IF(S22="","",S22/S$10)</f>
        <v/>
      </c>
      <c r="T17" s="10"/>
      <c r="U17" s="82" t="str">
        <f>U22</f>
        <v>Zwaveldioxide</v>
      </c>
      <c r="V17" s="23" t="str">
        <f>V16</f>
        <v>Nm³/MJ</v>
      </c>
      <c r="W17" s="81" t="str">
        <f>IF(W22="","",W22/W$10)</f>
        <v/>
      </c>
      <c r="X17" s="10"/>
      <c r="Y17" s="82" t="str">
        <f>Y22</f>
        <v>Zwaveldioxide</v>
      </c>
      <c r="Z17" s="192" t="str">
        <f>Z16</f>
        <v>Nm³/MJ</v>
      </c>
      <c r="AA17" s="81">
        <f ca="1">IF(AA22="","",AA22/AA$10)</f>
        <v>0</v>
      </c>
      <c r="AB17" s="10"/>
      <c r="AC17" s="82" t="str">
        <f>AC22</f>
        <v>Zwaveldioxide</v>
      </c>
      <c r="AD17" s="192" t="str">
        <f>AD16</f>
        <v>Nm³/MJ</v>
      </c>
      <c r="AE17" s="81">
        <f ca="1">IF(AE22="","",AE22/AE$10)</f>
        <v>0</v>
      </c>
      <c r="AF17" s="74"/>
      <c r="AG17" s="74"/>
      <c r="AH17" s="74"/>
      <c r="AI17" s="74"/>
      <c r="AJ17" s="74"/>
      <c r="AK17" s="74"/>
      <c r="AL17" s="18"/>
      <c r="AM17" s="8"/>
      <c r="AN17" s="8"/>
      <c r="AO17" s="8"/>
      <c r="AP17" s="8"/>
      <c r="AQ17" s="8"/>
      <c r="AR17" s="8"/>
      <c r="AS17" s="8"/>
      <c r="AT17" s="8"/>
      <c r="AU17" s="8"/>
    </row>
    <row r="18" spans="1:48" ht="15" x14ac:dyDescent="0.25">
      <c r="B18" s="137" t="str">
        <f>IF(Fuel1!B18="","",Fuel1!B18)</f>
        <v>Stoichiometrisch droog rookgasvolume</v>
      </c>
      <c r="C18" s="148" t="str">
        <f>IF(Fuel1!C18="","",Fuel1!C18)</f>
        <v>Stoichiometric flue gas flow</v>
      </c>
      <c r="D18" s="137" t="str">
        <f>IF($AH$7=1,IF(N18="","",N18),IF($AI$7=2,IF(R18="","",R18),IF(V18="","",V18)))</f>
        <v>Nm³/Nm³</v>
      </c>
      <c r="E18" s="148" t="str">
        <f t="shared" si="0"/>
        <v>Nm³/Nm³</v>
      </c>
      <c r="F18" s="148" t="str">
        <f>IF(Fuel1!F18="","",Fuel1!F18)</f>
        <v/>
      </c>
      <c r="G18" s="148" t="str">
        <f>IF(Fuel1!G18="","",Fuel1!G18)</f>
        <v/>
      </c>
      <c r="H18" s="169" t="str">
        <f>INDEX(B18:C18,'Combustion Emissions'!$J$54)</f>
        <v>Stoichiometrisch droog rookgasvolume</v>
      </c>
      <c r="I18" s="106" t="str">
        <f t="shared" ca="1" si="1"/>
        <v/>
      </c>
      <c r="J18" s="267" t="str">
        <f>INDEX(D18:E18,'Combustion Emissions'!$J$54)</f>
        <v>Nm³/Nm³</v>
      </c>
      <c r="K18" s="292"/>
      <c r="L18" s="179" t="str">
        <f>IF(INDEX(F18:G18,'Combustion Emissions'!$J$54)="","",INDEX(F18:G18,'Combustion Emissions'!$J$54))</f>
        <v/>
      </c>
      <c r="M18" s="16" t="s">
        <v>140</v>
      </c>
      <c r="N18" s="13" t="s">
        <v>282</v>
      </c>
      <c r="O18" s="43" t="str">
        <f ca="1">IF(O10="","",IF(O9="DIN1942",O78,O70))</f>
        <v/>
      </c>
      <c r="P18" s="10"/>
      <c r="Q18" s="39" t="s">
        <v>140</v>
      </c>
      <c r="R18" s="13" t="s">
        <v>283</v>
      </c>
      <c r="S18" s="43" t="str">
        <f>IF(S8="","",IF(S9="DIN1942",S78,S70))</f>
        <v/>
      </c>
      <c r="T18" s="10"/>
      <c r="U18" s="39" t="s">
        <v>140</v>
      </c>
      <c r="V18" s="13" t="s">
        <v>285</v>
      </c>
      <c r="W18" s="43" t="str">
        <f ca="1">IF(W10="","",IF(W9="DIN1942",W78,W70))</f>
        <v/>
      </c>
      <c r="X18" s="10"/>
      <c r="Y18" s="39" t="s">
        <v>140</v>
      </c>
      <c r="Z18" s="13" t="s">
        <v>282</v>
      </c>
      <c r="AA18" s="43">
        <f ca="1">IF(AA10="","",IF(AA9="DIN1942",AA78,AA70))</f>
        <v>4.0237404517089619</v>
      </c>
      <c r="AB18" s="10"/>
      <c r="AC18" s="39" t="s">
        <v>140</v>
      </c>
      <c r="AD18" s="13" t="s">
        <v>283</v>
      </c>
      <c r="AE18" s="43">
        <f ca="1">IF(AE10="","",IF(AE9="DIN1942",AE78,AE70))</f>
        <v>2.3650683969030677</v>
      </c>
      <c r="AF18" s="74"/>
      <c r="AG18" s="74"/>
      <c r="AH18" s="74"/>
      <c r="AI18" s="74"/>
      <c r="AJ18" s="74"/>
      <c r="AK18" s="74"/>
      <c r="AL18" s="18"/>
      <c r="AM18" s="8"/>
      <c r="AN18" s="8"/>
      <c r="AO18" s="8"/>
      <c r="AP18" s="8"/>
      <c r="AQ18" s="8"/>
      <c r="AR18" s="8"/>
      <c r="AS18" s="8"/>
      <c r="AT18" s="8"/>
      <c r="AU18" s="8"/>
    </row>
    <row r="19" spans="1:48" ht="15" x14ac:dyDescent="0.25">
      <c r="B19" s="137" t="str">
        <f>IF(Fuel1!B19="","",Fuel1!B19)</f>
        <v>Stoichiometrisch luchtverbruik</v>
      </c>
      <c r="C19" s="148" t="str">
        <f>IF(Fuel1!C19="","",Fuel1!C19)</f>
        <v>Stoichiometric air demand</v>
      </c>
      <c r="D19" s="137" t="str">
        <f>IF($AH$7=1,IF(N19="","",N19),IF($AI$7=2,IF(R19="","",R19),IF(V19="","",V19)))</f>
        <v>Nm³/Nm³</v>
      </c>
      <c r="E19" s="148" t="str">
        <f t="shared" si="0"/>
        <v>Nm³/Nm³</v>
      </c>
      <c r="F19" s="148" t="str">
        <f>IF(Fuel1!F19="","",Fuel1!F19)</f>
        <v/>
      </c>
      <c r="G19" s="148" t="str">
        <f>IF(Fuel1!G19="","",Fuel1!G19)</f>
        <v/>
      </c>
      <c r="H19" s="169" t="str">
        <f>INDEX(B19:C19,'Combustion Emissions'!$J$54)</f>
        <v>Stoichiometrisch luchtverbruik</v>
      </c>
      <c r="I19" s="106" t="str">
        <f t="shared" ca="1" si="1"/>
        <v/>
      </c>
      <c r="J19" s="267" t="str">
        <f>INDEX(D19:E19,'Combustion Emissions'!$J$54)</f>
        <v>Nm³/Nm³</v>
      </c>
      <c r="K19" s="292"/>
      <c r="L19" s="179" t="str">
        <f>IF(INDEX(F19:G19,'Combustion Emissions'!$J$54)="","",INDEX(F19:G19,'Combustion Emissions'!$J$54))</f>
        <v/>
      </c>
      <c r="M19" s="16" t="s">
        <v>65</v>
      </c>
      <c r="N19" s="13" t="str">
        <f>N18</f>
        <v>Nm³/Nm³</v>
      </c>
      <c r="O19" s="43" t="str">
        <f ca="1">IF(O10="","",IF(O9="DIN1942",O77,O69))</f>
        <v/>
      </c>
      <c r="P19" s="10"/>
      <c r="Q19" s="39" t="s">
        <v>65</v>
      </c>
      <c r="R19" s="13" t="str">
        <f>R18</f>
        <v>Nm³/kg</v>
      </c>
      <c r="S19" s="43" t="str">
        <f>IF(S8="","",IF(S9="DIN1942",S77,S69))</f>
        <v/>
      </c>
      <c r="T19" s="10"/>
      <c r="U19" s="39" t="s">
        <v>65</v>
      </c>
      <c r="V19" s="13" t="str">
        <f>V18</f>
        <v>Nm³/kg</v>
      </c>
      <c r="W19" s="43" t="str">
        <f ca="1">IF(W10="","",IF(W9="DIN1942",W77,W69))</f>
        <v/>
      </c>
      <c r="X19" s="10"/>
      <c r="Y19" s="39" t="s">
        <v>65</v>
      </c>
      <c r="Z19" s="13" t="str">
        <f>Z18</f>
        <v>Nm³/Nm³</v>
      </c>
      <c r="AA19" s="43">
        <f ca="1">IF(AA10="","",IF(AA9="DIN1942",AA77,AA69))</f>
        <v>3.8300462229239884</v>
      </c>
      <c r="AB19" s="10"/>
      <c r="AC19" s="39" t="s">
        <v>65</v>
      </c>
      <c r="AD19" s="13" t="str">
        <f>AD18</f>
        <v>Nm³/kg</v>
      </c>
      <c r="AE19" s="43">
        <f ca="1">IF(AE10="","",IF(AE9="DIN1942",AE77,AE69))</f>
        <v>2.3676878816390419</v>
      </c>
      <c r="AF19" s="74"/>
      <c r="AG19" s="74"/>
      <c r="AH19" s="74"/>
      <c r="AI19" s="74"/>
      <c r="AJ19" s="74"/>
      <c r="AK19" s="74"/>
      <c r="AL19" s="18"/>
      <c r="AM19" s="8"/>
      <c r="AN19" s="8"/>
      <c r="AO19" s="8"/>
      <c r="AP19" s="8"/>
      <c r="AQ19" s="8"/>
      <c r="AR19" s="8"/>
      <c r="AS19" s="8"/>
      <c r="AT19" s="8"/>
      <c r="AU19" s="8"/>
    </row>
    <row r="20" spans="1:48" ht="15" x14ac:dyDescent="0.25">
      <c r="B20" s="137" t="str">
        <f>IF(Fuel1!B20="","",Fuel1!B20)</f>
        <v>Waterdamp</v>
      </c>
      <c r="C20" s="148" t="str">
        <f>IF(Fuel1!C20="","",Fuel1!C20)</f>
        <v>Water vapour</v>
      </c>
      <c r="D20" s="137" t="str">
        <f>IF($AH$7=1,IF(N20="","",N20),IF($AI$7=2,IF(R20="","",R20),IF(V20="","",V20)))</f>
        <v>Nm³/Nm³</v>
      </c>
      <c r="E20" s="148" t="str">
        <f t="shared" si="0"/>
        <v>Nm³/Nm³</v>
      </c>
      <c r="F20" s="148" t="str">
        <f>IF(Fuel1!F20="","",Fuel1!F20)</f>
        <v/>
      </c>
      <c r="G20" s="148" t="str">
        <f>IF(Fuel1!G20="","",Fuel1!G20)</f>
        <v/>
      </c>
      <c r="H20" s="172" t="str">
        <f>INDEX(B20:C20,'Combustion Emissions'!$J$54)</f>
        <v>Waterdamp</v>
      </c>
      <c r="I20" s="106" t="str">
        <f t="shared" ca="1" si="1"/>
        <v/>
      </c>
      <c r="J20" s="267" t="str">
        <f>INDEX(D20:E20,'Combustion Emissions'!$J$54)</f>
        <v>Nm³/Nm³</v>
      </c>
      <c r="K20" s="292"/>
      <c r="L20" s="179" t="str">
        <f>IF(INDEX(F20:G20,'Combustion Emissions'!$J$54)="","",INDEX(F20:G20,'Combustion Emissions'!$J$54))</f>
        <v/>
      </c>
      <c r="M20" s="30" t="s">
        <v>62</v>
      </c>
      <c r="N20" s="13" t="str">
        <f>N19</f>
        <v>Nm³/Nm³</v>
      </c>
      <c r="O20" s="43" t="str">
        <f ca="1">IF(O9="","",IF(O9="DIN1942",O74,O66))</f>
        <v/>
      </c>
      <c r="P20" s="10"/>
      <c r="Q20" s="44" t="s">
        <v>62</v>
      </c>
      <c r="R20" s="13" t="str">
        <f>R19</f>
        <v>Nm³/kg</v>
      </c>
      <c r="S20" s="43" t="str">
        <f>IF(S8="","",IF(S9="DIN1942",S74,S66))</f>
        <v/>
      </c>
      <c r="T20" s="10"/>
      <c r="U20" s="44" t="s">
        <v>62</v>
      </c>
      <c r="V20" s="13" t="str">
        <f>V19</f>
        <v>Nm³/kg</v>
      </c>
      <c r="W20" s="43" t="str">
        <f>IF(W8="","",IF(W9="DIN1942",W74,W66))</f>
        <v/>
      </c>
      <c r="X20" s="10"/>
      <c r="Y20" s="44" t="s">
        <v>62</v>
      </c>
      <c r="Z20" s="13" t="str">
        <f>Z19</f>
        <v>Nm³/Nm³</v>
      </c>
      <c r="AA20" s="43">
        <f ca="1">IF(AA9="","",IF(AA9="DIN1942",AA74,AA66))</f>
        <v>0.77476616892644334</v>
      </c>
      <c r="AB20" s="10"/>
      <c r="AC20" s="44" t="s">
        <v>62</v>
      </c>
      <c r="AD20" s="13" t="str">
        <f>AD19</f>
        <v>Nm³/kg</v>
      </c>
      <c r="AE20" s="43">
        <f ca="1">IF(AE8="","",IF(AE9="DIN1942",AE74,AE66))</f>
        <v>0.87938505481636253</v>
      </c>
      <c r="AF20" s="74"/>
      <c r="AG20" s="74"/>
      <c r="AH20" s="74"/>
      <c r="AI20" s="74"/>
      <c r="AJ20" s="74"/>
      <c r="AK20" s="74"/>
      <c r="AL20" s="18"/>
      <c r="AM20" s="8"/>
      <c r="AN20" s="8"/>
      <c r="AO20" s="8"/>
      <c r="AP20" s="8"/>
      <c r="AQ20" s="8"/>
      <c r="AR20" s="8"/>
      <c r="AS20" s="8"/>
      <c r="AT20" s="8"/>
      <c r="AU20" s="8"/>
    </row>
    <row r="21" spans="1:48" ht="15" x14ac:dyDescent="0.25">
      <c r="B21" s="137" t="str">
        <f>IF(Fuel1!B21="","",Fuel1!B21)</f>
        <v>Koolstofdioxide</v>
      </c>
      <c r="C21" s="148" t="str">
        <f>IF(Fuel1!C21="","",Fuel1!C21)</f>
        <v>Carbondioxide</v>
      </c>
      <c r="D21" s="137" t="str">
        <f>IF($AH$7=1,IF(N21="","",N21),IF($AI$7=2,IF(R21="","",R21),IF(V21="","",V21)))</f>
        <v>Nm³/Nm³</v>
      </c>
      <c r="E21" s="148" t="str">
        <f t="shared" si="0"/>
        <v>Nm³/Nm³</v>
      </c>
      <c r="F21" s="148" t="str">
        <f>IF(Fuel1!F21="","",Fuel1!F21)</f>
        <v/>
      </c>
      <c r="G21" s="148" t="str">
        <f>IF(Fuel1!G21="","",Fuel1!G21)</f>
        <v/>
      </c>
      <c r="H21" s="172" t="str">
        <f>INDEX(B21:C21,'Combustion Emissions'!$J$54)</f>
        <v>Koolstofdioxide</v>
      </c>
      <c r="I21" s="106" t="str">
        <f t="shared" ca="1" si="1"/>
        <v/>
      </c>
      <c r="J21" s="267" t="str">
        <f>INDEX(D21:E21,'Combustion Emissions'!$J$54)</f>
        <v>Nm³/Nm³</v>
      </c>
      <c r="K21" s="292"/>
      <c r="L21" s="179" t="str">
        <f>IF(INDEX(F21:G21,'Combustion Emissions'!$J$54)="","",INDEX(F21:G21,'Combustion Emissions'!$J$54))</f>
        <v/>
      </c>
      <c r="M21" s="30" t="s">
        <v>59</v>
      </c>
      <c r="N21" s="13" t="str">
        <f>N20</f>
        <v>Nm³/Nm³</v>
      </c>
      <c r="O21" s="43" t="str">
        <f ca="1">IF(O9="","",IF(O9="DIN1942",O73,O65))</f>
        <v/>
      </c>
      <c r="P21" s="10"/>
      <c r="Q21" s="44" t="s">
        <v>59</v>
      </c>
      <c r="R21" s="13" t="str">
        <f>R20</f>
        <v>Nm³/kg</v>
      </c>
      <c r="S21" s="43" t="str">
        <f>IF(S8="","",IF(S9="DIN1942",S73,S65))</f>
        <v/>
      </c>
      <c r="T21" s="10"/>
      <c r="U21" s="44" t="s">
        <v>59</v>
      </c>
      <c r="V21" s="13" t="str">
        <f>V20</f>
        <v>Nm³/kg</v>
      </c>
      <c r="W21" s="43" t="str">
        <f>IF(W8="","",IF(W9="DIN1942",W73,W65))</f>
        <v/>
      </c>
      <c r="X21" s="10"/>
      <c r="Y21" s="44" t="s">
        <v>59</v>
      </c>
      <c r="Z21" s="13" t="str">
        <f>Z20</f>
        <v>Nm³/Nm³</v>
      </c>
      <c r="AA21" s="43">
        <f ca="1">IF(AA9="","",IF(AA9="DIN1942",AA73,AA65))</f>
        <v>0.99608891248754849</v>
      </c>
      <c r="AB21" s="10"/>
      <c r="AC21" s="44" t="s">
        <v>59</v>
      </c>
      <c r="AD21" s="13" t="str">
        <f>AD20</f>
        <v>Nm³/kg</v>
      </c>
      <c r="AE21" s="43">
        <f ca="1">IF(AE8="","",IF(AE9="DIN1942",AE73,AE65))</f>
        <v>0.49341112646740481</v>
      </c>
      <c r="AF21" s="74"/>
      <c r="AG21" s="74"/>
      <c r="AH21" s="74"/>
      <c r="AI21" s="74"/>
      <c r="AJ21" s="74"/>
      <c r="AK21" s="74"/>
      <c r="AL21" s="18"/>
      <c r="AM21" s="8"/>
      <c r="AN21" s="8"/>
      <c r="AO21" s="8"/>
      <c r="AP21" s="8"/>
      <c r="AQ21" s="8"/>
      <c r="AR21" s="8"/>
      <c r="AS21" s="8"/>
      <c r="AT21" s="8"/>
      <c r="AU21" s="8"/>
    </row>
    <row r="22" spans="1:48" ht="15.75" thickBot="1" x14ac:dyDescent="0.3">
      <c r="B22" s="137" t="str">
        <f>IF(Fuel1!B22="","",Fuel1!B22)</f>
        <v>Zwaveldioxide</v>
      </c>
      <c r="C22" s="148" t="str">
        <f>IF(Fuel1!C22="","",Fuel1!C22)</f>
        <v>Sulphurdioxide</v>
      </c>
      <c r="D22" s="137" t="str">
        <f>IF($AH$7=1,IF(N22="","",N22),IF($AI$7=2,IF(R22="","",R22),IF(V22="","",V22)))</f>
        <v>Nm³/Nm³</v>
      </c>
      <c r="E22" s="148" t="str">
        <f>D22</f>
        <v>Nm³/Nm³</v>
      </c>
      <c r="F22" s="148" t="str">
        <f>IF(Fuel1!F22="","",Fuel1!F22)</f>
        <v/>
      </c>
      <c r="G22" s="148" t="str">
        <f>IF(Fuel1!G22="","",Fuel1!G22)</f>
        <v/>
      </c>
      <c r="H22" s="172" t="str">
        <f>INDEX(B22:C22,'Combustion Emissions'!$J$54)</f>
        <v>Zwaveldioxide</v>
      </c>
      <c r="I22" s="106" t="str">
        <f t="shared" ca="1" si="1"/>
        <v/>
      </c>
      <c r="J22" s="267" t="str">
        <f>INDEX(D22:E22,'Combustion Emissions'!$J$54)</f>
        <v>Nm³/Nm³</v>
      </c>
      <c r="K22" s="292"/>
      <c r="L22" s="179" t="str">
        <f>IF(INDEX(F22:G22,'Combustion Emissions'!$J$54)="","",INDEX(F22:G22,'Combustion Emissions'!$J$54))</f>
        <v/>
      </c>
      <c r="M22" s="163" t="s">
        <v>64</v>
      </c>
      <c r="N22" s="57" t="str">
        <f>N21</f>
        <v>Nm³/Nm³</v>
      </c>
      <c r="O22" s="76" t="str">
        <f ca="1">IF(O9="","",IF(O9="DIN1942",O76,O68))</f>
        <v/>
      </c>
      <c r="P22" s="10"/>
      <c r="Q22" s="61" t="s">
        <v>64</v>
      </c>
      <c r="R22" s="57" t="str">
        <f>R21</f>
        <v>Nm³/kg</v>
      </c>
      <c r="S22" s="76" t="str">
        <f>IF(S8="","",IF(S9="DIN1942",S76,S68))</f>
        <v/>
      </c>
      <c r="T22" s="10"/>
      <c r="U22" s="61" t="s">
        <v>64</v>
      </c>
      <c r="V22" s="57" t="str">
        <f>V21</f>
        <v>Nm³/kg</v>
      </c>
      <c r="W22" s="76" t="str">
        <f>IF(W8="","",IF(W9="DIN1942",W76,W68))</f>
        <v/>
      </c>
      <c r="X22" s="10"/>
      <c r="Y22" s="61" t="s">
        <v>64</v>
      </c>
      <c r="Z22" s="57" t="str">
        <f>Z21</f>
        <v>Nm³/Nm³</v>
      </c>
      <c r="AA22" s="76">
        <f ca="1">IF(AA9="","",IF(AA9="DIN1942",AA76,AA68))</f>
        <v>0</v>
      </c>
      <c r="AB22" s="10"/>
      <c r="AC22" s="61" t="s">
        <v>64</v>
      </c>
      <c r="AD22" s="57" t="str">
        <f>AD21</f>
        <v>Nm³/kg</v>
      </c>
      <c r="AE22" s="76">
        <f ca="1">IF(AE8="","",IF(AE9="DIN1942",AE76,AE68))</f>
        <v>0</v>
      </c>
      <c r="AF22" s="74"/>
      <c r="AG22" s="74"/>
      <c r="AH22" s="74"/>
      <c r="AI22" s="74"/>
      <c r="AJ22" s="74"/>
      <c r="AK22" s="74"/>
      <c r="AL22" s="18"/>
      <c r="AM22" s="8"/>
      <c r="AN22" s="8"/>
      <c r="AO22" s="8"/>
      <c r="AP22" s="8"/>
      <c r="AQ22" s="8"/>
      <c r="AR22" s="8"/>
      <c r="AS22" s="8"/>
      <c r="AT22" s="8"/>
      <c r="AU22" s="8"/>
    </row>
    <row r="23" spans="1:48" s="16" customFormat="1" ht="15" customHeight="1" thickBot="1" x14ac:dyDescent="0.3">
      <c r="A23" s="117"/>
      <c r="B23" s="137" t="str">
        <f>IF(Fuel1!B23="","",Fuel1!B23)</f>
        <v>Brandstof analyse</v>
      </c>
      <c r="C23" s="148" t="str">
        <f>IF(Fuel1!C23="","",Fuel1!C23)</f>
        <v>Analysis of the fuel</v>
      </c>
      <c r="D23" s="137" t="str">
        <f>IF(Fuel1!D23="","",Fuel1!D23)</f>
        <v/>
      </c>
      <c r="E23" s="148" t="str">
        <f>IF(Fuel1!E23="","",Fuel1!E23)</f>
        <v/>
      </c>
      <c r="F23" s="148" t="str">
        <f>IF(Fuel1!F23="","",Fuel1!F23)</f>
        <v/>
      </c>
      <c r="G23" s="148" t="str">
        <f>IF(Fuel1!G23="","",Fuel1!G23)</f>
        <v/>
      </c>
      <c r="H23" s="328" t="str">
        <f>INDEX(B23:C23,'Combustion Emissions'!$J$54)</f>
        <v>Brandstof analyse</v>
      </c>
      <c r="I23" s="329"/>
      <c r="J23" s="341" t="str">
        <f>IF(J6="","",J6)</f>
        <v/>
      </c>
      <c r="K23" s="342"/>
      <c r="L23" s="187"/>
      <c r="M23" s="307" t="str">
        <f>H23</f>
        <v>Brandstof analyse</v>
      </c>
      <c r="N23" s="307"/>
      <c r="O23" s="307"/>
      <c r="P23" s="30"/>
      <c r="Q23" s="307" t="str">
        <f>M23</f>
        <v>Brandstof analyse</v>
      </c>
      <c r="R23" s="307"/>
      <c r="S23" s="307"/>
      <c r="T23" s="30"/>
      <c r="U23" s="307" t="str">
        <f>Q23</f>
        <v>Brandstof analyse</v>
      </c>
      <c r="V23" s="307"/>
      <c r="W23" s="307"/>
      <c r="X23" s="30"/>
      <c r="Y23" s="307" t="str">
        <f>U23</f>
        <v>Brandstof analyse</v>
      </c>
      <c r="Z23" s="307"/>
      <c r="AA23" s="307"/>
      <c r="AB23" s="30"/>
      <c r="AC23" s="307" t="str">
        <f>Y23</f>
        <v>Brandstof analyse</v>
      </c>
      <c r="AD23" s="307"/>
      <c r="AE23" s="307"/>
      <c r="AF23" s="74"/>
      <c r="AG23" s="343" t="s">
        <v>269</v>
      </c>
      <c r="AH23" s="343"/>
      <c r="AI23" s="343"/>
      <c r="AJ23" s="154"/>
      <c r="AK23" s="154"/>
      <c r="AL23" s="154"/>
      <c r="AM23" s="154"/>
      <c r="AN23" s="154"/>
      <c r="AO23" s="154"/>
      <c r="AP23" s="154"/>
      <c r="AQ23" s="154"/>
      <c r="AR23" s="154"/>
      <c r="AS23" s="154"/>
      <c r="AT23" s="154"/>
      <c r="AU23" s="154"/>
      <c r="AV23" s="121"/>
    </row>
    <row r="24" spans="1:48" ht="18" customHeight="1" x14ac:dyDescent="0.25">
      <c r="B24" s="137" t="str">
        <f>IF(Fuel1!B24="","",Fuel1!B24)</f>
        <v/>
      </c>
      <c r="C24" s="148" t="str">
        <f>IF(Fuel1!C24="","",Fuel1!C24)</f>
        <v/>
      </c>
      <c r="D24" s="137" t="str">
        <f>IF(Fuel1!D24="","",Fuel1!D24)</f>
        <v/>
      </c>
      <c r="E24" s="148" t="str">
        <f>IF(Fuel1!E24="","",Fuel1!E24)</f>
        <v/>
      </c>
      <c r="F24" s="148" t="str">
        <f>IF(Fuel1!F24="","",Fuel1!F24)</f>
        <v>● Selecteer de eenheid van de analyseresultaten die u gaat invoeren.</v>
      </c>
      <c r="G24" s="148" t="str">
        <f>IF(Fuel1!G24="","",Fuel1!G24)</f>
        <v>● Select the units of the analysis data.</v>
      </c>
      <c r="H24" s="169" t="s">
        <v>169</v>
      </c>
      <c r="I24" s="133"/>
      <c r="J24" s="267"/>
      <c r="K24" s="284"/>
      <c r="L24" s="282" t="str">
        <f>IF(INDEX(F24:G24,'Combustion Emissions'!$J$54)="","",INDEX(F24:G24,'Combustion Emissions'!$J$54))</f>
        <v>● Selecteer de eenheid van de analyseresultaten die u gaat invoeren.</v>
      </c>
      <c r="M24" s="164" t="s">
        <v>137</v>
      </c>
      <c r="N24" s="78"/>
      <c r="O24" s="79" t="s">
        <v>138</v>
      </c>
      <c r="P24" s="10"/>
      <c r="Q24" s="77" t="s">
        <v>136</v>
      </c>
      <c r="R24" s="78"/>
      <c r="S24" s="79" t="s">
        <v>138</v>
      </c>
      <c r="T24" s="10"/>
      <c r="U24" s="77" t="s">
        <v>136</v>
      </c>
      <c r="V24" s="78"/>
      <c r="W24" s="79" t="s">
        <v>138</v>
      </c>
      <c r="X24" s="10"/>
      <c r="Y24" s="77" t="s">
        <v>137</v>
      </c>
      <c r="Z24" s="78"/>
      <c r="AA24" s="79" t="s">
        <v>138</v>
      </c>
      <c r="AB24" s="10"/>
      <c r="AC24" s="77" t="s">
        <v>136</v>
      </c>
      <c r="AD24" s="78"/>
      <c r="AE24" s="79" t="s">
        <v>138</v>
      </c>
      <c r="AF24" s="14"/>
      <c r="AG24" s="14"/>
      <c r="AH24" s="14"/>
      <c r="AI24" s="14"/>
      <c r="AJ24" s="14"/>
      <c r="AK24" s="14"/>
      <c r="AL24" s="13" t="s">
        <v>67</v>
      </c>
      <c r="AM24" s="13" t="s">
        <v>67</v>
      </c>
      <c r="AN24" s="8"/>
      <c r="AO24" s="13" t="s">
        <v>68</v>
      </c>
      <c r="AP24" s="13"/>
      <c r="AQ24" s="9" t="s">
        <v>69</v>
      </c>
      <c r="AR24" s="9" t="s">
        <v>70</v>
      </c>
      <c r="AS24" s="9" t="s">
        <v>71</v>
      </c>
      <c r="AT24" s="9" t="s">
        <v>72</v>
      </c>
      <c r="AU24" s="9" t="s">
        <v>73</v>
      </c>
    </row>
    <row r="25" spans="1:48" ht="15" customHeight="1" x14ac:dyDescent="0.25">
      <c r="B25" s="137" t="str">
        <f>IF(Fuel1!B25="","",Fuel1!B25)</f>
        <v/>
      </c>
      <c r="C25" s="148" t="str">
        <f>IF(Fuel1!C25="","",Fuel1!C25)</f>
        <v/>
      </c>
      <c r="D25" s="137" t="str">
        <f>IF($AH$7=1,IF(N25="","",N25),IF($AI$7=2,IF(R25="","",R25),IF(V25="","",V25)))</f>
        <v>mol%</v>
      </c>
      <c r="E25" s="148" t="str">
        <f>IF(D25="","",D25)</f>
        <v>mol%</v>
      </c>
      <c r="F25" s="138" t="str">
        <f>CONCATENATE("● Voer vanaf hier de analysegegevens in.",IF(AK7&lt;&gt;1,""," Als u geen analyseresultaten invoert, worden de verbrandingsparameters geschat op basis van de ingevoerde stookwaarde volgens DIN 1942."))</f>
        <v>● Voer vanaf hier de analysegegevens in. Als u geen analyseresultaten invoert, worden de verbrandingsparameters geschat op basis van de ingevoerde stookwaarde volgens DIN 1942.</v>
      </c>
      <c r="G25" s="149" t="str">
        <f>CONCATENATE("● Enter the analysis data from here..",IF(AK7&lt;&gt;1,"","If no analysis data are entered, the combustion parameters are estimated upon the entered lower heating valye according to DIN 1942."))</f>
        <v>● Enter the analysis data from here..If no analysis data are entered, the combustion parameters are estimated upon the entered lower heating valye according to DIN 1942.</v>
      </c>
      <c r="H25" s="171" t="str">
        <f>IF(INDEX(AG25:AK25,$AH$7)="","",INDEX(AG25:AK25,$AH$7))</f>
        <v>Helium</v>
      </c>
      <c r="I25" s="134"/>
      <c r="J25" s="269" t="str">
        <f>INDEX(D25:E25,'Combustion Emissions'!$J$54)</f>
        <v>mol%</v>
      </c>
      <c r="K25" s="285" t="str">
        <f>IF(Examples!E22="","",Examples!E22)</f>
        <v/>
      </c>
      <c r="L25" s="332" t="str">
        <f>IF(INDEX(F25:G25,'Combustion Emissions'!$J$54)="","",INDEX(F25:G25,'Combustion Emissions'!$J$54))</f>
        <v>● Voer vanaf hier de analysegegevens in. Als u geen analyseresultaten invoert, worden de verbrandingsparameters geschat op basis van de ingevoerde stookwaarde volgens DIN 1942.</v>
      </c>
      <c r="M25" s="16" t="str">
        <f>IF('Combustion Emissions'!$J$54=1,"Helium","Helium")</f>
        <v>Helium</v>
      </c>
      <c r="N25" s="13" t="s">
        <v>75</v>
      </c>
      <c r="O25" s="87">
        <f t="shared" ref="O25:O60" si="2">IF($AH$7&lt;&gt;1,"",IF($I25="",0,$I25))</f>
        <v>0</v>
      </c>
      <c r="P25" s="10"/>
      <c r="Q25" s="44" t="s">
        <v>66</v>
      </c>
      <c r="R25" s="14"/>
      <c r="S25" s="43" t="str">
        <f>IF($AH$7&lt;&gt;2,"",IF($I25="",0,$I25))</f>
        <v/>
      </c>
      <c r="T25" s="10"/>
      <c r="U25" s="44" t="s">
        <v>66</v>
      </c>
      <c r="V25" s="14"/>
      <c r="W25" s="95" t="str">
        <f>IF($AH$7&lt;&gt;4,"",IF($I25="",0,$I25))</f>
        <v/>
      </c>
      <c r="X25" s="10"/>
      <c r="Y25" s="39" t="s">
        <v>74</v>
      </c>
      <c r="Z25" s="13" t="s">
        <v>75</v>
      </c>
      <c r="AA25" s="87"/>
      <c r="AB25" s="10"/>
      <c r="AC25" s="44" t="s">
        <v>66</v>
      </c>
      <c r="AD25" s="14"/>
      <c r="AE25" s="95" t="str">
        <f>IF($AH$7&lt;&gt;4,"",IF($I25="",0,$I25))</f>
        <v/>
      </c>
      <c r="AF25" s="75"/>
      <c r="AG25" s="14" t="str">
        <f t="shared" ref="AG25:AG60" si="3">M25</f>
        <v>Helium</v>
      </c>
      <c r="AH25" s="14" t="str">
        <f>Q25</f>
        <v>mol C/kg</v>
      </c>
      <c r="AI25" s="14" t="str">
        <f>Q30</f>
        <v>C (gew%)</v>
      </c>
      <c r="AJ25" s="14" t="str">
        <f>U25</f>
        <v>mol C/kg</v>
      </c>
      <c r="AK25" s="14" t="str">
        <f t="shared" ref="AK25:AK30" si="4">U30</f>
        <v>C (gew%,droog)</v>
      </c>
      <c r="AL25" s="21">
        <f>AM25+AR25*22.008</f>
        <v>0</v>
      </c>
      <c r="AM25" s="21">
        <v>0</v>
      </c>
      <c r="AN25" s="21">
        <v>4.0026000000000002</v>
      </c>
      <c r="AO25" s="22">
        <v>22.424800000000001</v>
      </c>
      <c r="AP25" s="22">
        <v>-1.6E-2</v>
      </c>
      <c r="AQ25" s="8"/>
      <c r="AR25" s="8"/>
      <c r="AS25" s="8"/>
      <c r="AT25" s="8"/>
      <c r="AU25" s="8"/>
    </row>
    <row r="26" spans="1:48" ht="15" x14ac:dyDescent="0.25">
      <c r="B26" s="137" t="str">
        <f>IF(Fuel1!B26="","",Fuel1!B26)</f>
        <v/>
      </c>
      <c r="C26" s="148" t="str">
        <f>IF(Fuel1!C26="","",Fuel1!C26)</f>
        <v/>
      </c>
      <c r="D26" s="137" t="str">
        <f>IF($AH$7=1,IF(N26="","",N26),IF($AI$7=2,IF(R26="","",R26),IF(V26="","",V26)))</f>
        <v>mol%</v>
      </c>
      <c r="E26" s="148" t="str">
        <f t="shared" ref="E26:E61" si="5">IF(D26="","",D26)</f>
        <v>mol%</v>
      </c>
      <c r="F26" s="148" t="str">
        <f>IF(Fuel1!F26="","",Fuel1!F26)</f>
        <v/>
      </c>
      <c r="G26" s="148" t="str">
        <f>IF(Fuel1!G26="","",Fuel1!G26)</f>
        <v/>
      </c>
      <c r="H26" s="169" t="str">
        <f t="shared" ref="H26:H60" si="6">IF(INDEX(AG26:AK26,$AH$7)="","",INDEX(AG26:AK26,$AH$7))</f>
        <v>Argon</v>
      </c>
      <c r="I26" s="107"/>
      <c r="J26" s="267" t="str">
        <f>INDEX(D26:E26,'Combustion Emissions'!$J$54)</f>
        <v>mol%</v>
      </c>
      <c r="K26" s="286" t="str">
        <f>IF(Examples!E23="","",Examples!E23)</f>
        <v/>
      </c>
      <c r="L26" s="333"/>
      <c r="M26" s="16" t="str">
        <f>IF('Combustion Emissions'!$J$54=1,"Argon","Argon")</f>
        <v>Argon</v>
      </c>
      <c r="N26" s="13" t="s">
        <v>75</v>
      </c>
      <c r="O26" s="87">
        <f t="shared" si="2"/>
        <v>0</v>
      </c>
      <c r="P26" s="10"/>
      <c r="Q26" s="44" t="s">
        <v>76</v>
      </c>
      <c r="R26" s="14"/>
      <c r="S26" s="43" t="str">
        <f>IF($AH$7&lt;&gt;2,"",IF($I26="",0,$I26))</f>
        <v/>
      </c>
      <c r="T26" s="10"/>
      <c r="U26" s="44" t="s">
        <v>76</v>
      </c>
      <c r="V26" s="14"/>
      <c r="W26" s="95" t="str">
        <f>IF($AH$7&lt;&gt;4,"",IF($I26="",0,$I26))</f>
        <v/>
      </c>
      <c r="X26" s="10"/>
      <c r="Y26" s="39" t="s">
        <v>77</v>
      </c>
      <c r="Z26" s="13" t="s">
        <v>75</v>
      </c>
      <c r="AA26" s="87"/>
      <c r="AB26" s="10"/>
      <c r="AC26" s="44" t="s">
        <v>76</v>
      </c>
      <c r="AD26" s="14"/>
      <c r="AE26" s="95" t="str">
        <f>IF($AH$7&lt;&gt;4,"",IF($I26="",0,$I26))</f>
        <v/>
      </c>
      <c r="AF26" s="75"/>
      <c r="AG26" s="14" t="str">
        <f t="shared" si="3"/>
        <v>Argon</v>
      </c>
      <c r="AH26" s="14" t="str">
        <f>Q26</f>
        <v>mol H/kg</v>
      </c>
      <c r="AI26" s="14" t="str">
        <f>Q31</f>
        <v>H (gew%)</v>
      </c>
      <c r="AJ26" s="14" t="str">
        <f>U26</f>
        <v>mol H/kg</v>
      </c>
      <c r="AK26" s="14" t="str">
        <f t="shared" si="4"/>
        <v>H (gew%,droog)</v>
      </c>
      <c r="AL26" s="21">
        <f>AM26+AR26*22.008</f>
        <v>0</v>
      </c>
      <c r="AM26" s="21">
        <v>0</v>
      </c>
      <c r="AN26" s="21">
        <v>39.948</v>
      </c>
      <c r="AO26" s="22">
        <v>22.392499999999998</v>
      </c>
      <c r="AP26" s="22">
        <v>3.1600000000000003E-2</v>
      </c>
      <c r="AQ26" s="8"/>
      <c r="AR26" s="8"/>
      <c r="AS26" s="8"/>
      <c r="AT26" s="8"/>
      <c r="AU26" s="8"/>
    </row>
    <row r="27" spans="1:48" ht="15" x14ac:dyDescent="0.25">
      <c r="B27" s="137" t="str">
        <f>IF(Fuel1!B27="","",Fuel1!B27)</f>
        <v/>
      </c>
      <c r="C27" s="148" t="str">
        <f>IF(Fuel1!C27="","",Fuel1!C27)</f>
        <v/>
      </c>
      <c r="D27" s="137" t="str">
        <f t="shared" ref="D27:D35" si="7">IF($AH$7=1,IF(N27="","",N27),IF($AI$7=2,IF(R27="","",R27),IF(V27="","",V27)))</f>
        <v>mol%</v>
      </c>
      <c r="E27" s="148" t="str">
        <f t="shared" si="5"/>
        <v>mol%</v>
      </c>
      <c r="F27" s="148" t="str">
        <f>IF(Fuel1!F27="","",Fuel1!F27)</f>
        <v/>
      </c>
      <c r="G27" s="148" t="str">
        <f>IF(Fuel1!G27="","",Fuel1!G27)</f>
        <v/>
      </c>
      <c r="H27" s="170" t="str">
        <f t="shared" si="6"/>
        <v>Waterstofsulfide</v>
      </c>
      <c r="I27" s="135"/>
      <c r="J27" s="270" t="str">
        <f>INDEX(D27:E27,'Combustion Emissions'!$J$54)</f>
        <v>mol%</v>
      </c>
      <c r="K27" s="287" t="str">
        <f>IF(Examples!E24="","",Examples!E24)</f>
        <v/>
      </c>
      <c r="L27" s="334"/>
      <c r="M27" s="159" t="str">
        <f>IF('Combustion Emissions'!$J$54=1,"Waterstofsulfide","Hydrogensulphide")</f>
        <v>Waterstofsulfide</v>
      </c>
      <c r="N27" s="23" t="s">
        <v>75</v>
      </c>
      <c r="O27" s="88">
        <f t="shared" si="2"/>
        <v>0</v>
      </c>
      <c r="P27" s="10"/>
      <c r="Q27" s="44" t="s">
        <v>78</v>
      </c>
      <c r="R27" s="14"/>
      <c r="S27" s="43" t="str">
        <f>IF($AH$7&lt;&gt;2,"",IF($I27="",0,$I27))</f>
        <v/>
      </c>
      <c r="T27" s="10"/>
      <c r="U27" s="44" t="s">
        <v>78</v>
      </c>
      <c r="V27" s="14"/>
      <c r="W27" s="95" t="str">
        <f>IF($AH$7&lt;&gt;4,"",IF($I27="",0,$I27))</f>
        <v/>
      </c>
      <c r="X27" s="10"/>
      <c r="Y27" s="46" t="s">
        <v>147</v>
      </c>
      <c r="Z27" s="23" t="s">
        <v>75</v>
      </c>
      <c r="AA27" s="88"/>
      <c r="AB27" s="10"/>
      <c r="AC27" s="44" t="s">
        <v>78</v>
      </c>
      <c r="AD27" s="14"/>
      <c r="AE27" s="95" t="str">
        <f>IF($AH$7&lt;&gt;4,"",IF($I27="",0,$I27))</f>
        <v/>
      </c>
      <c r="AF27" s="75"/>
      <c r="AG27" s="14" t="str">
        <f t="shared" si="3"/>
        <v>Waterstofsulfide</v>
      </c>
      <c r="AH27" s="14" t="str">
        <f>Q27</f>
        <v>mol N/kg</v>
      </c>
      <c r="AI27" s="14" t="str">
        <f>Q32</f>
        <v>N (gew%)</v>
      </c>
      <c r="AJ27" s="14" t="str">
        <f>U27</f>
        <v>mol N/kg</v>
      </c>
      <c r="AK27" s="14" t="str">
        <f t="shared" si="4"/>
        <v>N (gew%,droog)</v>
      </c>
      <c r="AL27" s="21">
        <f>AM27+AR27*22.008</f>
        <v>562.71600000000001</v>
      </c>
      <c r="AM27" s="21">
        <v>518.70000000000005</v>
      </c>
      <c r="AN27" s="21">
        <v>34.075800000000001</v>
      </c>
      <c r="AO27" s="22">
        <v>22.188099999999999</v>
      </c>
      <c r="AP27" s="22">
        <v>0.1</v>
      </c>
      <c r="AQ27" s="8"/>
      <c r="AR27" s="8">
        <v>2</v>
      </c>
      <c r="AS27" s="8"/>
      <c r="AT27" s="8"/>
      <c r="AU27" s="8">
        <v>1</v>
      </c>
    </row>
    <row r="28" spans="1:48" ht="15" x14ac:dyDescent="0.25">
      <c r="B28" s="137" t="str">
        <f>IF(Fuel1!B28="","",Fuel1!B28)</f>
        <v/>
      </c>
      <c r="C28" s="148" t="str">
        <f>IF(Fuel1!C28="","",Fuel1!C28)</f>
        <v/>
      </c>
      <c r="D28" s="137" t="str">
        <f t="shared" si="7"/>
        <v>mol%</v>
      </c>
      <c r="E28" s="148" t="str">
        <f t="shared" si="5"/>
        <v>mol%</v>
      </c>
      <c r="F28" s="148" t="str">
        <f>IF(Fuel1!F28="","",Fuel1!F28)</f>
        <v/>
      </c>
      <c r="G28" s="148" t="str">
        <f>IF(Fuel1!G28="","",Fuel1!G28)</f>
        <v/>
      </c>
      <c r="H28" s="169" t="str">
        <f t="shared" si="6"/>
        <v>Waterstof</v>
      </c>
      <c r="I28" s="107"/>
      <c r="J28" s="267" t="str">
        <f>INDEX(D28:E28,'Combustion Emissions'!$J$54)</f>
        <v>mol%</v>
      </c>
      <c r="K28" s="286" t="str">
        <f>IF(Examples!E25="","",Examples!E25)</f>
        <v/>
      </c>
      <c r="L28" s="179" t="str">
        <f>IF(INDEX(F28:G28,'Combustion Emissions'!$J$54)="","",INDEX(F28:G28,'Combustion Emissions'!$J$54))</f>
        <v/>
      </c>
      <c r="M28" s="16" t="str">
        <f>IF('Combustion Emissions'!$J$54=1,"Waterstof","Hydrogen")</f>
        <v>Waterstof</v>
      </c>
      <c r="N28" s="13" t="s">
        <v>75</v>
      </c>
      <c r="O28" s="87">
        <f t="shared" si="2"/>
        <v>0</v>
      </c>
      <c r="P28" s="10"/>
      <c r="Q28" s="44" t="s">
        <v>79</v>
      </c>
      <c r="R28" s="14"/>
      <c r="S28" s="43" t="str">
        <f>IF($AH$7&lt;&gt;2,"",IF($I28="",0,$I28))</f>
        <v/>
      </c>
      <c r="T28" s="10"/>
      <c r="U28" s="44" t="s">
        <v>79</v>
      </c>
      <c r="V28" s="14"/>
      <c r="W28" s="95" t="str">
        <f>IF($AH$7&lt;&gt;4,"",IF($I28="",0,$I28))</f>
        <v/>
      </c>
      <c r="X28" s="10"/>
      <c r="Y28" s="39" t="s">
        <v>80</v>
      </c>
      <c r="Z28" s="13" t="s">
        <v>75</v>
      </c>
      <c r="AA28" s="87"/>
      <c r="AB28" s="10"/>
      <c r="AC28" s="44" t="s">
        <v>79</v>
      </c>
      <c r="AD28" s="14"/>
      <c r="AE28" s="95" t="str">
        <f>IF($AH$7&lt;&gt;4,"",IF($I28="",0,$I28))</f>
        <v/>
      </c>
      <c r="AF28" s="75"/>
      <c r="AG28" s="14" t="str">
        <f t="shared" si="3"/>
        <v>Waterstof</v>
      </c>
      <c r="AH28" s="14" t="str">
        <f>Q28</f>
        <v>mol S/kg</v>
      </c>
      <c r="AI28" s="14" t="str">
        <f>Q33</f>
        <v>S (gew%)</v>
      </c>
      <c r="AJ28" s="14" t="str">
        <f>U28</f>
        <v>mol S/kg</v>
      </c>
      <c r="AK28" s="14" t="str">
        <f t="shared" si="4"/>
        <v>S (gew%,droog)</v>
      </c>
      <c r="AL28" s="21">
        <f>AM28+AR28*22.008</f>
        <v>285.84300000000002</v>
      </c>
      <c r="AM28" s="21">
        <v>241.827</v>
      </c>
      <c r="AN28" s="21">
        <v>2.0158</v>
      </c>
      <c r="AO28" s="22">
        <v>22.435400000000001</v>
      </c>
      <c r="AP28" s="22">
        <v>0</v>
      </c>
      <c r="AQ28" s="8"/>
      <c r="AR28" s="8">
        <v>2</v>
      </c>
      <c r="AS28" s="8"/>
      <c r="AT28" s="8"/>
      <c r="AU28" s="8"/>
    </row>
    <row r="29" spans="1:48" ht="15" x14ac:dyDescent="0.25">
      <c r="B29" s="137" t="str">
        <f>IF(Fuel1!B29="","",Fuel1!B29)</f>
        <v/>
      </c>
      <c r="C29" s="148" t="str">
        <f>IF(Fuel1!C29="","",Fuel1!C29)</f>
        <v/>
      </c>
      <c r="D29" s="137" t="str">
        <f t="shared" si="7"/>
        <v>mol%</v>
      </c>
      <c r="E29" s="148" t="str">
        <f t="shared" si="5"/>
        <v>mol%</v>
      </c>
      <c r="F29" s="148" t="str">
        <f>IF(Fuel1!F29="","",Fuel1!F29)</f>
        <v/>
      </c>
      <c r="G29" s="148" t="str">
        <f>IF(Fuel1!G29="","",Fuel1!G29)</f>
        <v/>
      </c>
      <c r="H29" s="169" t="str">
        <f t="shared" si="6"/>
        <v>Waterdamp</v>
      </c>
      <c r="I29" s="107"/>
      <c r="J29" s="267" t="str">
        <f>INDEX(D29:E29,'Combustion Emissions'!$J$54)</f>
        <v>mol%</v>
      </c>
      <c r="K29" s="286" t="str">
        <f>IF(Examples!E26="","",Examples!E26)</f>
        <v/>
      </c>
      <c r="L29" s="179" t="str">
        <f>IF(INDEX(F29:G29,'Combustion Emissions'!$J$54)="","",INDEX(F29:G29,'Combustion Emissions'!$J$54))</f>
        <v/>
      </c>
      <c r="M29" s="16" t="str">
        <f>IF('Combustion Emissions'!$J$54=1,"Waterdamp","Water (vapour)")</f>
        <v>Waterdamp</v>
      </c>
      <c r="N29" s="13" t="s">
        <v>75</v>
      </c>
      <c r="O29" s="87">
        <f t="shared" si="2"/>
        <v>0</v>
      </c>
      <c r="P29" s="10"/>
      <c r="Q29" s="60" t="s">
        <v>81</v>
      </c>
      <c r="R29" s="20"/>
      <c r="S29" s="92" t="str">
        <f>IF($AH$7&lt;&gt;2,"",IF($I29="",0,$I29))</f>
        <v/>
      </c>
      <c r="T29" s="10"/>
      <c r="U29" s="60" t="s">
        <v>81</v>
      </c>
      <c r="V29" s="20"/>
      <c r="W29" s="96" t="str">
        <f>IF($AH$7&lt;&gt;4,"",IF($I29="",0,$I29))</f>
        <v/>
      </c>
      <c r="X29" s="10"/>
      <c r="Y29" s="39" t="s">
        <v>62</v>
      </c>
      <c r="Z29" s="13" t="s">
        <v>75</v>
      </c>
      <c r="AA29" s="87"/>
      <c r="AB29" s="10"/>
      <c r="AC29" s="60" t="s">
        <v>81</v>
      </c>
      <c r="AD29" s="20"/>
      <c r="AE29" s="96" t="str">
        <f>IF($AH$7&lt;&gt;4,"",IF($I29="",0,$I29))</f>
        <v/>
      </c>
      <c r="AF29" s="75"/>
      <c r="AG29" s="14" t="str">
        <f t="shared" si="3"/>
        <v>Waterdamp</v>
      </c>
      <c r="AH29" s="14" t="str">
        <f>Q29</f>
        <v>mol O/kg</v>
      </c>
      <c r="AI29" s="14" t="str">
        <f>Q34</f>
        <v>As (gew%)</v>
      </c>
      <c r="AJ29" s="14" t="str">
        <f>U29</f>
        <v>mol O/kg</v>
      </c>
      <c r="AK29" s="14" t="str">
        <f t="shared" si="4"/>
        <v>O (gew% droog)</v>
      </c>
      <c r="AL29" s="21">
        <v>0</v>
      </c>
      <c r="AM29" s="21">
        <v>0</v>
      </c>
      <c r="AN29" s="21">
        <v>18.0152</v>
      </c>
      <c r="AO29" s="22">
        <v>21.629000000000001</v>
      </c>
      <c r="AP29" s="22">
        <v>0.17899999999999999</v>
      </c>
      <c r="AQ29" s="8"/>
      <c r="AR29" s="8">
        <v>2</v>
      </c>
      <c r="AS29" s="8">
        <v>1</v>
      </c>
      <c r="AT29" s="8"/>
      <c r="AU29" s="8"/>
    </row>
    <row r="30" spans="1:48" ht="15" x14ac:dyDescent="0.25">
      <c r="B30" s="137" t="str">
        <f>IF(Fuel1!B30="","",Fuel1!B30)</f>
        <v/>
      </c>
      <c r="C30" s="148" t="str">
        <f>IF(Fuel1!C30="","",Fuel1!C30)</f>
        <v/>
      </c>
      <c r="D30" s="137" t="str">
        <f t="shared" si="7"/>
        <v>mol%</v>
      </c>
      <c r="E30" s="148" t="str">
        <f t="shared" si="5"/>
        <v>mol%</v>
      </c>
      <c r="F30" s="148" t="str">
        <f>IF(Fuel1!F30="","",Fuel1!F30)</f>
        <v/>
      </c>
      <c r="G30" s="148" t="str">
        <f>IF(Fuel1!G30="","",Fuel1!G30)</f>
        <v/>
      </c>
      <c r="H30" s="169" t="str">
        <f t="shared" si="6"/>
        <v>Stikstof</v>
      </c>
      <c r="I30" s="107"/>
      <c r="J30" s="267" t="str">
        <f>INDEX(D30:E30,'Combustion Emissions'!$J$54)</f>
        <v>mol%</v>
      </c>
      <c r="K30" s="287" t="str">
        <f>IF(Examples!E27="","",Examples!E27)</f>
        <v/>
      </c>
      <c r="L30" s="281" t="str">
        <f>IF(INDEX(F30:G30,'Combustion Emissions'!$J$54)="","",INDEX(F30:G30,'Combustion Emissions'!$J$54))</f>
        <v/>
      </c>
      <c r="M30" s="159" t="str">
        <f>IF('Combustion Emissions'!$J$54=1,"Stikstof","Nitrogen")</f>
        <v>Stikstof</v>
      </c>
      <c r="N30" s="23" t="s">
        <v>75</v>
      </c>
      <c r="O30" s="88">
        <f t="shared" si="2"/>
        <v>0</v>
      </c>
      <c r="P30" s="10"/>
      <c r="Q30" s="44" t="str">
        <f>IF('Combustion Emissions'!$J$54=1,"C (gew%)","C (weight%)")</f>
        <v>C (gew%)</v>
      </c>
      <c r="R30" s="14"/>
      <c r="S30" s="68" t="str">
        <f>IF($AH$7&lt;&gt;3,"",IF($I25="",0,$I25/100))</f>
        <v/>
      </c>
      <c r="T30" s="10"/>
      <c r="U30" s="44" t="str">
        <f>IF('Combustion Emissions'!$J$54=1,"C (gew%,droog)","C (weight%, dry)")</f>
        <v>C (gew%,droog)</v>
      </c>
      <c r="V30" s="14"/>
      <c r="W30" s="68" t="str">
        <f t="shared" ref="W30:W35" si="8">IF($AH$7&lt;&gt;5,"",IF($I25="",0,$I25/100))</f>
        <v/>
      </c>
      <c r="X30" s="10"/>
      <c r="Y30" s="46" t="s">
        <v>84</v>
      </c>
      <c r="Z30" s="23" t="s">
        <v>75</v>
      </c>
      <c r="AA30" s="88"/>
      <c r="AB30" s="10"/>
      <c r="AC30" s="44" t="s">
        <v>83</v>
      </c>
      <c r="AD30" s="14"/>
      <c r="AE30" s="68">
        <f>Fuel1!AE30</f>
        <v>0.44400000000000001</v>
      </c>
      <c r="AF30" s="85"/>
      <c r="AG30" s="14" t="str">
        <f t="shared" si="3"/>
        <v>Stikstof</v>
      </c>
      <c r="AH30" s="14"/>
      <c r="AI30" s="14"/>
      <c r="AJ30" s="14"/>
      <c r="AK30" s="14" t="str">
        <f t="shared" si="4"/>
        <v>Vochtgehalte</v>
      </c>
      <c r="AL30" s="21">
        <f t="shared" ref="AL30:AL60" si="9">AM30+AR30*22.008</f>
        <v>0</v>
      </c>
      <c r="AM30" s="21">
        <v>0</v>
      </c>
      <c r="AN30" s="21">
        <v>28.013400000000001</v>
      </c>
      <c r="AO30" s="22">
        <v>22.403700000000001</v>
      </c>
      <c r="AP30" s="22">
        <v>2.24E-2</v>
      </c>
      <c r="AQ30" s="8"/>
      <c r="AR30" s="8"/>
      <c r="AS30" s="8"/>
      <c r="AT30" s="8">
        <v>2</v>
      </c>
      <c r="AU30" s="8"/>
    </row>
    <row r="31" spans="1:48" ht="15" x14ac:dyDescent="0.25">
      <c r="B31" s="137" t="str">
        <f>IF(Fuel1!B31="","",Fuel1!B31)</f>
        <v/>
      </c>
      <c r="C31" s="148" t="str">
        <f>IF(Fuel1!C31="","",Fuel1!C31)</f>
        <v/>
      </c>
      <c r="D31" s="137" t="str">
        <f t="shared" si="7"/>
        <v>mol%</v>
      </c>
      <c r="E31" s="148" t="str">
        <f t="shared" si="5"/>
        <v>mol%</v>
      </c>
      <c r="F31" s="148" t="str">
        <f>IF(Fuel1!F31="","",Fuel1!F31)</f>
        <v/>
      </c>
      <c r="G31" s="148" t="str">
        <f>IF(Fuel1!G31="","",Fuel1!G31)</f>
        <v/>
      </c>
      <c r="H31" s="171" t="str">
        <f t="shared" si="6"/>
        <v>Zuurstof</v>
      </c>
      <c r="I31" s="134"/>
      <c r="J31" s="269" t="str">
        <f>INDEX(D31:E31,'Combustion Emissions'!$J$54)</f>
        <v>mol%</v>
      </c>
      <c r="K31" s="286" t="str">
        <f>IF(Examples!E28="","",Examples!E28)</f>
        <v/>
      </c>
      <c r="L31" s="179" t="str">
        <f>IF(INDEX(F31:G31,'Combustion Emissions'!$J$54)="","",INDEX(F31:G31,'Combustion Emissions'!$J$54))</f>
        <v/>
      </c>
      <c r="M31" s="16" t="str">
        <f>IF('Combustion Emissions'!$J$54=1,"Zuurstof","Oxygen")</f>
        <v>Zuurstof</v>
      </c>
      <c r="N31" s="13" t="s">
        <v>75</v>
      </c>
      <c r="O31" s="87">
        <f t="shared" si="2"/>
        <v>0</v>
      </c>
      <c r="P31" s="10"/>
      <c r="Q31" s="44" t="str">
        <f>IF('Combustion Emissions'!$J$54=1,"H (gew%)","H (weight%)")</f>
        <v>H (gew%)</v>
      </c>
      <c r="R31" s="14"/>
      <c r="S31" s="68" t="str">
        <f>IF($AH$7&lt;&gt;3,"",IF($I26="",0,$I26/100))</f>
        <v/>
      </c>
      <c r="T31" s="10"/>
      <c r="U31" s="44" t="str">
        <f>IF('Combustion Emissions'!$J$54=1,"H (gew%,droog)","H (weight%, dry)")</f>
        <v>H (gew%,droog)</v>
      </c>
      <c r="V31" s="14"/>
      <c r="W31" s="68" t="str">
        <f t="shared" si="8"/>
        <v/>
      </c>
      <c r="X31" s="10"/>
      <c r="Y31" s="39" t="s">
        <v>87</v>
      </c>
      <c r="Z31" s="13" t="s">
        <v>75</v>
      </c>
      <c r="AA31" s="87"/>
      <c r="AB31" s="10"/>
      <c r="AC31" s="44" t="s">
        <v>86</v>
      </c>
      <c r="AD31" s="14"/>
      <c r="AE31" s="68">
        <f>Fuel1!AE31</f>
        <v>6.2E-2</v>
      </c>
      <c r="AF31" s="85"/>
      <c r="AG31" s="14" t="str">
        <f t="shared" si="3"/>
        <v>Zuurstof</v>
      </c>
      <c r="AH31" s="14"/>
      <c r="AI31" s="14"/>
      <c r="AJ31" s="14"/>
      <c r="AK31" s="14"/>
      <c r="AL31" s="21">
        <f t="shared" si="9"/>
        <v>0</v>
      </c>
      <c r="AM31" s="21">
        <v>0</v>
      </c>
      <c r="AN31" s="21">
        <v>31.998799999999999</v>
      </c>
      <c r="AO31" s="22">
        <v>22.3919</v>
      </c>
      <c r="AP31" s="22">
        <v>3.1600000000000003E-2</v>
      </c>
      <c r="AQ31" s="8"/>
      <c r="AR31" s="8"/>
      <c r="AS31" s="8">
        <v>2</v>
      </c>
      <c r="AT31" s="8"/>
      <c r="AU31" s="8"/>
    </row>
    <row r="32" spans="1:48" ht="15" x14ac:dyDescent="0.25">
      <c r="B32" s="137" t="str">
        <f>IF(Fuel1!B32="","",Fuel1!B32)</f>
        <v/>
      </c>
      <c r="C32" s="148" t="str">
        <f>IF(Fuel1!C32="","",Fuel1!C32)</f>
        <v/>
      </c>
      <c r="D32" s="137" t="str">
        <f t="shared" si="7"/>
        <v>mol%</v>
      </c>
      <c r="E32" s="148" t="str">
        <f t="shared" si="5"/>
        <v>mol%</v>
      </c>
      <c r="F32" s="148" t="str">
        <f>IF(Fuel1!F32="","",Fuel1!F32)</f>
        <v/>
      </c>
      <c r="G32" s="148" t="str">
        <f>IF(Fuel1!G32="","",Fuel1!G32)</f>
        <v/>
      </c>
      <c r="H32" s="169" t="str">
        <f t="shared" si="6"/>
        <v>Methaan</v>
      </c>
      <c r="I32" s="107"/>
      <c r="J32" s="267" t="str">
        <f>INDEX(D32:E32,'Combustion Emissions'!$J$54)</f>
        <v>mol%</v>
      </c>
      <c r="K32" s="286" t="str">
        <f>IF(Examples!E29="","",Examples!E29)</f>
        <v/>
      </c>
      <c r="L32" s="179" t="str">
        <f>IF(INDEX(F32:G32,'Combustion Emissions'!$J$54)="","",INDEX(F32:G32,'Combustion Emissions'!$J$54))</f>
        <v/>
      </c>
      <c r="M32" s="16" t="str">
        <f>IF('Combustion Emissions'!$J$54=1,"Methaan","Methane")</f>
        <v>Methaan</v>
      </c>
      <c r="N32" s="13" t="s">
        <v>75</v>
      </c>
      <c r="O32" s="87">
        <f t="shared" si="2"/>
        <v>0</v>
      </c>
      <c r="P32" s="10"/>
      <c r="Q32" s="44" t="str">
        <f>IF('Combustion Emissions'!$J$54=1,"N (gew%)","N (weight%)")</f>
        <v>N (gew%)</v>
      </c>
      <c r="R32" s="14"/>
      <c r="S32" s="68" t="str">
        <f>IF($AH$7&lt;&gt;3,"",IF($I27="",0,$I27/100))</f>
        <v/>
      </c>
      <c r="T32" s="10"/>
      <c r="U32" s="44" t="str">
        <f>IF('Combustion Emissions'!$J$54=1,"N (gew%,droog)","N (weight%, dry)")</f>
        <v>N (gew%,droog)</v>
      </c>
      <c r="V32" s="14"/>
      <c r="W32" s="68" t="str">
        <f t="shared" si="8"/>
        <v/>
      </c>
      <c r="X32" s="10"/>
      <c r="Y32" s="39" t="s">
        <v>90</v>
      </c>
      <c r="Z32" s="13" t="s">
        <v>75</v>
      </c>
      <c r="AA32" s="114">
        <f>'Combustion Emissions'!N15</f>
        <v>40</v>
      </c>
      <c r="AB32" s="10"/>
      <c r="AC32" s="44" t="s">
        <v>89</v>
      </c>
      <c r="AD32" s="14"/>
      <c r="AE32" s="68"/>
      <c r="AF32" s="85"/>
      <c r="AG32" s="14" t="str">
        <f t="shared" si="3"/>
        <v>Methaan</v>
      </c>
      <c r="AH32" s="14"/>
      <c r="AI32" s="14"/>
      <c r="AJ32" s="14"/>
      <c r="AK32" s="14"/>
      <c r="AL32" s="21">
        <f t="shared" si="9"/>
        <v>890.35200000000009</v>
      </c>
      <c r="AM32" s="21">
        <v>802.32</v>
      </c>
      <c r="AN32" s="21">
        <f t="shared" ref="AN32:AN60" si="10">12.011*AQ32+1.0079*AR32+15.9994*AS32+14.0067*AT32+32.06*AU32</f>
        <v>16.0426</v>
      </c>
      <c r="AO32" s="22">
        <v>22.36</v>
      </c>
      <c r="AP32" s="22">
        <v>4.9000000000000002E-2</v>
      </c>
      <c r="AQ32" s="8">
        <v>1</v>
      </c>
      <c r="AR32" s="8">
        <v>4</v>
      </c>
      <c r="AS32" s="8"/>
      <c r="AT32" s="8"/>
      <c r="AU32" s="8"/>
    </row>
    <row r="33" spans="2:47" ht="15" x14ac:dyDescent="0.25">
      <c r="B33" s="137" t="str">
        <f>IF(Fuel1!B33="","",Fuel1!B33)</f>
        <v/>
      </c>
      <c r="C33" s="148" t="str">
        <f>IF(Fuel1!C33="","",Fuel1!C33)</f>
        <v/>
      </c>
      <c r="D33" s="137" t="str">
        <f t="shared" si="7"/>
        <v>mol%</v>
      </c>
      <c r="E33" s="148" t="str">
        <f t="shared" si="5"/>
        <v>mol%</v>
      </c>
      <c r="F33" s="148" t="str">
        <f>IF(Fuel1!F33="","",Fuel1!F33)</f>
        <v/>
      </c>
      <c r="G33" s="148" t="str">
        <f>IF(Fuel1!G33="","",Fuel1!G33)</f>
        <v/>
      </c>
      <c r="H33" s="170" t="str">
        <f t="shared" si="6"/>
        <v>Koolstofmonoxide</v>
      </c>
      <c r="I33" s="135"/>
      <c r="J33" s="270" t="str">
        <f>INDEX(D33:E33,'Combustion Emissions'!$J$54)</f>
        <v>mol%</v>
      </c>
      <c r="K33" s="287" t="str">
        <f>IF(Examples!E30="","",Examples!E30)</f>
        <v/>
      </c>
      <c r="L33" s="281" t="str">
        <f>IF(INDEX(F33:G33,'Combustion Emissions'!$J$54)="","",INDEX(F33:G33,'Combustion Emissions'!$J$54))</f>
        <v/>
      </c>
      <c r="M33" s="159" t="str">
        <f>IF('Combustion Emissions'!$J$54=1,"Koolstofmonoxide","Carbonmonoxide")</f>
        <v>Koolstofmonoxide</v>
      </c>
      <c r="N33" s="23" t="s">
        <v>75</v>
      </c>
      <c r="O33" s="88">
        <f t="shared" si="2"/>
        <v>0</v>
      </c>
      <c r="P33" s="10"/>
      <c r="Q33" s="44" t="str">
        <f>IF('Combustion Emissions'!$J$54=1,"S (gew%)","S (weight%)")</f>
        <v>S (gew%)</v>
      </c>
      <c r="R33" s="14"/>
      <c r="S33" s="68" t="str">
        <f>IF($AH$7&lt;&gt;3,"",IF($I28="",0,$I28/100))</f>
        <v/>
      </c>
      <c r="T33" s="10"/>
      <c r="U33" s="44" t="str">
        <f>IF('Combustion Emissions'!$J$54=1,"S (gew%,droog)","S (weight%, dry)")</f>
        <v>S (gew%,droog)</v>
      </c>
      <c r="V33" s="14"/>
      <c r="W33" s="68" t="str">
        <f t="shared" si="8"/>
        <v/>
      </c>
      <c r="X33" s="10"/>
      <c r="Y33" s="46" t="s">
        <v>93</v>
      </c>
      <c r="Z33" s="23" t="s">
        <v>75</v>
      </c>
      <c r="AA33" s="88"/>
      <c r="AB33" s="10"/>
      <c r="AC33" s="44" t="s">
        <v>92</v>
      </c>
      <c r="AD33" s="14"/>
      <c r="AE33" s="68"/>
      <c r="AF33" s="85"/>
      <c r="AG33" s="14" t="str">
        <f t="shared" si="3"/>
        <v>Koolstofmonoxide</v>
      </c>
      <c r="AH33" s="14"/>
      <c r="AI33" s="14"/>
      <c r="AJ33" s="14"/>
      <c r="AK33" s="14"/>
      <c r="AL33" s="21">
        <f t="shared" si="9"/>
        <v>282.98899999999998</v>
      </c>
      <c r="AM33" s="21">
        <v>282.98899999999998</v>
      </c>
      <c r="AN33" s="21">
        <f t="shared" si="10"/>
        <v>28.010399999999997</v>
      </c>
      <c r="AO33" s="22">
        <v>22.399100000000001</v>
      </c>
      <c r="AP33" s="22">
        <v>2.6499999999999999E-2</v>
      </c>
      <c r="AQ33" s="8">
        <v>1</v>
      </c>
      <c r="AR33" s="8"/>
      <c r="AS33" s="8">
        <v>1</v>
      </c>
      <c r="AT33" s="8"/>
      <c r="AU33" s="8"/>
    </row>
    <row r="34" spans="2:47" ht="15" x14ac:dyDescent="0.25">
      <c r="B34" s="137" t="str">
        <f>IF(Fuel1!B34="","",Fuel1!B34)</f>
        <v/>
      </c>
      <c r="C34" s="148" t="str">
        <f>IF(Fuel1!C34="","",Fuel1!C34)</f>
        <v/>
      </c>
      <c r="D34" s="137" t="str">
        <f t="shared" si="7"/>
        <v>mol%</v>
      </c>
      <c r="E34" s="148" t="str">
        <f t="shared" si="5"/>
        <v>mol%</v>
      </c>
      <c r="F34" s="148" t="str">
        <f>IF(Fuel1!F34="","",Fuel1!F34)</f>
        <v/>
      </c>
      <c r="G34" s="148" t="str">
        <f>IF(Fuel1!G34="","",Fuel1!G34)</f>
        <v/>
      </c>
      <c r="H34" s="169" t="str">
        <f t="shared" si="6"/>
        <v>Koolstofdioxide</v>
      </c>
      <c r="I34" s="107"/>
      <c r="J34" s="267" t="str">
        <f>INDEX(D34:E34,'Combustion Emissions'!$J$54)</f>
        <v>mol%</v>
      </c>
      <c r="K34" s="286" t="str">
        <f>IF(Examples!E31="","",Examples!E31)</f>
        <v/>
      </c>
      <c r="L34" s="179" t="str">
        <f>IF(INDEX(F34:G34,'Combustion Emissions'!$J$54)="","",INDEX(F34:G34,'Combustion Emissions'!$J$54))</f>
        <v/>
      </c>
      <c r="M34" s="16" t="str">
        <f>IF('Combustion Emissions'!$J$54=1,"Koolstofdioxide","Carbondioxide")</f>
        <v>Koolstofdioxide</v>
      </c>
      <c r="N34" s="13" t="s">
        <v>75</v>
      </c>
      <c r="O34" s="87">
        <f t="shared" si="2"/>
        <v>0</v>
      </c>
      <c r="P34" s="10"/>
      <c r="Q34" s="60" t="str">
        <f>IF('Combustion Emissions'!$J$54=1,"As (gew%)","Ash (weight%)")</f>
        <v>As (gew%)</v>
      </c>
      <c r="R34" s="20"/>
      <c r="S34" s="93" t="str">
        <f>IF($AH$7&lt;&gt;3,"",IF($I29="",0,$I29/100))</f>
        <v/>
      </c>
      <c r="T34" s="10"/>
      <c r="U34" s="44" t="str">
        <f>IF('Combustion Emissions'!$J$54=1,"O (gew% droog)","O (weight%, dry)")</f>
        <v>O (gew% droog)</v>
      </c>
      <c r="V34" s="14"/>
      <c r="W34" s="68" t="str">
        <f t="shared" si="8"/>
        <v/>
      </c>
      <c r="X34" s="10"/>
      <c r="Y34" s="39" t="s">
        <v>59</v>
      </c>
      <c r="Z34" s="13" t="s">
        <v>75</v>
      </c>
      <c r="AA34" s="87">
        <f>100-AA32</f>
        <v>60</v>
      </c>
      <c r="AB34" s="10"/>
      <c r="AC34" s="44" t="s">
        <v>95</v>
      </c>
      <c r="AD34" s="14"/>
      <c r="AE34" s="68">
        <f>Fuel1!AE34</f>
        <v>0.49399999999999999</v>
      </c>
      <c r="AF34" s="85"/>
      <c r="AG34" s="14" t="str">
        <f t="shared" si="3"/>
        <v>Koolstofdioxide</v>
      </c>
      <c r="AH34" s="14"/>
      <c r="AI34" s="14"/>
      <c r="AJ34" s="14"/>
      <c r="AK34" s="14"/>
      <c r="AL34" s="21">
        <f t="shared" si="9"/>
        <v>0</v>
      </c>
      <c r="AM34" s="21">
        <v>0</v>
      </c>
      <c r="AN34" s="21">
        <f t="shared" si="10"/>
        <v>44.009799999999998</v>
      </c>
      <c r="AO34" s="22">
        <v>22.246099999999998</v>
      </c>
      <c r="AP34" s="22">
        <v>6.7000000000000004E-2</v>
      </c>
      <c r="AQ34" s="8">
        <v>1</v>
      </c>
      <c r="AR34" s="8"/>
      <c r="AS34" s="8">
        <v>2</v>
      </c>
      <c r="AT34" s="8"/>
      <c r="AU34" s="8"/>
    </row>
    <row r="35" spans="2:47" ht="15" x14ac:dyDescent="0.25">
      <c r="B35" s="137" t="str">
        <f>IF(Fuel1!B35="","",Fuel1!B35)</f>
        <v/>
      </c>
      <c r="C35" s="148" t="str">
        <f>IF(Fuel1!C35="","",Fuel1!C35)</f>
        <v/>
      </c>
      <c r="D35" s="137" t="str">
        <f t="shared" si="7"/>
        <v>mol%</v>
      </c>
      <c r="E35" s="148" t="str">
        <f t="shared" si="5"/>
        <v>mol%</v>
      </c>
      <c r="F35" s="148" t="str">
        <f>IF(Fuel1!F35="","",Fuel1!F35)</f>
        <v/>
      </c>
      <c r="G35" s="148" t="str">
        <f>IF(Fuel1!G35="","",Fuel1!G35)</f>
        <v/>
      </c>
      <c r="H35" s="169" t="str">
        <f t="shared" si="6"/>
        <v>Ethaan</v>
      </c>
      <c r="I35" s="107"/>
      <c r="J35" s="267" t="str">
        <f>INDEX(D35:E35,'Combustion Emissions'!$J$54)</f>
        <v>mol%</v>
      </c>
      <c r="K35" s="286" t="str">
        <f>IF(Examples!E32="","",Examples!E32)</f>
        <v/>
      </c>
      <c r="L35" s="179" t="str">
        <f>IF(INDEX(F35:G35,'Combustion Emissions'!$J$54)="","",INDEX(F35:G35,'Combustion Emissions'!$J$54))</f>
        <v/>
      </c>
      <c r="M35" s="16" t="str">
        <f>IF('Combustion Emissions'!$J$54=1,"Ethaan","Ethane")</f>
        <v>Ethaan</v>
      </c>
      <c r="N35" s="13" t="s">
        <v>75</v>
      </c>
      <c r="O35" s="87">
        <f t="shared" si="2"/>
        <v>0</v>
      </c>
      <c r="P35" s="10"/>
      <c r="Q35" s="44"/>
      <c r="R35" s="14"/>
      <c r="S35" s="70"/>
      <c r="T35" s="10"/>
      <c r="U35" s="60" t="str">
        <f>IF('Combustion Emissions'!$J$54=1,"Vochtgehalte","Moisture content (weight%, dry)")</f>
        <v>Vochtgehalte</v>
      </c>
      <c r="V35" s="20"/>
      <c r="W35" s="93" t="str">
        <f t="shared" si="8"/>
        <v/>
      </c>
      <c r="X35" s="10"/>
      <c r="Y35" s="39" t="s">
        <v>97</v>
      </c>
      <c r="Z35" s="13" t="s">
        <v>75</v>
      </c>
      <c r="AA35" s="87"/>
      <c r="AB35" s="10"/>
      <c r="AC35" s="60" t="s">
        <v>96</v>
      </c>
      <c r="AD35" s="20"/>
      <c r="AE35" s="115">
        <f>'Combustion Emissions'!N15/100</f>
        <v>0.4</v>
      </c>
      <c r="AF35" s="85"/>
      <c r="AG35" s="14" t="str">
        <f t="shared" si="3"/>
        <v>Ethaan</v>
      </c>
      <c r="AH35" s="14"/>
      <c r="AI35" s="14"/>
      <c r="AJ35" s="14"/>
      <c r="AK35" s="14"/>
      <c r="AL35" s="21">
        <f t="shared" si="9"/>
        <v>1559.8779999999999</v>
      </c>
      <c r="AM35" s="21">
        <v>1427.83</v>
      </c>
      <c r="AN35" s="21">
        <f t="shared" si="10"/>
        <v>30.069399999999998</v>
      </c>
      <c r="AO35" s="22">
        <v>22.1874</v>
      </c>
      <c r="AP35" s="22">
        <v>0.10150000000000001</v>
      </c>
      <c r="AQ35" s="8">
        <v>2</v>
      </c>
      <c r="AR35" s="8">
        <v>6</v>
      </c>
      <c r="AS35" s="8"/>
      <c r="AT35" s="8"/>
      <c r="AU35" s="8"/>
    </row>
    <row r="36" spans="2:47" ht="15" hidden="1" customHeight="1" x14ac:dyDescent="0.25">
      <c r="B36" s="137" t="str">
        <f>IF(Fuel1!B36="","",Fuel1!B36)</f>
        <v/>
      </c>
      <c r="C36" s="148" t="str">
        <f>IF(Fuel1!C36="","",Fuel1!C36)</f>
        <v/>
      </c>
      <c r="D36" s="137" t="str">
        <f>IF(Fuel1!D36="","",Fuel1!D36)</f>
        <v>mol%</v>
      </c>
      <c r="E36" s="148" t="str">
        <f t="shared" si="5"/>
        <v>mol%</v>
      </c>
      <c r="F36" s="148" t="str">
        <f>IF(Fuel1!F36="","",Fuel1!F36)</f>
        <v/>
      </c>
      <c r="G36" s="148" t="str">
        <f>IF(Fuel1!G36="","",Fuel1!G36)</f>
        <v/>
      </c>
      <c r="H36" s="174" t="str">
        <f t="shared" si="6"/>
        <v>Etheen</v>
      </c>
      <c r="I36" s="108"/>
      <c r="J36" s="271" t="str">
        <f>INDEX(D36:E36,'Combustion Emissions'!$J$54)</f>
        <v>mol%</v>
      </c>
      <c r="K36" s="286" t="str">
        <f>IF(Examples!E33="","",Examples!E33)</f>
        <v/>
      </c>
      <c r="L36" s="179" t="str">
        <f>IF(INDEX(F36:G36,'Combustion Emissions'!$J$54)="","",INDEX(F36:G36,'Combustion Emissions'!$J$54))</f>
        <v/>
      </c>
      <c r="M36" s="159" t="str">
        <f>IF('Combustion Emissions'!$J$54=1,"Etheen","Ethene")</f>
        <v>Etheen</v>
      </c>
      <c r="N36" s="23" t="s">
        <v>75</v>
      </c>
      <c r="O36" s="88">
        <f t="shared" si="2"/>
        <v>0</v>
      </c>
      <c r="P36" s="10"/>
      <c r="Q36" s="44"/>
      <c r="R36" s="14"/>
      <c r="S36" s="70"/>
      <c r="T36" s="10"/>
      <c r="U36" s="39"/>
      <c r="V36" s="16"/>
      <c r="W36" s="54"/>
      <c r="X36" s="10"/>
      <c r="Y36" s="46" t="s">
        <v>148</v>
      </c>
      <c r="Z36" s="23" t="s">
        <v>75</v>
      </c>
      <c r="AA36" s="88"/>
      <c r="AB36" s="10"/>
      <c r="AC36" s="39"/>
      <c r="AD36" s="16"/>
      <c r="AE36" s="54"/>
      <c r="AF36" s="16"/>
      <c r="AG36" s="14" t="str">
        <f t="shared" si="3"/>
        <v>Etheen</v>
      </c>
      <c r="AH36" s="16"/>
      <c r="AI36" s="16"/>
      <c r="AJ36" s="16"/>
      <c r="AK36" s="16"/>
      <c r="AL36" s="21">
        <f t="shared" si="9"/>
        <v>1410.972</v>
      </c>
      <c r="AM36" s="21">
        <v>1322.94</v>
      </c>
      <c r="AN36" s="21">
        <f t="shared" si="10"/>
        <v>28.053599999999999</v>
      </c>
      <c r="AO36" s="22">
        <f>1322.94/59.476</f>
        <v>22.243257784652634</v>
      </c>
      <c r="AP36" s="22">
        <v>8.72E-2</v>
      </c>
      <c r="AQ36" s="8">
        <v>2</v>
      </c>
      <c r="AR36" s="8">
        <v>4</v>
      </c>
      <c r="AS36" s="8"/>
      <c r="AT36" s="8"/>
      <c r="AU36" s="8"/>
    </row>
    <row r="37" spans="2:47" ht="15" hidden="1" customHeight="1" x14ac:dyDescent="0.25">
      <c r="B37" s="137" t="str">
        <f>IF(Fuel1!B37="","",Fuel1!B37)</f>
        <v/>
      </c>
      <c r="C37" s="148" t="str">
        <f>IF(Fuel1!C37="","",Fuel1!C37)</f>
        <v/>
      </c>
      <c r="D37" s="137" t="str">
        <f>IF(Fuel1!D37="","",Fuel1!D37)</f>
        <v>mol%</v>
      </c>
      <c r="E37" s="148" t="str">
        <f t="shared" si="5"/>
        <v>mol%</v>
      </c>
      <c r="F37" s="148" t="str">
        <f>IF(Fuel1!F37="","",Fuel1!F37)</f>
        <v/>
      </c>
      <c r="G37" s="148" t="str">
        <f>IF(Fuel1!G37="","",Fuel1!G37)</f>
        <v/>
      </c>
      <c r="H37" s="169" t="str">
        <f t="shared" si="6"/>
        <v>Ethyn</v>
      </c>
      <c r="I37" s="107"/>
      <c r="J37" s="267" t="str">
        <f>INDEX(D37:E37,'Combustion Emissions'!$J$54)</f>
        <v>mol%</v>
      </c>
      <c r="K37" s="286" t="str">
        <f>IF(Examples!E34="","",Examples!E34)</f>
        <v/>
      </c>
      <c r="L37" s="179" t="str">
        <f>IF(INDEX(F37:G37,'Combustion Emissions'!$J$54)="","",INDEX(F37:G37,'Combustion Emissions'!$J$54))</f>
        <v/>
      </c>
      <c r="M37" s="16" t="str">
        <f>IF('Combustion Emissions'!$J$54=1,"Ethyn","Ethyne")</f>
        <v>Ethyn</v>
      </c>
      <c r="N37" s="13" t="s">
        <v>75</v>
      </c>
      <c r="O37" s="87">
        <f t="shared" si="2"/>
        <v>0</v>
      </c>
      <c r="P37" s="10"/>
      <c r="Q37" s="44"/>
      <c r="R37" s="14"/>
      <c r="S37" s="70"/>
      <c r="T37" s="10"/>
      <c r="U37" s="39"/>
      <c r="V37" s="16"/>
      <c r="W37" s="54"/>
      <c r="X37" s="10"/>
      <c r="Y37" s="39" t="s">
        <v>149</v>
      </c>
      <c r="Z37" s="13" t="s">
        <v>75</v>
      </c>
      <c r="AA37" s="87"/>
      <c r="AB37" s="10"/>
      <c r="AC37" s="39"/>
      <c r="AD37" s="16"/>
      <c r="AE37" s="54"/>
      <c r="AF37" s="16"/>
      <c r="AG37" s="14" t="str">
        <f t="shared" si="3"/>
        <v>Ethyn</v>
      </c>
      <c r="AH37" s="16"/>
      <c r="AI37" s="16"/>
      <c r="AJ37" s="16"/>
      <c r="AK37" s="16"/>
      <c r="AL37" s="21">
        <f t="shared" si="9"/>
        <v>1308.2760000000001</v>
      </c>
      <c r="AM37" s="21">
        <v>1264.26</v>
      </c>
      <c r="AN37" s="21">
        <f t="shared" si="10"/>
        <v>26.037799999999997</v>
      </c>
      <c r="AO37" s="22">
        <v>22.0425</v>
      </c>
      <c r="AP37" s="22">
        <v>7.1300000000000002E-2</v>
      </c>
      <c r="AQ37" s="8">
        <v>2</v>
      </c>
      <c r="AR37" s="8">
        <v>2</v>
      </c>
      <c r="AS37" s="8"/>
      <c r="AT37" s="8"/>
      <c r="AU37" s="8"/>
    </row>
    <row r="38" spans="2:47" ht="15" x14ac:dyDescent="0.25">
      <c r="B38" s="137" t="str">
        <f>IF(Fuel1!B38="","",Fuel1!B38)</f>
        <v/>
      </c>
      <c r="C38" s="148" t="str">
        <f>IF(Fuel1!C38="","",Fuel1!C38)</f>
        <v/>
      </c>
      <c r="D38" s="137" t="str">
        <f t="shared" ref="D38:D61" si="11">IF($AH$7=1,IF(N38="","",N38),IF($AI$7=2,IF(R38="","",R38),IF(V38="","",V38)))</f>
        <v>mol%</v>
      </c>
      <c r="E38" s="148" t="str">
        <f t="shared" si="5"/>
        <v>mol%</v>
      </c>
      <c r="F38" s="148" t="str">
        <f>IF(Fuel1!F38="","",Fuel1!F38)</f>
        <v/>
      </c>
      <c r="G38" s="148" t="str">
        <f>IF(Fuel1!G38="","",Fuel1!G38)</f>
        <v/>
      </c>
      <c r="H38" s="169" t="str">
        <f t="shared" si="6"/>
        <v>Propaan</v>
      </c>
      <c r="I38" s="107"/>
      <c r="J38" s="267" t="str">
        <f>INDEX(D38:E38,'Combustion Emissions'!$J$54)</f>
        <v>mol%</v>
      </c>
      <c r="K38" s="287" t="str">
        <f>IF(Examples!E35="","",Examples!E35)</f>
        <v/>
      </c>
      <c r="L38" s="281" t="str">
        <f>IF(INDEX(F38:G38,'Combustion Emissions'!$J$54)="","",INDEX(F38:G38,'Combustion Emissions'!$J$54))</f>
        <v/>
      </c>
      <c r="M38" s="16" t="str">
        <f>IF('Combustion Emissions'!$J$54=1,"Propaan","Propane")</f>
        <v>Propaan</v>
      </c>
      <c r="N38" s="13" t="s">
        <v>75</v>
      </c>
      <c r="O38" s="87">
        <f t="shared" si="2"/>
        <v>0</v>
      </c>
      <c r="P38" s="10"/>
      <c r="Q38" s="44"/>
      <c r="R38" s="14"/>
      <c r="S38" s="70"/>
      <c r="T38" s="10"/>
      <c r="U38" s="39"/>
      <c r="V38" s="16"/>
      <c r="W38" s="54"/>
      <c r="X38" s="10"/>
      <c r="Y38" s="39" t="s">
        <v>98</v>
      </c>
      <c r="Z38" s="13" t="s">
        <v>75</v>
      </c>
      <c r="AA38" s="87"/>
      <c r="AB38" s="10"/>
      <c r="AC38" s="39"/>
      <c r="AD38" s="16"/>
      <c r="AE38" s="54"/>
      <c r="AF38" s="16"/>
      <c r="AG38" s="14" t="str">
        <f t="shared" si="3"/>
        <v>Propaan</v>
      </c>
      <c r="AH38" s="16"/>
      <c r="AI38" s="16"/>
      <c r="AJ38" s="16"/>
      <c r="AK38" s="16"/>
      <c r="AL38" s="21">
        <f t="shared" si="9"/>
        <v>2220.0740000000001</v>
      </c>
      <c r="AM38" s="21">
        <v>2044.01</v>
      </c>
      <c r="AN38" s="21">
        <f t="shared" si="10"/>
        <v>44.096200000000003</v>
      </c>
      <c r="AO38" s="22">
        <v>21.9297</v>
      </c>
      <c r="AP38" s="22">
        <v>0.153</v>
      </c>
      <c r="AQ38" s="8">
        <v>3</v>
      </c>
      <c r="AR38" s="8">
        <v>8</v>
      </c>
      <c r="AS38" s="8"/>
      <c r="AT38" s="8"/>
      <c r="AU38" s="8"/>
    </row>
    <row r="39" spans="2:47" ht="15" hidden="1" customHeight="1" x14ac:dyDescent="0.25">
      <c r="B39" s="137" t="str">
        <f>IF(Fuel1!B39="","",Fuel1!B39)</f>
        <v/>
      </c>
      <c r="C39" s="148" t="str">
        <f>IF(Fuel1!C39="","",Fuel1!C39)</f>
        <v/>
      </c>
      <c r="D39" s="137" t="str">
        <f t="shared" si="11"/>
        <v>mol%</v>
      </c>
      <c r="E39" s="148" t="str">
        <f t="shared" si="5"/>
        <v>mol%</v>
      </c>
      <c r="F39" s="148" t="str">
        <f>IF(Fuel1!F39="","",Fuel1!F39)</f>
        <v/>
      </c>
      <c r="G39" s="148" t="str">
        <f>IF(Fuel1!G39="","",Fuel1!G39)</f>
        <v/>
      </c>
      <c r="H39" s="169" t="str">
        <f t="shared" si="6"/>
        <v>Propeen</v>
      </c>
      <c r="I39" s="108"/>
      <c r="J39" s="267" t="str">
        <f>INDEX(D39:E39,'Combustion Emissions'!$J$54)</f>
        <v>mol%</v>
      </c>
      <c r="K39" s="286" t="str">
        <f>IF(Examples!E36="","",Examples!E36)</f>
        <v/>
      </c>
      <c r="L39" s="179" t="str">
        <f>IF(INDEX(F39:G39,'Combustion Emissions'!$J$54)="","",INDEX(F39:G39,'Combustion Emissions'!$J$54))</f>
        <v/>
      </c>
      <c r="M39" s="16" t="str">
        <f>IF('Combustion Emissions'!$J$54=1,"Propeen","Propene")</f>
        <v>Propeen</v>
      </c>
      <c r="N39" s="13" t="s">
        <v>75</v>
      </c>
      <c r="O39" s="87">
        <f t="shared" si="2"/>
        <v>0</v>
      </c>
      <c r="P39" s="10"/>
      <c r="Q39" s="44"/>
      <c r="R39" s="14"/>
      <c r="S39" s="70"/>
      <c r="T39" s="10"/>
      <c r="U39" s="39"/>
      <c r="V39" s="16"/>
      <c r="W39" s="54"/>
      <c r="X39" s="10"/>
      <c r="Y39" s="39" t="s">
        <v>150</v>
      </c>
      <c r="Z39" s="13" t="s">
        <v>75</v>
      </c>
      <c r="AA39" s="87"/>
      <c r="AB39" s="10"/>
      <c r="AC39" s="39"/>
      <c r="AD39" s="16"/>
      <c r="AE39" s="54"/>
      <c r="AF39" s="16"/>
      <c r="AG39" s="14" t="str">
        <f t="shared" si="3"/>
        <v>Propeen</v>
      </c>
      <c r="AH39" s="16"/>
      <c r="AI39" s="16"/>
      <c r="AJ39" s="16"/>
      <c r="AK39" s="16"/>
      <c r="AL39" s="21">
        <f t="shared" si="9"/>
        <v>2058.4880000000003</v>
      </c>
      <c r="AM39" s="21">
        <v>1926.44</v>
      </c>
      <c r="AN39" s="21">
        <f t="shared" si="10"/>
        <v>42.080399999999997</v>
      </c>
      <c r="AO39" s="22">
        <f>1926.44/87.607</f>
        <v>21.989567043729384</v>
      </c>
      <c r="AP39" s="22">
        <v>0.13750000000000001</v>
      </c>
      <c r="AQ39" s="8">
        <v>3</v>
      </c>
      <c r="AR39" s="8">
        <v>6</v>
      </c>
      <c r="AS39" s="8"/>
      <c r="AT39" s="8"/>
      <c r="AU39" s="8"/>
    </row>
    <row r="40" spans="2:47" ht="15" hidden="1" customHeight="1" x14ac:dyDescent="0.25">
      <c r="B40" s="137" t="str">
        <f>IF(Fuel1!B40="","",Fuel1!B40)</f>
        <v/>
      </c>
      <c r="C40" s="148" t="str">
        <f>IF(Fuel1!C40="","",Fuel1!C40)</f>
        <v/>
      </c>
      <c r="D40" s="137" t="str">
        <f t="shared" si="11"/>
        <v>mol%</v>
      </c>
      <c r="E40" s="148" t="str">
        <f t="shared" si="5"/>
        <v>mol%</v>
      </c>
      <c r="F40" s="148" t="str">
        <f>IF(Fuel1!F40="","",Fuel1!F40)</f>
        <v/>
      </c>
      <c r="G40" s="148" t="str">
        <f>IF(Fuel1!G40="","",Fuel1!G40)</f>
        <v/>
      </c>
      <c r="H40" s="175" t="str">
        <f t="shared" si="6"/>
        <v>2-Methylpropaan</v>
      </c>
      <c r="I40" s="107"/>
      <c r="J40" s="272" t="str">
        <f>INDEX(D40:E40,'Combustion Emissions'!$J$54)</f>
        <v>mol%</v>
      </c>
      <c r="K40" s="286" t="str">
        <f>IF(Examples!E37="","",Examples!E37)</f>
        <v/>
      </c>
      <c r="L40" s="179" t="str">
        <f>IF(INDEX(F40:G40,'Combustion Emissions'!$J$54)="","",INDEX(F40:G40,'Combustion Emissions'!$J$54))</f>
        <v/>
      </c>
      <c r="M40" s="161" t="str">
        <f>IF('Combustion Emissions'!$J$54=1,"2-Methylpropaan","2-Methylpropane")</f>
        <v>2-Methylpropaan</v>
      </c>
      <c r="N40" s="25" t="s">
        <v>75</v>
      </c>
      <c r="O40" s="89">
        <f t="shared" si="2"/>
        <v>0</v>
      </c>
      <c r="P40" s="10"/>
      <c r="Q40" s="44"/>
      <c r="R40" s="14"/>
      <c r="S40" s="70"/>
      <c r="T40" s="10"/>
      <c r="U40" s="39"/>
      <c r="V40" s="16"/>
      <c r="W40" s="54"/>
      <c r="X40" s="10"/>
      <c r="Y40" s="47" t="s">
        <v>99</v>
      </c>
      <c r="Z40" s="25" t="s">
        <v>75</v>
      </c>
      <c r="AA40" s="89"/>
      <c r="AB40" s="10"/>
      <c r="AC40" s="39"/>
      <c r="AD40" s="16"/>
      <c r="AE40" s="54"/>
      <c r="AF40" s="16"/>
      <c r="AG40" s="14" t="str">
        <f t="shared" si="3"/>
        <v>2-Methylpropaan</v>
      </c>
      <c r="AH40" s="16"/>
      <c r="AI40" s="16"/>
      <c r="AJ40" s="16"/>
      <c r="AK40" s="16"/>
      <c r="AL40" s="21">
        <f t="shared" si="9"/>
        <v>2868.7599999999998</v>
      </c>
      <c r="AM40" s="21">
        <v>2648.68</v>
      </c>
      <c r="AN40" s="21">
        <f t="shared" si="10"/>
        <v>58.122999999999998</v>
      </c>
      <c r="AO40" s="22">
        <v>21.610399999999998</v>
      </c>
      <c r="AP40" s="22">
        <v>0.20419999999999999</v>
      </c>
      <c r="AQ40" s="8">
        <v>4</v>
      </c>
      <c r="AR40" s="8">
        <v>10</v>
      </c>
      <c r="AS40" s="8"/>
      <c r="AT40" s="8"/>
      <c r="AU40" s="8"/>
    </row>
    <row r="41" spans="2:47" ht="15" x14ac:dyDescent="0.25">
      <c r="B41" s="137" t="str">
        <f>IF(Fuel1!B41="","",Fuel1!B41)</f>
        <v/>
      </c>
      <c r="C41" s="148" t="str">
        <f>IF(Fuel1!C41="","",Fuel1!C41)</f>
        <v/>
      </c>
      <c r="D41" s="137" t="str">
        <f t="shared" si="11"/>
        <v>mol%</v>
      </c>
      <c r="E41" s="148" t="str">
        <f t="shared" si="5"/>
        <v>mol%</v>
      </c>
      <c r="F41" s="148" t="str">
        <f>IF(Fuel1!F41="","",Fuel1!F41)</f>
        <v/>
      </c>
      <c r="G41" s="148" t="str">
        <f>IF(Fuel1!G41="","",Fuel1!G41)</f>
        <v/>
      </c>
      <c r="H41" s="171" t="str">
        <f t="shared" si="6"/>
        <v>C4</v>
      </c>
      <c r="I41" s="134"/>
      <c r="J41" s="269" t="str">
        <f>INDEX(D41:E41,'Combustion Emissions'!$J$54)</f>
        <v>mol%</v>
      </c>
      <c r="K41" s="286" t="str">
        <f>IF(Examples!E38="","",Examples!E38)</f>
        <v/>
      </c>
      <c r="L41" s="179" t="str">
        <f>IF(INDEX(F41:G41,'Combustion Emissions'!$J$54)="","",INDEX(F41:G41,'Combustion Emissions'!$J$54))</f>
        <v/>
      </c>
      <c r="M41" s="16" t="s">
        <v>164</v>
      </c>
      <c r="N41" s="13" t="s">
        <v>75</v>
      </c>
      <c r="O41" s="87">
        <f t="shared" si="2"/>
        <v>0</v>
      </c>
      <c r="P41" s="10"/>
      <c r="Q41" s="44"/>
      <c r="R41" s="14"/>
      <c r="S41" s="70"/>
      <c r="T41" s="10"/>
      <c r="U41" s="39"/>
      <c r="V41" s="16"/>
      <c r="W41" s="54"/>
      <c r="X41" s="10"/>
      <c r="Y41" s="39" t="s">
        <v>164</v>
      </c>
      <c r="Z41" s="13" t="s">
        <v>75</v>
      </c>
      <c r="AA41" s="87"/>
      <c r="AB41" s="10"/>
      <c r="AC41" s="39"/>
      <c r="AD41" s="16"/>
      <c r="AE41" s="54"/>
      <c r="AF41" s="16"/>
      <c r="AG41" s="14" t="str">
        <f t="shared" si="3"/>
        <v>C4</v>
      </c>
      <c r="AH41" s="16"/>
      <c r="AI41" s="16"/>
      <c r="AJ41" s="16"/>
      <c r="AK41" s="16"/>
      <c r="AL41" s="21">
        <f t="shared" si="9"/>
        <v>2877.13</v>
      </c>
      <c r="AM41" s="21">
        <v>2657.05</v>
      </c>
      <c r="AN41" s="21">
        <f t="shared" si="10"/>
        <v>58.122999999999998</v>
      </c>
      <c r="AO41" s="22">
        <v>21.520499999999998</v>
      </c>
      <c r="AP41" s="22">
        <v>0.2112</v>
      </c>
      <c r="AQ41" s="8">
        <v>4</v>
      </c>
      <c r="AR41" s="8">
        <v>10</v>
      </c>
      <c r="AS41" s="8"/>
      <c r="AT41" s="8"/>
      <c r="AU41" s="8"/>
    </row>
    <row r="42" spans="2:47" ht="15" hidden="1" customHeight="1" x14ac:dyDescent="0.25">
      <c r="B42" s="137" t="str">
        <f>IF(Fuel1!B42="","",Fuel1!B42)</f>
        <v/>
      </c>
      <c r="C42" s="148" t="str">
        <f>IF(Fuel1!C42="","",Fuel1!C42)</f>
        <v/>
      </c>
      <c r="D42" s="137" t="str">
        <f t="shared" si="11"/>
        <v>mol%</v>
      </c>
      <c r="E42" s="148" t="str">
        <f t="shared" si="5"/>
        <v>mol%</v>
      </c>
      <c r="F42" s="148" t="str">
        <f>IF(Fuel1!F42="","",Fuel1!F42)</f>
        <v/>
      </c>
      <c r="G42" s="148" t="str">
        <f>IF(Fuel1!G42="","",Fuel1!G42)</f>
        <v/>
      </c>
      <c r="H42" s="174" t="str">
        <f t="shared" si="6"/>
        <v>Butadieen</v>
      </c>
      <c r="I42" s="107"/>
      <c r="J42" s="271" t="str">
        <f>INDEX(D42:E42,'Combustion Emissions'!$J$54)</f>
        <v>mol%</v>
      </c>
      <c r="K42" s="286" t="str">
        <f>IF(Examples!E39="","",Examples!E39)</f>
        <v/>
      </c>
      <c r="L42" s="179" t="str">
        <f>IF(INDEX(F42:G42,'Combustion Emissions'!$J$54)="","",INDEX(F42:G42,'Combustion Emissions'!$J$54))</f>
        <v/>
      </c>
      <c r="M42" s="159" t="str">
        <f>IF('Combustion Emissions'!$J$54=1,"Butadieen","Butadiene")</f>
        <v>Butadieen</v>
      </c>
      <c r="N42" s="23" t="s">
        <v>75</v>
      </c>
      <c r="O42" s="88">
        <f t="shared" si="2"/>
        <v>0</v>
      </c>
      <c r="P42" s="10"/>
      <c r="Q42" s="44"/>
      <c r="R42" s="14"/>
      <c r="S42" s="70"/>
      <c r="T42" s="10"/>
      <c r="U42" s="39"/>
      <c r="V42" s="16"/>
      <c r="W42" s="54"/>
      <c r="X42" s="10"/>
      <c r="Y42" s="46" t="s">
        <v>151</v>
      </c>
      <c r="Z42" s="23" t="s">
        <v>75</v>
      </c>
      <c r="AA42" s="88"/>
      <c r="AB42" s="10"/>
      <c r="AC42" s="39"/>
      <c r="AD42" s="16"/>
      <c r="AE42" s="54"/>
      <c r="AF42" s="16"/>
      <c r="AG42" s="14" t="str">
        <f t="shared" si="3"/>
        <v>Butadieen</v>
      </c>
      <c r="AH42" s="16"/>
      <c r="AI42" s="16"/>
      <c r="AJ42" s="16"/>
      <c r="AK42" s="16"/>
      <c r="AL42" s="21">
        <f t="shared" si="9"/>
        <v>2593.7879999999996</v>
      </c>
      <c r="AM42" s="21">
        <v>2461.7399999999998</v>
      </c>
      <c r="AN42" s="21">
        <f t="shared" si="10"/>
        <v>54.091399999999993</v>
      </c>
      <c r="AO42" s="22">
        <f>2461.74/114.175</f>
        <v>21.561112327567329</v>
      </c>
      <c r="AP42" s="22">
        <v>0.20300000000000001</v>
      </c>
      <c r="AQ42" s="8">
        <v>4</v>
      </c>
      <c r="AR42" s="8">
        <v>6</v>
      </c>
      <c r="AS42" s="8"/>
      <c r="AT42" s="8"/>
      <c r="AU42" s="8"/>
    </row>
    <row r="43" spans="2:47" ht="15" hidden="1" customHeight="1" x14ac:dyDescent="0.25">
      <c r="B43" s="137" t="str">
        <f>IF(Fuel1!B43="","",Fuel1!B43)</f>
        <v/>
      </c>
      <c r="C43" s="148" t="str">
        <f>IF(Fuel1!C43="","",Fuel1!C43)</f>
        <v/>
      </c>
      <c r="D43" s="137" t="str">
        <f t="shared" si="11"/>
        <v>mol%</v>
      </c>
      <c r="E43" s="148" t="str">
        <f t="shared" si="5"/>
        <v>mol%</v>
      </c>
      <c r="F43" s="148" t="str">
        <f>IF(Fuel1!F43="","",Fuel1!F43)</f>
        <v/>
      </c>
      <c r="G43" s="148" t="str">
        <f>IF(Fuel1!G43="","",Fuel1!G43)</f>
        <v/>
      </c>
      <c r="H43" s="169" t="str">
        <f t="shared" si="6"/>
        <v>2,2-Dimethylpropaan</v>
      </c>
      <c r="I43" s="109"/>
      <c r="J43" s="267" t="str">
        <f>INDEX(D43:E43,'Combustion Emissions'!$J$54)</f>
        <v>mol%</v>
      </c>
      <c r="K43" s="286" t="str">
        <f>IF(Examples!E40="","",Examples!E40)</f>
        <v/>
      </c>
      <c r="L43" s="179" t="str">
        <f>IF(INDEX(F43:G43,'Combustion Emissions'!$J$54)="","",INDEX(F43:G43,'Combustion Emissions'!$J$54))</f>
        <v/>
      </c>
      <c r="M43" s="16" t="str">
        <f>IF('Combustion Emissions'!$J$54=1,"2,2-Dimethylpropaan","2,2-Dimethylpropane")</f>
        <v>2,2-Dimethylpropaan</v>
      </c>
      <c r="N43" s="13" t="s">
        <v>75</v>
      </c>
      <c r="O43" s="87">
        <f t="shared" si="2"/>
        <v>0</v>
      </c>
      <c r="P43" s="10"/>
      <c r="Q43" s="44"/>
      <c r="R43" s="14"/>
      <c r="S43" s="70"/>
      <c r="T43" s="10"/>
      <c r="U43" s="39"/>
      <c r="V43" s="16"/>
      <c r="W43" s="54"/>
      <c r="X43" s="10"/>
      <c r="Y43" s="39" t="s">
        <v>100</v>
      </c>
      <c r="Z43" s="13" t="s">
        <v>75</v>
      </c>
      <c r="AA43" s="87"/>
      <c r="AB43" s="10"/>
      <c r="AC43" s="39"/>
      <c r="AD43" s="16"/>
      <c r="AE43" s="54"/>
      <c r="AF43" s="16"/>
      <c r="AG43" s="14" t="str">
        <f t="shared" si="3"/>
        <v>2,2-Dimethylpropaan</v>
      </c>
      <c r="AH43" s="16"/>
      <c r="AI43" s="16"/>
      <c r="AJ43" s="16"/>
      <c r="AK43" s="16"/>
      <c r="AL43" s="21">
        <f t="shared" si="9"/>
        <v>3516.6559999999999</v>
      </c>
      <c r="AM43" s="21">
        <v>3252.56</v>
      </c>
      <c r="AN43" s="21">
        <f t="shared" si="10"/>
        <v>72.149799999999999</v>
      </c>
      <c r="AO43" s="22">
        <v>21.2866</v>
      </c>
      <c r="AP43" s="22">
        <v>0.22450000000000001</v>
      </c>
      <c r="AQ43" s="8">
        <v>5</v>
      </c>
      <c r="AR43" s="8">
        <v>12</v>
      </c>
      <c r="AS43" s="8"/>
      <c r="AT43" s="8"/>
      <c r="AU43" s="8"/>
    </row>
    <row r="44" spans="2:47" ht="15" hidden="1" customHeight="1" x14ac:dyDescent="0.25">
      <c r="B44" s="137" t="str">
        <f>IF(Fuel1!B44="","",Fuel1!B44)</f>
        <v/>
      </c>
      <c r="C44" s="148" t="str">
        <f>IF(Fuel1!C44="","",Fuel1!C44)</f>
        <v/>
      </c>
      <c r="D44" s="137" t="str">
        <f t="shared" si="11"/>
        <v>mol%</v>
      </c>
      <c r="E44" s="148" t="str">
        <f t="shared" si="5"/>
        <v>mol%</v>
      </c>
      <c r="F44" s="148" t="str">
        <f>IF(Fuel1!F44="","",Fuel1!F44)</f>
        <v/>
      </c>
      <c r="G44" s="148" t="str">
        <f>IF(Fuel1!G44="","",Fuel1!G44)</f>
        <v/>
      </c>
      <c r="H44" s="169" t="str">
        <f t="shared" si="6"/>
        <v>2-Methylbutaan</v>
      </c>
      <c r="I44" s="107"/>
      <c r="J44" s="267" t="str">
        <f>INDEX(D44:E44,'Combustion Emissions'!$J$54)</f>
        <v>mol%</v>
      </c>
      <c r="K44" s="286" t="str">
        <f>IF(Examples!E41="","",Examples!E41)</f>
        <v/>
      </c>
      <c r="L44" s="179" t="str">
        <f>IF(INDEX(F44:G44,'Combustion Emissions'!$J$54)="","",INDEX(F44:G44,'Combustion Emissions'!$J$54))</f>
        <v/>
      </c>
      <c r="M44" s="16" t="str">
        <f>IF('Combustion Emissions'!$J$54=1,"2-Methylbutaan","2-Methylbutane")</f>
        <v>2-Methylbutaan</v>
      </c>
      <c r="N44" s="13" t="s">
        <v>75</v>
      </c>
      <c r="O44" s="87">
        <f t="shared" si="2"/>
        <v>0</v>
      </c>
      <c r="P44" s="10"/>
      <c r="Q44" s="44"/>
      <c r="R44" s="14"/>
      <c r="S44" s="70"/>
      <c r="T44" s="10"/>
      <c r="U44" s="39"/>
      <c r="V44" s="16"/>
      <c r="W44" s="54"/>
      <c r="X44" s="10"/>
      <c r="Y44" s="39" t="s">
        <v>101</v>
      </c>
      <c r="Z44" s="13" t="s">
        <v>75</v>
      </c>
      <c r="AA44" s="87"/>
      <c r="AB44" s="10"/>
      <c r="AC44" s="39"/>
      <c r="AD44" s="16"/>
      <c r="AE44" s="54"/>
      <c r="AF44" s="16"/>
      <c r="AG44" s="14" t="str">
        <f t="shared" si="3"/>
        <v>2-Methylbutaan</v>
      </c>
      <c r="AH44" s="16"/>
      <c r="AI44" s="16"/>
      <c r="AJ44" s="16"/>
      <c r="AK44" s="16"/>
      <c r="AL44" s="21">
        <f t="shared" si="9"/>
        <v>3528.1559999999999</v>
      </c>
      <c r="AM44" s="21">
        <v>3264.06</v>
      </c>
      <c r="AN44" s="21">
        <f t="shared" si="10"/>
        <v>72.149799999999999</v>
      </c>
      <c r="AO44" s="22">
        <v>21.0838</v>
      </c>
      <c r="AP44" s="22">
        <v>0.2462</v>
      </c>
      <c r="AQ44" s="8">
        <v>5</v>
      </c>
      <c r="AR44" s="8">
        <v>12</v>
      </c>
      <c r="AS44" s="8"/>
      <c r="AT44" s="8"/>
      <c r="AU44" s="8"/>
    </row>
    <row r="45" spans="2:47" ht="15" x14ac:dyDescent="0.25">
      <c r="B45" s="137" t="str">
        <f>IF(Fuel1!B45="","",Fuel1!B45)</f>
        <v/>
      </c>
      <c r="C45" s="148" t="str">
        <f>IF(Fuel1!C45="","",Fuel1!C45)</f>
        <v/>
      </c>
      <c r="D45" s="137" t="str">
        <f t="shared" si="11"/>
        <v>mol%</v>
      </c>
      <c r="E45" s="148" t="str">
        <f t="shared" si="5"/>
        <v>mol%</v>
      </c>
      <c r="F45" s="148" t="str">
        <f>IF(Fuel1!F45="","",Fuel1!F45)</f>
        <v/>
      </c>
      <c r="G45" s="148" t="str">
        <f>IF(Fuel1!G45="","",Fuel1!G45)</f>
        <v/>
      </c>
      <c r="H45" s="169" t="str">
        <f t="shared" si="6"/>
        <v>C5</v>
      </c>
      <c r="I45" s="107"/>
      <c r="J45" s="267" t="str">
        <f>INDEX(D45:E45,'Combustion Emissions'!$J$54)</f>
        <v>mol%</v>
      </c>
      <c r="K45" s="286" t="str">
        <f>IF(Examples!E42="","",Examples!E42)</f>
        <v/>
      </c>
      <c r="L45" s="179" t="str">
        <f>IF(INDEX(F45:G45,'Combustion Emissions'!$J$54)="","",INDEX(F45:G45,'Combustion Emissions'!$J$54))</f>
        <v/>
      </c>
      <c r="M45" s="16" t="s">
        <v>165</v>
      </c>
      <c r="N45" s="13" t="s">
        <v>75</v>
      </c>
      <c r="O45" s="87">
        <f t="shared" si="2"/>
        <v>0</v>
      </c>
      <c r="P45" s="10"/>
      <c r="Q45" s="44"/>
      <c r="R45" s="14"/>
      <c r="S45" s="70"/>
      <c r="T45" s="10"/>
      <c r="U45" s="39"/>
      <c r="V45" s="16"/>
      <c r="W45" s="54"/>
      <c r="X45" s="10"/>
      <c r="Y45" s="39" t="s">
        <v>165</v>
      </c>
      <c r="Z45" s="13" t="s">
        <v>75</v>
      </c>
      <c r="AA45" s="87"/>
      <c r="AB45" s="10"/>
      <c r="AC45" s="39"/>
      <c r="AD45" s="16"/>
      <c r="AE45" s="54"/>
      <c r="AF45" s="16"/>
      <c r="AG45" s="14" t="str">
        <f t="shared" si="3"/>
        <v>C5</v>
      </c>
      <c r="AH45" s="16"/>
      <c r="AI45" s="16"/>
      <c r="AJ45" s="16"/>
      <c r="AK45" s="16"/>
      <c r="AL45" s="21">
        <f t="shared" si="9"/>
        <v>3536.1959999999999</v>
      </c>
      <c r="AM45" s="21">
        <v>3272.1</v>
      </c>
      <c r="AN45" s="21">
        <f t="shared" si="10"/>
        <v>72.149799999999999</v>
      </c>
      <c r="AO45" s="22">
        <v>20.890699999999999</v>
      </c>
      <c r="AP45" s="22">
        <v>0.26100000000000001</v>
      </c>
      <c r="AQ45" s="8">
        <v>5</v>
      </c>
      <c r="AR45" s="8">
        <v>12</v>
      </c>
      <c r="AS45" s="8"/>
      <c r="AT45" s="8"/>
      <c r="AU45" s="8"/>
    </row>
    <row r="46" spans="2:47" ht="15" hidden="1" customHeight="1" x14ac:dyDescent="0.25">
      <c r="B46" s="137" t="str">
        <f>IF(Fuel1!B46="","",Fuel1!B46)</f>
        <v/>
      </c>
      <c r="C46" s="148" t="str">
        <f>IF(Fuel1!C46="","",Fuel1!C46)</f>
        <v/>
      </c>
      <c r="D46" s="137" t="str">
        <f t="shared" si="11"/>
        <v>mol%</v>
      </c>
      <c r="E46" s="148" t="str">
        <f t="shared" si="5"/>
        <v>mol%</v>
      </c>
      <c r="F46" s="148" t="str">
        <f>IF(Fuel1!F46="","",Fuel1!F46)</f>
        <v/>
      </c>
      <c r="G46" s="148" t="str">
        <f>IF(Fuel1!G46="","",Fuel1!G46)</f>
        <v/>
      </c>
      <c r="H46" s="175" t="str">
        <f t="shared" si="6"/>
        <v>Cyclopentaan</v>
      </c>
      <c r="I46" s="107"/>
      <c r="J46" s="272" t="str">
        <f>INDEX(D46:E46,'Combustion Emissions'!$J$54)</f>
        <v>mol%</v>
      </c>
      <c r="K46" s="286" t="str">
        <f>IF(Examples!E43="","",Examples!E43)</f>
        <v/>
      </c>
      <c r="L46" s="179" t="str">
        <f>IF(INDEX(F46:G46,'Combustion Emissions'!$J$54)="","",INDEX(F46:G46,'Combustion Emissions'!$J$54))</f>
        <v/>
      </c>
      <c r="M46" s="161" t="str">
        <f>IF('Combustion Emissions'!$J$54=1,"Cyclopentaan","Cyclopentane")</f>
        <v>Cyclopentaan</v>
      </c>
      <c r="N46" s="25" t="s">
        <v>75</v>
      </c>
      <c r="O46" s="89">
        <f t="shared" si="2"/>
        <v>0</v>
      </c>
      <c r="P46" s="10"/>
      <c r="Q46" s="44"/>
      <c r="R46" s="14"/>
      <c r="S46" s="70"/>
      <c r="T46" s="10"/>
      <c r="U46" s="39"/>
      <c r="V46" s="16"/>
      <c r="W46" s="54"/>
      <c r="X46" s="10"/>
      <c r="Y46" s="47" t="s">
        <v>158</v>
      </c>
      <c r="Z46" s="25" t="s">
        <v>75</v>
      </c>
      <c r="AA46" s="89"/>
      <c r="AB46" s="10"/>
      <c r="AC46" s="39"/>
      <c r="AD46" s="16"/>
      <c r="AE46" s="54"/>
      <c r="AF46" s="16"/>
      <c r="AG46" s="14" t="str">
        <f t="shared" si="3"/>
        <v>Cyclopentaan</v>
      </c>
      <c r="AH46" s="16"/>
      <c r="AI46" s="16"/>
      <c r="AJ46" s="16"/>
      <c r="AK46" s="16"/>
      <c r="AL46" s="21">
        <f t="shared" si="9"/>
        <v>3294.24</v>
      </c>
      <c r="AM46" s="21">
        <v>3074.16</v>
      </c>
      <c r="AN46" s="21">
        <f t="shared" si="10"/>
        <v>70.133999999999986</v>
      </c>
      <c r="AO46" s="8">
        <v>20.5</v>
      </c>
      <c r="AP46" s="8">
        <v>0.29220000000000002</v>
      </c>
      <c r="AQ46" s="8">
        <v>5</v>
      </c>
      <c r="AR46" s="8">
        <v>10</v>
      </c>
      <c r="AS46" s="8"/>
      <c r="AT46" s="8"/>
      <c r="AU46" s="8"/>
    </row>
    <row r="47" spans="2:47" ht="15" hidden="1" customHeight="1" x14ac:dyDescent="0.25">
      <c r="B47" s="137" t="str">
        <f>IF(Fuel1!B47="","",Fuel1!B47)</f>
        <v/>
      </c>
      <c r="C47" s="148" t="str">
        <f>IF(Fuel1!C47="","",Fuel1!C47)</f>
        <v/>
      </c>
      <c r="D47" s="137" t="str">
        <f t="shared" si="11"/>
        <v>mol%</v>
      </c>
      <c r="E47" s="148" t="str">
        <f t="shared" si="5"/>
        <v>mol%</v>
      </c>
      <c r="F47" s="148" t="str">
        <f>IF(Fuel1!F47="","",Fuel1!F47)</f>
        <v/>
      </c>
      <c r="G47" s="148" t="str">
        <f>IF(Fuel1!G47="","",Fuel1!G47)</f>
        <v/>
      </c>
      <c r="H47" s="169" t="str">
        <f t="shared" si="6"/>
        <v>2,2-Dimethylbutaan</v>
      </c>
      <c r="I47" s="107"/>
      <c r="J47" s="267" t="str">
        <f>INDEX(D47:E47,'Combustion Emissions'!$J$54)</f>
        <v>mol%</v>
      </c>
      <c r="K47" s="286" t="str">
        <f>IF(Examples!E44="","",Examples!E44)</f>
        <v/>
      </c>
      <c r="L47" s="179" t="str">
        <f>IF(INDEX(F47:G47,'Combustion Emissions'!$J$54)="","",INDEX(F47:G47,'Combustion Emissions'!$J$54))</f>
        <v/>
      </c>
      <c r="M47" s="16" t="str">
        <f>IF('Combustion Emissions'!$J$54=1,"2,2-Dimethylbutaan","2,2-Dimethylbutane")</f>
        <v>2,2-Dimethylbutaan</v>
      </c>
      <c r="N47" s="13" t="s">
        <v>75</v>
      </c>
      <c r="O47" s="87">
        <f t="shared" si="2"/>
        <v>0</v>
      </c>
      <c r="P47" s="10"/>
      <c r="Q47" s="44"/>
      <c r="R47" s="14"/>
      <c r="S47" s="70"/>
      <c r="T47" s="10"/>
      <c r="U47" s="39"/>
      <c r="V47" s="16"/>
      <c r="W47" s="54"/>
      <c r="X47" s="10"/>
      <c r="Y47" s="39" t="s">
        <v>102</v>
      </c>
      <c r="Z47" s="13" t="s">
        <v>75</v>
      </c>
      <c r="AA47" s="87"/>
      <c r="AB47" s="10"/>
      <c r="AC47" s="39"/>
      <c r="AD47" s="16"/>
      <c r="AE47" s="54"/>
      <c r="AF47" s="16"/>
      <c r="AG47" s="14" t="str">
        <f t="shared" si="3"/>
        <v>2,2-Dimethylbutaan</v>
      </c>
      <c r="AH47" s="16"/>
      <c r="AI47" s="16"/>
      <c r="AJ47" s="16"/>
      <c r="AK47" s="16"/>
      <c r="AL47" s="21">
        <f t="shared" si="9"/>
        <v>4177.8919999999998</v>
      </c>
      <c r="AM47" s="21">
        <v>3869.78</v>
      </c>
      <c r="AN47" s="21">
        <f t="shared" si="10"/>
        <v>86.176600000000008</v>
      </c>
      <c r="AO47" s="8">
        <v>20.5</v>
      </c>
      <c r="AP47" s="8">
        <v>0.29099999999999998</v>
      </c>
      <c r="AQ47" s="8">
        <v>6</v>
      </c>
      <c r="AR47" s="8">
        <v>14</v>
      </c>
      <c r="AS47" s="8"/>
      <c r="AT47" s="8"/>
      <c r="AU47" s="8"/>
    </row>
    <row r="48" spans="2:47" ht="15" hidden="1" customHeight="1" x14ac:dyDescent="0.25">
      <c r="B48" s="137" t="str">
        <f>IF(Fuel1!B48="","",Fuel1!B48)</f>
        <v/>
      </c>
      <c r="C48" s="148" t="str">
        <f>IF(Fuel1!C48="","",Fuel1!C48)</f>
        <v/>
      </c>
      <c r="D48" s="137" t="str">
        <f t="shared" si="11"/>
        <v>mol%</v>
      </c>
      <c r="E48" s="148" t="str">
        <f t="shared" si="5"/>
        <v>mol%</v>
      </c>
      <c r="F48" s="148" t="str">
        <f>IF(Fuel1!F48="","",Fuel1!F48)</f>
        <v/>
      </c>
      <c r="G48" s="148" t="str">
        <f>IF(Fuel1!G48="","",Fuel1!G48)</f>
        <v/>
      </c>
      <c r="H48" s="174" t="str">
        <f t="shared" si="6"/>
        <v>2,3-Dimethylbutaan</v>
      </c>
      <c r="I48" s="107"/>
      <c r="J48" s="271" t="str">
        <f>INDEX(D48:E48,'Combustion Emissions'!$J$54)</f>
        <v>mol%</v>
      </c>
      <c r="K48" s="286" t="str">
        <f>IF(Examples!E45="","",Examples!E45)</f>
        <v/>
      </c>
      <c r="L48" s="179" t="str">
        <f>IF(INDEX(F48:G48,'Combustion Emissions'!$J$54)="","",INDEX(F48:G48,'Combustion Emissions'!$J$54))</f>
        <v/>
      </c>
      <c r="M48" s="159" t="str">
        <f>IF('Combustion Emissions'!$J$54=1,"2,3-Dimethylbutaan", "2,3-Dimethylbutane")</f>
        <v>2,3-Dimethylbutaan</v>
      </c>
      <c r="N48" s="23" t="s">
        <v>75</v>
      </c>
      <c r="O48" s="88">
        <f t="shared" si="2"/>
        <v>0</v>
      </c>
      <c r="P48" s="10"/>
      <c r="Q48" s="44"/>
      <c r="R48" s="14"/>
      <c r="S48" s="70"/>
      <c r="T48" s="10"/>
      <c r="U48" s="39"/>
      <c r="V48" s="16"/>
      <c r="W48" s="54"/>
      <c r="X48" s="10"/>
      <c r="Y48" s="46" t="s">
        <v>103</v>
      </c>
      <c r="Z48" s="23" t="s">
        <v>75</v>
      </c>
      <c r="AA48" s="88"/>
      <c r="AB48" s="10"/>
      <c r="AC48" s="39"/>
      <c r="AD48" s="16"/>
      <c r="AE48" s="54"/>
      <c r="AF48" s="16"/>
      <c r="AG48" s="14" t="str">
        <f t="shared" si="3"/>
        <v>2,3-Dimethylbutaan</v>
      </c>
      <c r="AH48" s="16"/>
      <c r="AI48" s="16"/>
      <c r="AJ48" s="16"/>
      <c r="AK48" s="16"/>
      <c r="AL48" s="21">
        <f t="shared" si="9"/>
        <v>4185.9719999999998</v>
      </c>
      <c r="AM48" s="21">
        <v>3877.86</v>
      </c>
      <c r="AN48" s="21">
        <f t="shared" si="10"/>
        <v>86.176600000000008</v>
      </c>
      <c r="AO48" s="8">
        <v>20.5</v>
      </c>
      <c r="AP48" s="8">
        <v>0.30459999999999998</v>
      </c>
      <c r="AQ48" s="8">
        <v>6</v>
      </c>
      <c r="AR48" s="8">
        <v>14</v>
      </c>
      <c r="AS48" s="8"/>
      <c r="AT48" s="8"/>
      <c r="AU48" s="8"/>
    </row>
    <row r="49" spans="2:47" ht="15" hidden="1" customHeight="1" x14ac:dyDescent="0.25">
      <c r="B49" s="137" t="str">
        <f>IF(Fuel1!B49="","",Fuel1!B49)</f>
        <v/>
      </c>
      <c r="C49" s="148" t="str">
        <f>IF(Fuel1!C49="","",Fuel1!C49)</f>
        <v/>
      </c>
      <c r="D49" s="137" t="str">
        <f t="shared" si="11"/>
        <v>mol%</v>
      </c>
      <c r="E49" s="148" t="str">
        <f t="shared" si="5"/>
        <v>mol%</v>
      </c>
      <c r="F49" s="148" t="str">
        <f>IF(Fuel1!F49="","",Fuel1!F49)</f>
        <v/>
      </c>
      <c r="G49" s="148" t="str">
        <f>IF(Fuel1!G49="","",Fuel1!G49)</f>
        <v/>
      </c>
      <c r="H49" s="169" t="str">
        <f t="shared" si="6"/>
        <v>3-Methylpentaan</v>
      </c>
      <c r="I49" s="107"/>
      <c r="J49" s="267" t="str">
        <f>INDEX(D49:E49,'Combustion Emissions'!$J$54)</f>
        <v>mol%</v>
      </c>
      <c r="K49" s="286" t="str">
        <f>IF(Examples!E46="","",Examples!E46)</f>
        <v/>
      </c>
      <c r="L49" s="179" t="str">
        <f>IF(INDEX(F49:G49,'Combustion Emissions'!$J$54)="","",INDEX(F49:G49,'Combustion Emissions'!$J$54))</f>
        <v/>
      </c>
      <c r="M49" s="16" t="str">
        <f>IF('Combustion Emissions'!$J$54=1,"3-Methylpentaan","3-Methylpentane")</f>
        <v>3-Methylpentaan</v>
      </c>
      <c r="N49" s="13" t="s">
        <v>75</v>
      </c>
      <c r="O49" s="87">
        <f t="shared" si="2"/>
        <v>0</v>
      </c>
      <c r="P49" s="10"/>
      <c r="Q49" s="44"/>
      <c r="R49" s="14"/>
      <c r="S49" s="70"/>
      <c r="T49" s="10"/>
      <c r="U49" s="39"/>
      <c r="V49" s="16"/>
      <c r="W49" s="54"/>
      <c r="X49" s="10"/>
      <c r="Y49" s="39" t="s">
        <v>104</v>
      </c>
      <c r="Z49" s="13" t="s">
        <v>75</v>
      </c>
      <c r="AA49" s="87"/>
      <c r="AB49" s="10"/>
      <c r="AC49" s="39"/>
      <c r="AD49" s="16"/>
      <c r="AE49" s="54"/>
      <c r="AF49" s="16"/>
      <c r="AG49" s="14" t="str">
        <f t="shared" si="3"/>
        <v>3-Methylpentaan</v>
      </c>
      <c r="AH49" s="16"/>
      <c r="AI49" s="16"/>
      <c r="AJ49" s="16"/>
      <c r="AK49" s="16"/>
      <c r="AL49" s="21">
        <f t="shared" si="9"/>
        <v>4189.8220000000001</v>
      </c>
      <c r="AM49" s="21">
        <v>3881.71</v>
      </c>
      <c r="AN49" s="21">
        <f t="shared" si="10"/>
        <v>86.176600000000008</v>
      </c>
      <c r="AO49" s="8">
        <v>20.5</v>
      </c>
      <c r="AP49" s="8">
        <v>0.31590000000000001</v>
      </c>
      <c r="AQ49" s="8">
        <v>6</v>
      </c>
      <c r="AR49" s="8">
        <v>14</v>
      </c>
      <c r="AS49" s="8"/>
      <c r="AT49" s="8"/>
      <c r="AU49" s="8"/>
    </row>
    <row r="50" spans="2:47" ht="15" hidden="1" customHeight="1" x14ac:dyDescent="0.25">
      <c r="B50" s="137" t="str">
        <f>IF(Fuel1!B50="","",Fuel1!B50)</f>
        <v/>
      </c>
      <c r="C50" s="148" t="str">
        <f>IF(Fuel1!C50="","",Fuel1!C50)</f>
        <v/>
      </c>
      <c r="D50" s="137" t="str">
        <f t="shared" si="11"/>
        <v>mol%</v>
      </c>
      <c r="E50" s="148" t="str">
        <f t="shared" si="5"/>
        <v>mol%</v>
      </c>
      <c r="F50" s="148" t="str">
        <f>IF(Fuel1!F50="","",Fuel1!F50)</f>
        <v/>
      </c>
      <c r="G50" s="148" t="str">
        <f>IF(Fuel1!G50="","",Fuel1!G50)</f>
        <v/>
      </c>
      <c r="H50" s="169" t="str">
        <f t="shared" si="6"/>
        <v>Cyclohexaan</v>
      </c>
      <c r="I50" s="107"/>
      <c r="J50" s="267" t="str">
        <f>INDEX(D50:E50,'Combustion Emissions'!$J$54)</f>
        <v>mol%</v>
      </c>
      <c r="K50" s="286" t="str">
        <f>IF(Examples!E47="","",Examples!E47)</f>
        <v/>
      </c>
      <c r="L50" s="179" t="str">
        <f>IF(INDEX(F50:G50,'Combustion Emissions'!$J$54)="","",INDEX(F50:G50,'Combustion Emissions'!$J$54))</f>
        <v/>
      </c>
      <c r="M50" s="16" t="str">
        <f>IF('Combustion Emissions'!$J$54=1,"Cyclohexaan","Cyclohexane")</f>
        <v>Cyclohexaan</v>
      </c>
      <c r="N50" s="13" t="s">
        <v>75</v>
      </c>
      <c r="O50" s="87">
        <f t="shared" si="2"/>
        <v>0</v>
      </c>
      <c r="P50" s="10"/>
      <c r="Q50" s="44"/>
      <c r="R50" s="14"/>
      <c r="S50" s="70"/>
      <c r="T50" s="10"/>
      <c r="U50" s="39"/>
      <c r="V50" s="16"/>
      <c r="W50" s="54"/>
      <c r="X50" s="10"/>
      <c r="Y50" s="39" t="s">
        <v>105</v>
      </c>
      <c r="Z50" s="13" t="s">
        <v>75</v>
      </c>
      <c r="AA50" s="87"/>
      <c r="AB50" s="10"/>
      <c r="AC50" s="39"/>
      <c r="AD50" s="16"/>
      <c r="AE50" s="54"/>
      <c r="AF50" s="16"/>
      <c r="AG50" s="14" t="str">
        <f t="shared" si="3"/>
        <v>Cyclohexaan</v>
      </c>
      <c r="AH50" s="16"/>
      <c r="AI50" s="16"/>
      <c r="AJ50" s="16"/>
      <c r="AK50" s="16"/>
      <c r="AL50" s="21">
        <f t="shared" si="9"/>
        <v>3952.9659999999999</v>
      </c>
      <c r="AM50" s="21">
        <v>3688.87</v>
      </c>
      <c r="AN50" s="21">
        <f t="shared" si="10"/>
        <v>84.160799999999995</v>
      </c>
      <c r="AO50" s="8">
        <v>20.5</v>
      </c>
      <c r="AP50" s="8">
        <v>0.31979999999999997</v>
      </c>
      <c r="AQ50" s="8">
        <v>6</v>
      </c>
      <c r="AR50" s="8">
        <v>12</v>
      </c>
      <c r="AS50" s="8"/>
      <c r="AT50" s="8"/>
      <c r="AU50" s="8"/>
    </row>
    <row r="51" spans="2:47" ht="15" x14ac:dyDescent="0.25">
      <c r="B51" s="137" t="str">
        <f>IF(Fuel1!B51="","",Fuel1!B51)</f>
        <v/>
      </c>
      <c r="C51" s="148" t="str">
        <f>IF(Fuel1!C51="","",Fuel1!C51)</f>
        <v/>
      </c>
      <c r="D51" s="137" t="str">
        <f t="shared" si="11"/>
        <v>mol%</v>
      </c>
      <c r="E51" s="148" t="str">
        <f t="shared" si="5"/>
        <v>mol%</v>
      </c>
      <c r="F51" s="148" t="str">
        <f>IF(Fuel1!F51="","",Fuel1!F51)</f>
        <v/>
      </c>
      <c r="G51" s="148" t="str">
        <f>IF(Fuel1!G51="","",Fuel1!G51)</f>
        <v/>
      </c>
      <c r="H51" s="170" t="str">
        <f t="shared" si="6"/>
        <v>C6</v>
      </c>
      <c r="I51" s="135"/>
      <c r="J51" s="270" t="str">
        <f>INDEX(D51:E51,'Combustion Emissions'!$J$54)</f>
        <v>mol%</v>
      </c>
      <c r="K51" s="288" t="str">
        <f>IF(Examples!E48="","",Examples!E48)</f>
        <v/>
      </c>
      <c r="L51" s="283" t="str">
        <f>IF(INDEX(F51:G51,'Combustion Emissions'!$J$54)="","",INDEX(F51:G51,'Combustion Emissions'!$J$54))</f>
        <v/>
      </c>
      <c r="M51" s="16" t="s">
        <v>166</v>
      </c>
      <c r="N51" s="13" t="s">
        <v>75</v>
      </c>
      <c r="O51" s="87">
        <f t="shared" si="2"/>
        <v>0</v>
      </c>
      <c r="P51" s="10"/>
      <c r="Q51" s="44"/>
      <c r="R51" s="14"/>
      <c r="S51" s="70"/>
      <c r="T51" s="10"/>
      <c r="U51" s="39"/>
      <c r="V51" s="16"/>
      <c r="W51" s="54"/>
      <c r="X51" s="10"/>
      <c r="Y51" s="39" t="s">
        <v>166</v>
      </c>
      <c r="Z51" s="13" t="s">
        <v>75</v>
      </c>
      <c r="AA51" s="87"/>
      <c r="AB51" s="10"/>
      <c r="AC51" s="39"/>
      <c r="AD51" s="16"/>
      <c r="AE51" s="54"/>
      <c r="AF51" s="16"/>
      <c r="AG51" s="14" t="str">
        <f t="shared" si="3"/>
        <v>C6</v>
      </c>
      <c r="AH51" s="16"/>
      <c r="AI51" s="16"/>
      <c r="AJ51" s="16"/>
      <c r="AK51" s="16"/>
      <c r="AL51" s="21">
        <f t="shared" si="9"/>
        <v>4194.9219999999996</v>
      </c>
      <c r="AM51" s="21">
        <v>3886.81</v>
      </c>
      <c r="AN51" s="21">
        <f t="shared" si="10"/>
        <v>86.176600000000008</v>
      </c>
      <c r="AO51" s="8">
        <v>20.5</v>
      </c>
      <c r="AP51" s="8">
        <v>0.33169999999999999</v>
      </c>
      <c r="AQ51" s="8">
        <v>6</v>
      </c>
      <c r="AR51" s="8">
        <v>14</v>
      </c>
      <c r="AS51" s="8"/>
      <c r="AT51" s="8"/>
      <c r="AU51" s="8"/>
    </row>
    <row r="52" spans="2:47" ht="15" hidden="1" customHeight="1" x14ac:dyDescent="0.25">
      <c r="B52" s="137" t="str">
        <f>IF(Fuel1!B52="","",Fuel1!B52)</f>
        <v/>
      </c>
      <c r="C52" s="148" t="str">
        <f>IF(Fuel1!C52="","",Fuel1!C52)</f>
        <v/>
      </c>
      <c r="D52" s="137" t="str">
        <f t="shared" si="11"/>
        <v>mol%</v>
      </c>
      <c r="E52" s="148" t="str">
        <f t="shared" si="5"/>
        <v>mol%</v>
      </c>
      <c r="F52" s="148" t="str">
        <f>IF(Fuel1!F52="","",Fuel1!F52)</f>
        <v/>
      </c>
      <c r="G52" s="148" t="str">
        <f>IF(Fuel1!G52="","",Fuel1!G52)</f>
        <v/>
      </c>
      <c r="H52" s="169" t="str">
        <f t="shared" si="6"/>
        <v>Benzeen</v>
      </c>
      <c r="I52" s="107"/>
      <c r="J52" s="267" t="str">
        <f>INDEX(D52:E52,'Combustion Emissions'!$J$54)</f>
        <v>mol%</v>
      </c>
      <c r="K52" s="286" t="str">
        <f>IF(Examples!E49="","",Examples!E49)</f>
        <v/>
      </c>
      <c r="L52" s="179" t="str">
        <f>IF(INDEX(F52:G52,'Combustion Emissions'!$J$54)="","",INDEX(F52:G52,'Combustion Emissions'!$J$54))</f>
        <v/>
      </c>
      <c r="M52" s="165" t="str">
        <f>IF('Combustion Emissions'!$J$54=1,"Benzeen","Benzene")</f>
        <v>Benzeen</v>
      </c>
      <c r="N52" s="26" t="s">
        <v>75</v>
      </c>
      <c r="O52" s="90">
        <f t="shared" si="2"/>
        <v>0</v>
      </c>
      <c r="P52" s="10"/>
      <c r="Q52" s="44"/>
      <c r="R52" s="14"/>
      <c r="S52" s="70"/>
      <c r="T52" s="10"/>
      <c r="U52" s="39"/>
      <c r="V52" s="16"/>
      <c r="W52" s="54"/>
      <c r="X52" s="10"/>
      <c r="Y52" s="48" t="s">
        <v>106</v>
      </c>
      <c r="Z52" s="26" t="s">
        <v>75</v>
      </c>
      <c r="AA52" s="90"/>
      <c r="AB52" s="10"/>
      <c r="AC52" s="39"/>
      <c r="AD52" s="16"/>
      <c r="AE52" s="54"/>
      <c r="AF52" s="16"/>
      <c r="AG52" s="14" t="str">
        <f t="shared" si="3"/>
        <v>Benzeen</v>
      </c>
      <c r="AH52" s="16"/>
      <c r="AI52" s="16"/>
      <c r="AJ52" s="16"/>
      <c r="AK52" s="16"/>
      <c r="AL52" s="21">
        <f t="shared" si="9"/>
        <v>3301.5079999999998</v>
      </c>
      <c r="AM52" s="21">
        <v>3169.46</v>
      </c>
      <c r="AN52" s="21">
        <f t="shared" si="10"/>
        <v>78.113399999999999</v>
      </c>
      <c r="AO52" s="8">
        <v>20.5</v>
      </c>
      <c r="AP52" s="8">
        <v>0.30170000000000002</v>
      </c>
      <c r="AQ52" s="8">
        <v>6</v>
      </c>
      <c r="AR52" s="8">
        <v>6</v>
      </c>
      <c r="AS52" s="8"/>
      <c r="AT52" s="8"/>
      <c r="AU52" s="8"/>
    </row>
    <row r="53" spans="2:47" ht="15" hidden="1" customHeight="1" x14ac:dyDescent="0.25">
      <c r="B53" s="137" t="str">
        <f>IF(Fuel1!B53="","",Fuel1!B53)</f>
        <v/>
      </c>
      <c r="C53" s="148" t="str">
        <f>IF(Fuel1!C53="","",Fuel1!C53)</f>
        <v/>
      </c>
      <c r="D53" s="137" t="str">
        <f t="shared" si="11"/>
        <v>mol%</v>
      </c>
      <c r="E53" s="148" t="str">
        <f t="shared" si="5"/>
        <v>mol%</v>
      </c>
      <c r="F53" s="148" t="str">
        <f>IF(Fuel1!F53="","",Fuel1!F53)</f>
        <v/>
      </c>
      <c r="G53" s="148" t="str">
        <f>IF(Fuel1!G53="","",Fuel1!G53)</f>
        <v/>
      </c>
      <c r="H53" s="169" t="str">
        <f t="shared" si="6"/>
        <v>2-Methylhexaan</v>
      </c>
      <c r="I53" s="107"/>
      <c r="J53" s="267" t="str">
        <f>INDEX(D53:E53,'Combustion Emissions'!$J$54)</f>
        <v>mol%</v>
      </c>
      <c r="K53" s="286" t="str">
        <f>IF(Examples!E50="","",Examples!E50)</f>
        <v/>
      </c>
      <c r="L53" s="179" t="str">
        <f>IF(INDEX(F53:G53,'Combustion Emissions'!$J$54)="","",INDEX(F53:G53,'Combustion Emissions'!$J$54))</f>
        <v/>
      </c>
      <c r="M53" s="16" t="str">
        <f>IF('Combustion Emissions'!$J$54=1,"2-Methylhexaan","2-Methylhexane")</f>
        <v>2-Methylhexaan</v>
      </c>
      <c r="N53" s="13" t="s">
        <v>75</v>
      </c>
      <c r="O53" s="87">
        <f t="shared" si="2"/>
        <v>0</v>
      </c>
      <c r="P53" s="10"/>
      <c r="Q53" s="44"/>
      <c r="R53" s="14"/>
      <c r="S53" s="70"/>
      <c r="T53" s="10"/>
      <c r="U53" s="39"/>
      <c r="V53" s="16"/>
      <c r="W53" s="54"/>
      <c r="X53" s="10"/>
      <c r="Y53" s="39" t="s">
        <v>107</v>
      </c>
      <c r="Z53" s="13" t="s">
        <v>75</v>
      </c>
      <c r="AA53" s="87"/>
      <c r="AB53" s="10"/>
      <c r="AC53" s="39"/>
      <c r="AD53" s="16"/>
      <c r="AE53" s="54"/>
      <c r="AF53" s="16"/>
      <c r="AG53" s="14" t="str">
        <f t="shared" si="3"/>
        <v>2-Methylhexaan</v>
      </c>
      <c r="AH53" s="16"/>
      <c r="AI53" s="16"/>
      <c r="AJ53" s="16"/>
      <c r="AK53" s="16"/>
      <c r="AL53" s="21">
        <f t="shared" si="9"/>
        <v>4846.4979999999996</v>
      </c>
      <c r="AM53" s="21">
        <v>4494.37</v>
      </c>
      <c r="AN53" s="21">
        <f t="shared" si="10"/>
        <v>100.2034</v>
      </c>
      <c r="AO53" s="8">
        <v>20.5</v>
      </c>
      <c r="AP53" s="8">
        <v>0.3926</v>
      </c>
      <c r="AQ53" s="8">
        <v>7</v>
      </c>
      <c r="AR53" s="8">
        <v>16</v>
      </c>
      <c r="AS53" s="8"/>
      <c r="AT53" s="8"/>
      <c r="AU53" s="8"/>
    </row>
    <row r="54" spans="2:47" ht="15" hidden="1" customHeight="1" x14ac:dyDescent="0.25">
      <c r="B54" s="137" t="str">
        <f>IF(Fuel1!B54="","",Fuel1!B54)</f>
        <v/>
      </c>
      <c r="C54" s="148" t="str">
        <f>IF(Fuel1!C54="","",Fuel1!C54)</f>
        <v/>
      </c>
      <c r="D54" s="137" t="str">
        <f t="shared" si="11"/>
        <v>mol%</v>
      </c>
      <c r="E54" s="148" t="str">
        <f t="shared" si="5"/>
        <v>mol%</v>
      </c>
      <c r="F54" s="148" t="str">
        <f>IF(Fuel1!F54="","",Fuel1!F54)</f>
        <v/>
      </c>
      <c r="G54" s="148" t="str">
        <f>IF(Fuel1!G54="","",Fuel1!G54)</f>
        <v/>
      </c>
      <c r="H54" s="174" t="str">
        <f t="shared" si="6"/>
        <v>3-Methylhexaan</v>
      </c>
      <c r="I54" s="107"/>
      <c r="J54" s="271" t="str">
        <f>INDEX(D54:E54,'Combustion Emissions'!$J$54)</f>
        <v>mol%</v>
      </c>
      <c r="K54" s="286" t="str">
        <f>IF(Examples!E51="","",Examples!E51)</f>
        <v/>
      </c>
      <c r="L54" s="179" t="str">
        <f>IF(INDEX(F54:G54,'Combustion Emissions'!$J$54)="","",INDEX(F54:G54,'Combustion Emissions'!$J$54))</f>
        <v/>
      </c>
      <c r="M54" s="166" t="str">
        <f>IF('Combustion Emissions'!$J$54=1,"3-Methylhexaan","3-Methylhexane")</f>
        <v>3-Methylhexaan</v>
      </c>
      <c r="N54" s="27" t="s">
        <v>75</v>
      </c>
      <c r="O54" s="91">
        <f t="shared" si="2"/>
        <v>0</v>
      </c>
      <c r="P54" s="10"/>
      <c r="Q54" s="44"/>
      <c r="R54" s="14"/>
      <c r="S54" s="70"/>
      <c r="T54" s="10"/>
      <c r="U54" s="39"/>
      <c r="V54" s="16"/>
      <c r="W54" s="54"/>
      <c r="X54" s="10"/>
      <c r="Y54" s="49" t="s">
        <v>108</v>
      </c>
      <c r="Z54" s="27" t="s">
        <v>75</v>
      </c>
      <c r="AA54" s="91"/>
      <c r="AB54" s="10"/>
      <c r="AC54" s="39"/>
      <c r="AD54" s="16"/>
      <c r="AE54" s="54"/>
      <c r="AF54" s="16"/>
      <c r="AG54" s="14" t="str">
        <f t="shared" si="3"/>
        <v>3-Methylhexaan</v>
      </c>
      <c r="AH54" s="16"/>
      <c r="AI54" s="16"/>
      <c r="AJ54" s="16"/>
      <c r="AK54" s="16"/>
      <c r="AL54" s="21">
        <f t="shared" si="9"/>
        <v>4849.8879999999999</v>
      </c>
      <c r="AM54" s="21">
        <v>4497.76</v>
      </c>
      <c r="AN54" s="21">
        <f t="shared" si="10"/>
        <v>100.2034</v>
      </c>
      <c r="AO54" s="8">
        <v>20.5</v>
      </c>
      <c r="AP54" s="8">
        <v>0.39279999999999998</v>
      </c>
      <c r="AQ54" s="8">
        <v>7</v>
      </c>
      <c r="AR54" s="8">
        <v>16</v>
      </c>
      <c r="AS54" s="8"/>
      <c r="AT54" s="8"/>
      <c r="AU54" s="8"/>
    </row>
    <row r="55" spans="2:47" ht="15" x14ac:dyDescent="0.25">
      <c r="B55" s="137" t="str">
        <f>IF(Fuel1!B55="","",Fuel1!B55)</f>
        <v/>
      </c>
      <c r="C55" s="148" t="str">
        <f>IF(Fuel1!C55="","",Fuel1!C55)</f>
        <v/>
      </c>
      <c r="D55" s="137" t="str">
        <f t="shared" si="11"/>
        <v>mol%</v>
      </c>
      <c r="E55" s="148" t="str">
        <f t="shared" si="5"/>
        <v>mol%</v>
      </c>
      <c r="F55" s="148" t="str">
        <f>IF(Fuel1!F55="","",Fuel1!F55)</f>
        <v/>
      </c>
      <c r="G55" s="148" t="str">
        <f>IF(Fuel1!G55="","",Fuel1!G55)</f>
        <v/>
      </c>
      <c r="H55" s="169" t="str">
        <f t="shared" si="6"/>
        <v>C7</v>
      </c>
      <c r="I55" s="107"/>
      <c r="J55" s="267" t="str">
        <f>INDEX(D55:E55,'Combustion Emissions'!$J$54)</f>
        <v>mol%</v>
      </c>
      <c r="K55" s="286" t="str">
        <f>IF(Examples!E52="","",Examples!E52)</f>
        <v/>
      </c>
      <c r="L55" s="179" t="str">
        <f>IF(INDEX(F55:G55,'Combustion Emissions'!$J$54)="","",INDEX(F55:G55,'Combustion Emissions'!$J$54))</f>
        <v/>
      </c>
      <c r="M55" s="16" t="s">
        <v>167</v>
      </c>
      <c r="N55" s="13" t="s">
        <v>75</v>
      </c>
      <c r="O55" s="87">
        <f t="shared" si="2"/>
        <v>0</v>
      </c>
      <c r="P55" s="10"/>
      <c r="Q55" s="44"/>
      <c r="R55" s="14"/>
      <c r="S55" s="70"/>
      <c r="T55" s="10"/>
      <c r="U55" s="39"/>
      <c r="V55" s="16"/>
      <c r="W55" s="54"/>
      <c r="X55" s="10"/>
      <c r="Y55" s="39" t="s">
        <v>167</v>
      </c>
      <c r="Z55" s="13" t="s">
        <v>75</v>
      </c>
      <c r="AA55" s="87"/>
      <c r="AB55" s="10"/>
      <c r="AC55" s="39"/>
      <c r="AD55" s="16"/>
      <c r="AE55" s="54"/>
      <c r="AF55" s="16"/>
      <c r="AG55" s="14" t="str">
        <f t="shared" si="3"/>
        <v>C7</v>
      </c>
      <c r="AH55" s="16"/>
      <c r="AI55" s="16"/>
      <c r="AJ55" s="16"/>
      <c r="AK55" s="16"/>
      <c r="AL55" s="21">
        <f t="shared" si="9"/>
        <v>4853.5679999999993</v>
      </c>
      <c r="AM55" s="21">
        <v>4501.4399999999996</v>
      </c>
      <c r="AN55" s="21">
        <f t="shared" si="10"/>
        <v>100.2034</v>
      </c>
      <c r="AO55" s="8">
        <v>20.5</v>
      </c>
      <c r="AP55" s="8">
        <v>0.41410000000000002</v>
      </c>
      <c r="AQ55" s="8">
        <v>7</v>
      </c>
      <c r="AR55" s="8">
        <v>16</v>
      </c>
      <c r="AS55" s="8"/>
      <c r="AT55" s="8"/>
      <c r="AU55" s="8"/>
    </row>
    <row r="56" spans="2:47" ht="15" hidden="1" customHeight="1" x14ac:dyDescent="0.25">
      <c r="B56" s="137" t="str">
        <f>IF(Fuel1!B56="","",Fuel1!B56)</f>
        <v/>
      </c>
      <c r="C56" s="148" t="str">
        <f>IF(Fuel1!C56="","",Fuel1!C56)</f>
        <v/>
      </c>
      <c r="D56" s="137" t="str">
        <f t="shared" si="11"/>
        <v>mol%</v>
      </c>
      <c r="E56" s="148" t="str">
        <f t="shared" si="5"/>
        <v>mol%</v>
      </c>
      <c r="F56" s="148" t="str">
        <f>IF(Fuel1!F56="","",Fuel1!F56)</f>
        <v/>
      </c>
      <c r="G56" s="148" t="str">
        <f>IF(Fuel1!G56="","",Fuel1!G56)</f>
        <v/>
      </c>
      <c r="H56" s="169" t="str">
        <f t="shared" si="6"/>
        <v>Methylcyclohexaan</v>
      </c>
      <c r="I56" s="107"/>
      <c r="J56" s="267" t="str">
        <f>INDEX(D56:E56,'Combustion Emissions'!$J$54)</f>
        <v>mol%</v>
      </c>
      <c r="K56" s="286" t="str">
        <f>IF(Examples!E53="","",Examples!E53)</f>
        <v/>
      </c>
      <c r="L56" s="179" t="str">
        <f>IF(INDEX(F56:G56,'Combustion Emissions'!$J$54)="","",INDEX(F56:G56,'Combustion Emissions'!$J$54))</f>
        <v/>
      </c>
      <c r="M56" s="16" t="str">
        <f>IF('Combustion Emissions'!$J$54=1,"Methylcyclohexaan","Methylcyclohexane")</f>
        <v>Methylcyclohexaan</v>
      </c>
      <c r="N56" s="13" t="s">
        <v>75</v>
      </c>
      <c r="O56" s="87">
        <f t="shared" si="2"/>
        <v>0</v>
      </c>
      <c r="P56" s="10"/>
      <c r="Q56" s="44"/>
      <c r="R56" s="14"/>
      <c r="S56" s="70"/>
      <c r="T56" s="10"/>
      <c r="U56" s="39"/>
      <c r="V56" s="16"/>
      <c r="W56" s="54"/>
      <c r="X56" s="10"/>
      <c r="Y56" s="39" t="s">
        <v>109</v>
      </c>
      <c r="Z56" s="13" t="s">
        <v>75</v>
      </c>
      <c r="AA56" s="87"/>
      <c r="AB56" s="10"/>
      <c r="AC56" s="39"/>
      <c r="AD56" s="16"/>
      <c r="AE56" s="54"/>
      <c r="AF56" s="16"/>
      <c r="AG56" s="14" t="str">
        <f t="shared" si="3"/>
        <v>Methylcyclohexaan</v>
      </c>
      <c r="AH56" s="16"/>
      <c r="AI56" s="16"/>
      <c r="AJ56" s="16"/>
      <c r="AK56" s="16"/>
      <c r="AL56" s="21">
        <f t="shared" si="9"/>
        <v>4600.6819999999998</v>
      </c>
      <c r="AM56" s="21">
        <v>4292.57</v>
      </c>
      <c r="AN56" s="21">
        <f t="shared" si="10"/>
        <v>98.187600000000003</v>
      </c>
      <c r="AO56" s="8">
        <v>20.5</v>
      </c>
      <c r="AP56" s="8">
        <v>0.38969999999999999</v>
      </c>
      <c r="AQ56" s="8">
        <v>7</v>
      </c>
      <c r="AR56" s="8">
        <v>14</v>
      </c>
      <c r="AS56" s="8"/>
      <c r="AT56" s="8"/>
      <c r="AU56" s="8"/>
    </row>
    <row r="57" spans="2:47" ht="15" hidden="1" customHeight="1" x14ac:dyDescent="0.25">
      <c r="B57" s="137" t="str">
        <f>IF(Fuel1!B57="","",Fuel1!B57)</f>
        <v/>
      </c>
      <c r="C57" s="148" t="str">
        <f>IF(Fuel1!C57="","",Fuel1!C57)</f>
        <v/>
      </c>
      <c r="D57" s="137" t="str">
        <f t="shared" si="11"/>
        <v>mol%</v>
      </c>
      <c r="E57" s="148" t="str">
        <f t="shared" si="5"/>
        <v>mol%</v>
      </c>
      <c r="F57" s="148" t="str">
        <f>IF(Fuel1!F57="","",Fuel1!F57)</f>
        <v/>
      </c>
      <c r="G57" s="148" t="str">
        <f>IF(Fuel1!G57="","",Fuel1!G57)</f>
        <v/>
      </c>
      <c r="H57" s="169" t="str">
        <f t="shared" si="6"/>
        <v>Tolueen</v>
      </c>
      <c r="I57" s="108"/>
      <c r="J57" s="267" t="str">
        <f>INDEX(D57:E57,'Combustion Emissions'!$J$54)</f>
        <v>mol%</v>
      </c>
      <c r="K57" s="286" t="str">
        <f>IF(Examples!E54="","",Examples!E54)</f>
        <v/>
      </c>
      <c r="L57" s="179" t="str">
        <f>IF(INDEX(F57:G57,'Combustion Emissions'!$J$54)="","",INDEX(F57:G57,'Combustion Emissions'!$J$54))</f>
        <v/>
      </c>
      <c r="M57" s="16" t="str">
        <f>IF('Combustion Emissions'!$J$54=1,"Tolueen","Toluene")</f>
        <v>Tolueen</v>
      </c>
      <c r="N57" s="13" t="s">
        <v>75</v>
      </c>
      <c r="O57" s="87">
        <f t="shared" si="2"/>
        <v>0</v>
      </c>
      <c r="P57" s="10"/>
      <c r="Q57" s="44"/>
      <c r="R57" s="14"/>
      <c r="S57" s="70"/>
      <c r="T57" s="10"/>
      <c r="U57" s="39"/>
      <c r="V57" s="16"/>
      <c r="W57" s="54"/>
      <c r="X57" s="10"/>
      <c r="Y57" s="39" t="s">
        <v>110</v>
      </c>
      <c r="Z57" s="13" t="s">
        <v>75</v>
      </c>
      <c r="AA57" s="87"/>
      <c r="AB57" s="10"/>
      <c r="AC57" s="39"/>
      <c r="AD57" s="16"/>
      <c r="AE57" s="54"/>
      <c r="AF57" s="16"/>
      <c r="AG57" s="14" t="str">
        <f t="shared" si="3"/>
        <v>Tolueen</v>
      </c>
      <c r="AH57" s="16"/>
      <c r="AI57" s="16"/>
      <c r="AJ57" s="16"/>
      <c r="AK57" s="16"/>
      <c r="AL57" s="21">
        <f t="shared" si="9"/>
        <v>3947.944</v>
      </c>
      <c r="AM57" s="21">
        <v>3771.88</v>
      </c>
      <c r="AN57" s="21">
        <f t="shared" si="10"/>
        <v>92.140199999999993</v>
      </c>
      <c r="AO57" s="8">
        <v>20.5</v>
      </c>
      <c r="AP57" s="8">
        <v>0.3901</v>
      </c>
      <c r="AQ57" s="8">
        <v>7</v>
      </c>
      <c r="AR57" s="8">
        <v>8</v>
      </c>
      <c r="AS57" s="8"/>
      <c r="AT57" s="8"/>
      <c r="AU57" s="8"/>
    </row>
    <row r="58" spans="2:47" ht="15" hidden="1" customHeight="1" x14ac:dyDescent="0.25">
      <c r="B58" s="137" t="str">
        <f>IF(Fuel1!B58="","",Fuel1!B58)</f>
        <v/>
      </c>
      <c r="C58" s="148" t="str">
        <f>IF(Fuel1!C58="","",Fuel1!C58)</f>
        <v/>
      </c>
      <c r="D58" s="137" t="str">
        <f t="shared" si="11"/>
        <v>mol%</v>
      </c>
      <c r="E58" s="148" t="str">
        <f t="shared" si="5"/>
        <v>mol%</v>
      </c>
      <c r="F58" s="148" t="str">
        <f>IF(Fuel1!F58="","",Fuel1!F58)</f>
        <v/>
      </c>
      <c r="G58" s="148" t="str">
        <f>IF(Fuel1!G58="","",Fuel1!G58)</f>
        <v/>
      </c>
      <c r="H58" s="175" t="str">
        <f t="shared" si="6"/>
        <v>2-Methylheptaan</v>
      </c>
      <c r="I58" s="107"/>
      <c r="J58" s="272" t="str">
        <f>INDEX(D58:E58,'Combustion Emissions'!$J$54)</f>
        <v>mol%</v>
      </c>
      <c r="K58" s="286" t="str">
        <f>IF(Examples!E55="","",Examples!E55)</f>
        <v/>
      </c>
      <c r="L58" s="179" t="str">
        <f>IF(INDEX(F58:G58,'Combustion Emissions'!$J$54)="","",INDEX(F58:G58,'Combustion Emissions'!$J$54))</f>
        <v/>
      </c>
      <c r="M58" s="161" t="str">
        <f>IF('Combustion Emissions'!$J$54=1,"2-Methylheptaan","2-Methylheptane")</f>
        <v>2-Methylheptaan</v>
      </c>
      <c r="N58" s="25" t="s">
        <v>75</v>
      </c>
      <c r="O58" s="89">
        <f t="shared" si="2"/>
        <v>0</v>
      </c>
      <c r="P58" s="10"/>
      <c r="Q58" s="44"/>
      <c r="R58" s="14"/>
      <c r="S58" s="70"/>
      <c r="T58" s="10"/>
      <c r="U58" s="39"/>
      <c r="V58" s="16"/>
      <c r="W58" s="54"/>
      <c r="X58" s="10"/>
      <c r="Y58" s="47" t="s">
        <v>159</v>
      </c>
      <c r="Z58" s="25" t="s">
        <v>75</v>
      </c>
      <c r="AA58" s="89"/>
      <c r="AB58" s="10"/>
      <c r="AC58" s="39"/>
      <c r="AD58" s="16"/>
      <c r="AE58" s="54"/>
      <c r="AF58" s="16"/>
      <c r="AG58" s="14" t="str">
        <f t="shared" si="3"/>
        <v>2-Methylheptaan</v>
      </c>
      <c r="AH58" s="16"/>
      <c r="AI58" s="16"/>
      <c r="AJ58" s="16"/>
      <c r="AK58" s="16"/>
      <c r="AL58" s="21">
        <f t="shared" si="9"/>
        <v>5504.7139999999999</v>
      </c>
      <c r="AM58" s="21">
        <v>5108.57</v>
      </c>
      <c r="AN58" s="21">
        <f t="shared" si="10"/>
        <v>114.2302</v>
      </c>
      <c r="AO58" s="8">
        <v>20.5</v>
      </c>
      <c r="AP58" s="8">
        <v>0.4955</v>
      </c>
      <c r="AQ58" s="8">
        <v>8</v>
      </c>
      <c r="AR58" s="8">
        <v>18</v>
      </c>
      <c r="AS58" s="8"/>
      <c r="AT58" s="8"/>
      <c r="AU58" s="8"/>
    </row>
    <row r="59" spans="2:47" ht="15" hidden="1" customHeight="1" x14ac:dyDescent="0.25">
      <c r="B59" s="137" t="str">
        <f>IF(Fuel1!B59="","",Fuel1!B59)</f>
        <v/>
      </c>
      <c r="C59" s="148" t="str">
        <f>IF(Fuel1!C59="","",Fuel1!C59)</f>
        <v/>
      </c>
      <c r="D59" s="137" t="str">
        <f t="shared" si="11"/>
        <v>mol%</v>
      </c>
      <c r="E59" s="148" t="str">
        <f t="shared" si="5"/>
        <v>mol%</v>
      </c>
      <c r="F59" s="148" t="str">
        <f>IF(Fuel1!F59="","",Fuel1!F59)</f>
        <v/>
      </c>
      <c r="G59" s="148" t="str">
        <f>IF(Fuel1!G59="","",Fuel1!G59)</f>
        <v/>
      </c>
      <c r="H59" s="169" t="str">
        <f t="shared" si="6"/>
        <v>2,2,4-Trimethylpentaan</v>
      </c>
      <c r="I59" s="107"/>
      <c r="J59" s="267" t="str">
        <f>INDEX(D59:E59,'Combustion Emissions'!$J$54)</f>
        <v>mol%</v>
      </c>
      <c r="K59" s="286" t="str">
        <f>IF(Examples!E56="","",Examples!E56)</f>
        <v/>
      </c>
      <c r="L59" s="179" t="str">
        <f>IF(INDEX(F59:G59,'Combustion Emissions'!$J$54)="","",INDEX(F59:G59,'Combustion Emissions'!$J$54))</f>
        <v/>
      </c>
      <c r="M59" s="16" t="str">
        <f>IF('Combustion Emissions'!$J$54=1,"2,2,4-Trimethylpentaan","2,2,4-Trimethylpentane")</f>
        <v>2,2,4-Trimethylpentaan</v>
      </c>
      <c r="N59" s="13" t="s">
        <v>75</v>
      </c>
      <c r="O59" s="87">
        <f t="shared" si="2"/>
        <v>0</v>
      </c>
      <c r="P59" s="10"/>
      <c r="Q59" s="44"/>
      <c r="R59" s="14"/>
      <c r="S59" s="70"/>
      <c r="T59" s="10"/>
      <c r="U59" s="44"/>
      <c r="V59" s="30"/>
      <c r="W59" s="70"/>
      <c r="X59" s="10"/>
      <c r="Y59" s="39" t="s">
        <v>111</v>
      </c>
      <c r="Z59" s="13" t="s">
        <v>75</v>
      </c>
      <c r="AA59" s="87"/>
      <c r="AB59" s="10"/>
      <c r="AC59" s="44"/>
      <c r="AD59" s="30"/>
      <c r="AE59" s="70"/>
      <c r="AF59" s="30"/>
      <c r="AG59" s="14" t="str">
        <f t="shared" si="3"/>
        <v>2,2,4-Trimethylpentaan</v>
      </c>
      <c r="AH59" s="30"/>
      <c r="AI59" s="30"/>
      <c r="AJ59" s="30"/>
      <c r="AK59" s="30"/>
      <c r="AL59" s="21">
        <f t="shared" si="9"/>
        <v>5496.5240000000003</v>
      </c>
      <c r="AM59" s="21">
        <v>5100.38</v>
      </c>
      <c r="AN59" s="21">
        <f t="shared" si="10"/>
        <v>114.2302</v>
      </c>
      <c r="AO59" s="8">
        <v>20.5</v>
      </c>
      <c r="AP59" s="8">
        <v>0.41959999999999997</v>
      </c>
      <c r="AQ59" s="8">
        <v>8</v>
      </c>
      <c r="AR59" s="8">
        <v>18</v>
      </c>
      <c r="AS59" s="8"/>
      <c r="AT59" s="8"/>
      <c r="AU59" s="8"/>
    </row>
    <row r="60" spans="2:47" ht="15" x14ac:dyDescent="0.25">
      <c r="B60" s="137" t="str">
        <f>IF(Fuel1!B60="","",Fuel1!B60)</f>
        <v/>
      </c>
      <c r="C60" s="148" t="str">
        <f>IF(Fuel1!C60="","",Fuel1!C60)</f>
        <v/>
      </c>
      <c r="D60" s="137" t="str">
        <f t="shared" si="11"/>
        <v>mol%</v>
      </c>
      <c r="E60" s="148" t="str">
        <f t="shared" si="5"/>
        <v>mol%</v>
      </c>
      <c r="F60" s="148" t="str">
        <f>IF(Fuel1!F60="","",Fuel1!F60)</f>
        <v/>
      </c>
      <c r="G60" s="148" t="str">
        <f>IF(Fuel1!G60="","",Fuel1!G60)</f>
        <v/>
      </c>
      <c r="H60" s="169" t="str">
        <f t="shared" si="6"/>
        <v>C8</v>
      </c>
      <c r="I60" s="107"/>
      <c r="J60" s="267" t="str">
        <f>INDEX(D60:E60,'Combustion Emissions'!$J$54)</f>
        <v>mol%</v>
      </c>
      <c r="K60" s="286" t="str">
        <f>IF(Examples!E57="","",Examples!E57)</f>
        <v/>
      </c>
      <c r="L60" s="179" t="str">
        <f>IF(INDEX(F60:G60,'Combustion Emissions'!$J$54)="","",INDEX(F60:G60,'Combustion Emissions'!$J$54))</f>
        <v/>
      </c>
      <c r="M60" s="159" t="s">
        <v>168</v>
      </c>
      <c r="N60" s="23" t="s">
        <v>75</v>
      </c>
      <c r="O60" s="88">
        <f t="shared" si="2"/>
        <v>0</v>
      </c>
      <c r="P60" s="10"/>
      <c r="Q60" s="82"/>
      <c r="R60" s="83"/>
      <c r="S60" s="99"/>
      <c r="T60" s="31"/>
      <c r="U60" s="100"/>
      <c r="V60" s="101"/>
      <c r="W60" s="102"/>
      <c r="X60" s="10"/>
      <c r="Y60" s="46" t="s">
        <v>168</v>
      </c>
      <c r="Z60" s="23" t="s">
        <v>75</v>
      </c>
      <c r="AA60" s="88"/>
      <c r="AB60" s="31"/>
      <c r="AC60" s="100"/>
      <c r="AD60" s="101"/>
      <c r="AE60" s="102"/>
      <c r="AF60" s="31"/>
      <c r="AG60" s="14" t="str">
        <f t="shared" si="3"/>
        <v>C8</v>
      </c>
      <c r="AH60" s="31"/>
      <c r="AI60" s="31"/>
      <c r="AJ60" s="31"/>
      <c r="AK60" s="31"/>
      <c r="AL60" s="21">
        <f t="shared" si="9"/>
        <v>5511.7139999999999</v>
      </c>
      <c r="AM60" s="21">
        <v>5115.57</v>
      </c>
      <c r="AN60" s="21">
        <f t="shared" si="10"/>
        <v>114.2302</v>
      </c>
      <c r="AO60" s="8">
        <v>20.5</v>
      </c>
      <c r="AP60" s="8">
        <v>0.51259999999999994</v>
      </c>
      <c r="AQ60" s="8">
        <v>8</v>
      </c>
      <c r="AR60" s="8">
        <v>18</v>
      </c>
      <c r="AS60" s="8"/>
      <c r="AT60" s="8"/>
      <c r="AU60" s="8"/>
    </row>
    <row r="61" spans="2:47" ht="16.5" customHeight="1" thickBot="1" x14ac:dyDescent="0.3">
      <c r="B61" s="139" t="str">
        <f>IF(Fuel1!B61="","",Fuel1!B61)</f>
        <v>Totaal</v>
      </c>
      <c r="C61" s="139" t="str">
        <f>IF(Fuel1!C61="","",Fuel1!C61)</f>
        <v>Total</v>
      </c>
      <c r="D61" s="137" t="str">
        <f t="shared" si="11"/>
        <v>mol%</v>
      </c>
      <c r="E61" s="150" t="str">
        <f t="shared" si="5"/>
        <v>mol%</v>
      </c>
      <c r="F61" s="150" t="str">
        <f>IF(Fuel1!F61="","",Fuel1!F61)</f>
        <v/>
      </c>
      <c r="G61" s="150" t="str">
        <f>IF(Fuel1!G61="","",Fuel1!G61)</f>
        <v/>
      </c>
      <c r="H61" s="176" t="str">
        <f>INDEX(B61:C61,'Combustion Emissions'!$J$54)</f>
        <v>Totaal</v>
      </c>
      <c r="I61" s="136">
        <f>IF($AH$7=1,IF(O61="","",O61),IF($AH$7=3,IF(S61="","",S61),IF($AH$7=5,IF(W61="","",W61),"")))</f>
        <v>0</v>
      </c>
      <c r="J61" s="273" t="str">
        <f>INDEX(D61:E61,'Combustion Emissions'!$J$54)</f>
        <v>mol%</v>
      </c>
      <c r="K61" s="289" t="str">
        <f>IF(Examples!E58="","",Examples!E58)</f>
        <v/>
      </c>
      <c r="L61" s="181"/>
      <c r="M61" s="167" t="s">
        <v>112</v>
      </c>
      <c r="N61" s="57" t="s">
        <v>75</v>
      </c>
      <c r="O61" s="80">
        <f>SUM(O25:O60)/100</f>
        <v>0</v>
      </c>
      <c r="P61" s="10"/>
      <c r="Q61" s="61" t="s">
        <v>112</v>
      </c>
      <c r="R61" s="62"/>
      <c r="S61" s="98">
        <f>SUM(S30:S34)</f>
        <v>0</v>
      </c>
      <c r="T61" s="32"/>
      <c r="U61" s="71" t="s">
        <v>112</v>
      </c>
      <c r="V61" s="72"/>
      <c r="W61" s="73">
        <f>SUM(W30:W35)</f>
        <v>0</v>
      </c>
      <c r="X61" s="10"/>
      <c r="Y61" s="56" t="s">
        <v>112</v>
      </c>
      <c r="Z61" s="57" t="s">
        <v>75</v>
      </c>
      <c r="AA61" s="80">
        <f>SUM(AA25:AA60)/100</f>
        <v>1</v>
      </c>
      <c r="AB61" s="32"/>
      <c r="AC61" s="71" t="s">
        <v>112</v>
      </c>
      <c r="AD61" s="72"/>
      <c r="AE61" s="73">
        <f>SUM(AE30:AE35)</f>
        <v>1.4</v>
      </c>
      <c r="AF61" s="32"/>
      <c r="AG61" s="32"/>
      <c r="AH61" s="32"/>
      <c r="AI61" s="32"/>
      <c r="AJ61" s="32"/>
      <c r="AK61" s="32"/>
      <c r="AL61" s="8"/>
      <c r="AM61" s="21"/>
      <c r="AN61" s="21"/>
      <c r="AO61" s="8"/>
      <c r="AP61" s="8"/>
      <c r="AQ61" s="8"/>
      <c r="AR61" s="8"/>
      <c r="AS61" s="8"/>
      <c r="AT61" s="8"/>
      <c r="AU61" s="8"/>
    </row>
    <row r="62" spans="2:47" ht="15.75" hidden="1" thickBot="1" x14ac:dyDescent="0.3">
      <c r="B62" s="8"/>
      <c r="C62" s="8"/>
      <c r="D62" s="8"/>
      <c r="E62" s="8"/>
      <c r="F62" s="8"/>
      <c r="G62" s="8"/>
      <c r="H62" s="16"/>
      <c r="I62" s="13"/>
      <c r="J62" s="13"/>
      <c r="K62" s="13"/>
      <c r="L62" s="10"/>
      <c r="M62" s="325" t="s">
        <v>219</v>
      </c>
      <c r="N62" s="325"/>
      <c r="O62" s="325"/>
      <c r="P62" s="10"/>
      <c r="Q62" s="325" t="s">
        <v>219</v>
      </c>
      <c r="R62" s="325"/>
      <c r="S62" s="325"/>
      <c r="T62" s="33"/>
      <c r="U62" s="325" t="s">
        <v>219</v>
      </c>
      <c r="V62" s="325"/>
      <c r="W62" s="325"/>
      <c r="X62" s="10"/>
      <c r="Y62" s="325" t="s">
        <v>219</v>
      </c>
      <c r="Z62" s="325"/>
      <c r="AA62" s="325"/>
      <c r="AB62" s="33"/>
      <c r="AC62" s="325" t="s">
        <v>219</v>
      </c>
      <c r="AD62" s="325"/>
      <c r="AE62" s="325"/>
      <c r="AF62" s="33"/>
      <c r="AG62" s="33"/>
      <c r="AH62" s="33"/>
      <c r="AI62" s="33"/>
      <c r="AJ62" s="33"/>
      <c r="AK62" s="33"/>
      <c r="AL62" s="22"/>
      <c r="AM62" s="8"/>
      <c r="AN62" s="28"/>
      <c r="AO62" s="8"/>
      <c r="AP62" s="8"/>
      <c r="AQ62" s="22"/>
      <c r="AR62" s="22"/>
      <c r="AS62" s="22"/>
      <c r="AT62" s="22"/>
      <c r="AU62" s="22"/>
    </row>
    <row r="63" spans="2:47" ht="15" hidden="1" x14ac:dyDescent="0.25">
      <c r="B63" s="8"/>
      <c r="C63" s="8"/>
      <c r="D63" s="8"/>
      <c r="E63" s="8"/>
      <c r="F63" s="8"/>
      <c r="G63" s="8"/>
      <c r="H63" s="16"/>
      <c r="I63" s="13"/>
      <c r="J63" s="13"/>
      <c r="K63" s="13"/>
      <c r="L63" s="10"/>
      <c r="M63" s="39" t="s">
        <v>113</v>
      </c>
      <c r="N63" s="13"/>
      <c r="O63" s="51"/>
      <c r="P63" s="10"/>
      <c r="Q63" s="37" t="s">
        <v>113</v>
      </c>
      <c r="R63" s="63"/>
      <c r="S63" s="64"/>
      <c r="T63" s="8"/>
      <c r="U63" s="37" t="s">
        <v>113</v>
      </c>
      <c r="V63" s="63"/>
      <c r="W63" s="64"/>
      <c r="X63" s="10"/>
      <c r="Y63" s="39" t="s">
        <v>113</v>
      </c>
      <c r="Z63" s="13"/>
      <c r="AA63" s="51"/>
      <c r="AB63" s="8"/>
      <c r="AC63" s="37" t="s">
        <v>113</v>
      </c>
      <c r="AD63" s="63"/>
      <c r="AE63" s="64"/>
      <c r="AF63" s="36"/>
      <c r="AG63" s="36"/>
      <c r="AH63" s="36"/>
      <c r="AI63" s="36"/>
      <c r="AJ63" s="36"/>
      <c r="AK63" s="36"/>
      <c r="AL63" s="8"/>
      <c r="AM63" s="8"/>
      <c r="AN63" s="8"/>
      <c r="AO63" s="8"/>
      <c r="AP63" s="8"/>
      <c r="AQ63" s="8"/>
      <c r="AR63" s="8"/>
      <c r="AS63" s="8"/>
      <c r="AT63" s="8"/>
      <c r="AU63" s="8"/>
    </row>
    <row r="64" spans="2:47" ht="15" hidden="1" x14ac:dyDescent="0.25">
      <c r="B64" s="8"/>
      <c r="C64" s="8"/>
      <c r="D64" s="8"/>
      <c r="E64" s="8"/>
      <c r="F64" s="8"/>
      <c r="G64" s="8"/>
      <c r="H64" s="16"/>
      <c r="I64" s="13"/>
      <c r="J64" s="13"/>
      <c r="K64" s="13"/>
      <c r="L64" s="10"/>
      <c r="M64" s="39" t="s">
        <v>114</v>
      </c>
      <c r="N64" s="13"/>
      <c r="O64" s="51" t="str">
        <f ca="1">IF(O87="","",(O80+O81/4-O84/2+O83))</f>
        <v/>
      </c>
      <c r="P64" s="10"/>
      <c r="Q64" s="39" t="s">
        <v>115</v>
      </c>
      <c r="R64" s="14" t="s">
        <v>116</v>
      </c>
      <c r="S64" s="65" t="str">
        <f ca="1">IF(SUM(S80:S84)=0,"",(S80/12.011+S81/1.0079/4-S85/15.9994/2+S83/32.06)*1000)</f>
        <v/>
      </c>
      <c r="T64" s="8"/>
      <c r="U64" s="39" t="s">
        <v>115</v>
      </c>
      <c r="V64" s="14" t="s">
        <v>116</v>
      </c>
      <c r="W64" s="65" t="str">
        <f ca="1">IF(W86="","",(W80/12.011+W81/1.0079/4-W84/15.9994/2+W83/32.06)*1000*(1-W85))</f>
        <v/>
      </c>
      <c r="X64" s="10"/>
      <c r="Y64" s="39" t="s">
        <v>114</v>
      </c>
      <c r="Z64" s="13"/>
      <c r="AA64" s="51">
        <f ca="1">IF(AA87="","",(AA80+AA81/4-AA84/2+AA83))</f>
        <v>0.79999999999999993</v>
      </c>
      <c r="AB64" s="8"/>
      <c r="AC64" s="39" t="s">
        <v>115</v>
      </c>
      <c r="AD64" s="14" t="s">
        <v>116</v>
      </c>
      <c r="AE64" s="65">
        <f ca="1">IF(AE86="","",(AE80/12.011+AE81/1.0079/4-AE84/15.9994/2+AE83/32.06)*1000*(1-AE85))</f>
        <v>22.143927143983749</v>
      </c>
      <c r="AF64" s="35"/>
      <c r="AG64" s="35"/>
      <c r="AH64" s="35"/>
      <c r="AI64" s="35"/>
      <c r="AJ64" s="35"/>
      <c r="AK64" s="35"/>
      <c r="AL64" s="8"/>
      <c r="AM64" s="8"/>
      <c r="AN64" s="8"/>
      <c r="AO64" s="8"/>
      <c r="AP64" s="8"/>
      <c r="AQ64" s="8"/>
      <c r="AR64" s="8"/>
      <c r="AS64" s="8"/>
      <c r="AT64" s="8"/>
      <c r="AU64" s="8"/>
    </row>
    <row r="65" spans="2:47" ht="15" hidden="1" x14ac:dyDescent="0.25">
      <c r="B65" s="8"/>
      <c r="C65" s="8"/>
      <c r="D65" s="8"/>
      <c r="E65" s="8"/>
      <c r="F65" s="8"/>
      <c r="G65" s="8"/>
      <c r="H65" s="16"/>
      <c r="I65" s="13"/>
      <c r="J65" s="13"/>
      <c r="K65" s="13"/>
      <c r="L65" s="10"/>
      <c r="M65" s="39" t="s">
        <v>59</v>
      </c>
      <c r="N65" s="13" t="s">
        <v>60</v>
      </c>
      <c r="O65" s="51" t="str">
        <f ca="1">IF(O80="","",O80*$AO$34/O$94)</f>
        <v/>
      </c>
      <c r="P65" s="10"/>
      <c r="Q65" s="39" t="s">
        <v>59</v>
      </c>
      <c r="R65" s="14" t="s">
        <v>61</v>
      </c>
      <c r="S65" s="65" t="str">
        <f ca="1">IF(SUM(S80:S84)=0,"",(S80/12.011)*$AO$34)</f>
        <v/>
      </c>
      <c r="T65" s="8"/>
      <c r="U65" s="39" t="s">
        <v>59</v>
      </c>
      <c r="V65" s="14" t="s">
        <v>61</v>
      </c>
      <c r="W65" s="65" t="str">
        <f ca="1">IF(W86="","",(W80/12.011)*$AO$34*(1-W85))</f>
        <v/>
      </c>
      <c r="X65" s="10"/>
      <c r="Y65" s="39" t="s">
        <v>59</v>
      </c>
      <c r="Z65" s="13" t="s">
        <v>60</v>
      </c>
      <c r="AA65" s="51">
        <f ca="1">IF(AA80="","",AA80*$AO$34/AA$94)</f>
        <v>0.99608891248754849</v>
      </c>
      <c r="AB65" s="8"/>
      <c r="AC65" s="39" t="s">
        <v>59</v>
      </c>
      <c r="AD65" s="14" t="s">
        <v>61</v>
      </c>
      <c r="AE65" s="65">
        <f ca="1">IF(AE86="","",(AE80/12.011)*$AO$34*(1-AE85))</f>
        <v>0.49341112646740481</v>
      </c>
      <c r="AF65" s="35"/>
      <c r="AG65" s="35"/>
      <c r="AH65" s="35"/>
      <c r="AI65" s="35"/>
      <c r="AJ65" s="35"/>
      <c r="AK65" s="35"/>
      <c r="AL65" s="8"/>
      <c r="AM65" s="8"/>
      <c r="AN65" s="8"/>
      <c r="AO65" s="8"/>
      <c r="AP65" s="8"/>
      <c r="AQ65" s="8"/>
      <c r="AR65" s="8"/>
      <c r="AS65" s="8"/>
      <c r="AT65" s="8"/>
      <c r="AU65" s="8"/>
    </row>
    <row r="66" spans="2:47" ht="15" hidden="1" x14ac:dyDescent="0.25">
      <c r="B66" s="8"/>
      <c r="C66" s="8"/>
      <c r="D66" s="8"/>
      <c r="E66" s="8"/>
      <c r="F66" s="8"/>
      <c r="G66" s="8"/>
      <c r="H66" s="16"/>
      <c r="I66" s="13"/>
      <c r="J66" s="13"/>
      <c r="K66" s="13"/>
      <c r="L66" s="10"/>
      <c r="M66" s="39" t="s">
        <v>62</v>
      </c>
      <c r="N66" s="13" t="s">
        <v>60</v>
      </c>
      <c r="O66" s="51" t="str">
        <f ca="1">IF(O81="","",O81/2*$AO$29/O94)</f>
        <v/>
      </c>
      <c r="P66" s="10"/>
      <c r="Q66" s="39" t="s">
        <v>62</v>
      </c>
      <c r="R66" s="14" t="s">
        <v>61</v>
      </c>
      <c r="S66" s="65" t="str">
        <f ca="1">IF(SUM(S80:S84)=0,"",(S81/1.0079/2)*$AO$29)</f>
        <v/>
      </c>
      <c r="T66" s="8"/>
      <c r="U66" s="39" t="s">
        <v>62</v>
      </c>
      <c r="V66" s="14" t="s">
        <v>61</v>
      </c>
      <c r="W66" s="65" t="str">
        <f ca="1">IF(W86="","",((W81/1.0079/2*(1-W85))+(W85/$AN$29))*$AO$29)</f>
        <v/>
      </c>
      <c r="X66" s="10"/>
      <c r="Y66" s="39" t="s">
        <v>62</v>
      </c>
      <c r="Z66" s="13" t="s">
        <v>60</v>
      </c>
      <c r="AA66" s="51">
        <f ca="1">IF(AA81="","",AA81/2*$AO$29/AA94)</f>
        <v>0.77476616892644334</v>
      </c>
      <c r="AB66" s="8"/>
      <c r="AC66" s="39" t="s">
        <v>62</v>
      </c>
      <c r="AD66" s="14" t="s">
        <v>61</v>
      </c>
      <c r="AE66" s="65">
        <f ca="1">IF(AE86="","",((AE81/1.0079/2*(1-AE85))+(AE85/$AN$29))*$AO$29)</f>
        <v>0.87938505481636253</v>
      </c>
      <c r="AF66" s="35"/>
      <c r="AG66" s="35"/>
      <c r="AH66" s="35"/>
      <c r="AI66" s="35"/>
      <c r="AJ66" s="35"/>
      <c r="AK66" s="35"/>
      <c r="AL66" s="8"/>
      <c r="AM66" s="8"/>
      <c r="AN66" s="8"/>
      <c r="AO66" s="8"/>
      <c r="AP66" s="8"/>
      <c r="AQ66" s="8"/>
      <c r="AR66" s="8"/>
      <c r="AS66" s="8"/>
      <c r="AT66" s="8"/>
      <c r="AU66" s="8"/>
    </row>
    <row r="67" spans="2:47" ht="15" hidden="1" x14ac:dyDescent="0.25">
      <c r="B67" s="8"/>
      <c r="C67" s="8"/>
      <c r="D67" s="8"/>
      <c r="E67" s="8"/>
      <c r="F67" s="8"/>
      <c r="G67" s="8"/>
      <c r="H67" s="16"/>
      <c r="I67" s="13"/>
      <c r="J67" s="13"/>
      <c r="K67" s="13"/>
      <c r="L67" s="10"/>
      <c r="M67" s="39" t="s">
        <v>63</v>
      </c>
      <c r="N67" s="13" t="s">
        <v>60</v>
      </c>
      <c r="O67" s="51" t="str">
        <f ca="1">IF(O82="","",O82/2*$AO$30/O94)</f>
        <v/>
      </c>
      <c r="P67" s="10"/>
      <c r="Q67" s="39" t="s">
        <v>63</v>
      </c>
      <c r="R67" s="14" t="s">
        <v>61</v>
      </c>
      <c r="S67" s="65" t="str">
        <f ca="1">IF(SUM(S80:S84)=0,"",(S82/14.0067/2)*$AO$30)</f>
        <v/>
      </c>
      <c r="T67" s="8"/>
      <c r="U67" s="39" t="s">
        <v>63</v>
      </c>
      <c r="V67" s="14" t="s">
        <v>61</v>
      </c>
      <c r="W67" s="65" t="str">
        <f ca="1">IF(W86="","",(W82/14.0067/2)*$AO$30*(1-W85))</f>
        <v/>
      </c>
      <c r="X67" s="10"/>
      <c r="Y67" s="39" t="s">
        <v>63</v>
      </c>
      <c r="Z67" s="13" t="s">
        <v>60</v>
      </c>
      <c r="AA67" s="51">
        <f ca="1">IF(AA82="","",AA82/2*$AO$30/AA94)</f>
        <v>0</v>
      </c>
      <c r="AB67" s="8"/>
      <c r="AC67" s="39" t="s">
        <v>63</v>
      </c>
      <c r="AD67" s="14" t="s">
        <v>61</v>
      </c>
      <c r="AE67" s="65">
        <f ca="1">IF(AE86="","",(AE82/14.0067/2)*$AO$30*(1-AE85))</f>
        <v>0</v>
      </c>
      <c r="AF67" s="35"/>
      <c r="AG67" s="35"/>
      <c r="AH67" s="35"/>
      <c r="AI67" s="35"/>
      <c r="AJ67" s="35"/>
      <c r="AK67" s="35"/>
      <c r="AL67" s="8"/>
      <c r="AM67" s="8"/>
      <c r="AN67" s="8"/>
      <c r="AO67" s="8"/>
      <c r="AP67" s="8"/>
      <c r="AQ67" s="8"/>
      <c r="AR67" s="8"/>
      <c r="AS67" s="8"/>
      <c r="AT67" s="8"/>
      <c r="AU67" s="8"/>
    </row>
    <row r="68" spans="2:47" ht="15" hidden="1" x14ac:dyDescent="0.25">
      <c r="B68" s="8"/>
      <c r="C68" s="8"/>
      <c r="D68" s="8"/>
      <c r="E68" s="8"/>
      <c r="F68" s="8"/>
      <c r="G68" s="8"/>
      <c r="H68" s="16"/>
      <c r="I68" s="13"/>
      <c r="J68" s="13"/>
      <c r="K68" s="13"/>
      <c r="L68" s="10"/>
      <c r="M68" s="39" t="s">
        <v>64</v>
      </c>
      <c r="N68" s="13" t="s">
        <v>60</v>
      </c>
      <c r="O68" s="51" t="str">
        <f ca="1">IF(O83="","",O83*22.4/O94)</f>
        <v/>
      </c>
      <c r="P68" s="10"/>
      <c r="Q68" s="39" t="s">
        <v>64</v>
      </c>
      <c r="R68" s="14" t="s">
        <v>61</v>
      </c>
      <c r="S68" s="65" t="str">
        <f ca="1">IF(SUM(S80:S84)=0,"",(S83/32)*22.4)</f>
        <v/>
      </c>
      <c r="T68" s="8"/>
      <c r="U68" s="39" t="s">
        <v>64</v>
      </c>
      <c r="V68" s="14" t="s">
        <v>61</v>
      </c>
      <c r="W68" s="65" t="str">
        <f ca="1">IF(W86="","",(W83/32)*22.4*(1-W85))</f>
        <v/>
      </c>
      <c r="X68" s="10"/>
      <c r="Y68" s="39" t="s">
        <v>64</v>
      </c>
      <c r="Z68" s="13" t="s">
        <v>60</v>
      </c>
      <c r="AA68" s="51">
        <f ca="1">IF(AA83="","",AA83*22.4/AA94)</f>
        <v>0</v>
      </c>
      <c r="AB68" s="8"/>
      <c r="AC68" s="39" t="s">
        <v>64</v>
      </c>
      <c r="AD68" s="14" t="s">
        <v>61</v>
      </c>
      <c r="AE68" s="65">
        <f ca="1">IF(AE86="","",(AE83/32)*22.4*(1-AE85))</f>
        <v>0</v>
      </c>
      <c r="AF68" s="35"/>
      <c r="AG68" s="35"/>
      <c r="AH68" s="35"/>
      <c r="AI68" s="35"/>
      <c r="AJ68" s="35"/>
      <c r="AK68" s="35"/>
      <c r="AL68" s="8"/>
      <c r="AM68" s="8"/>
      <c r="AN68" s="8"/>
      <c r="AO68" s="8"/>
      <c r="AP68" s="8"/>
      <c r="AQ68" s="8"/>
      <c r="AR68" s="8"/>
      <c r="AS68" s="8"/>
      <c r="AT68" s="8"/>
      <c r="AU68" s="8"/>
    </row>
    <row r="69" spans="2:47" ht="15" hidden="1" x14ac:dyDescent="0.25">
      <c r="B69" s="8"/>
      <c r="C69" s="8"/>
      <c r="D69" s="8"/>
      <c r="E69" s="8"/>
      <c r="F69" s="8"/>
      <c r="G69" s="8"/>
      <c r="H69" s="16"/>
      <c r="I69" s="13"/>
      <c r="J69" s="13"/>
      <c r="K69" s="13"/>
      <c r="L69" s="10"/>
      <c r="M69" s="39" t="s">
        <v>117</v>
      </c>
      <c r="N69" s="13" t="s">
        <v>60</v>
      </c>
      <c r="O69" s="51" t="str">
        <f ca="1">IF(O64="","",O64/0.2095*22.4003/O94)</f>
        <v/>
      </c>
      <c r="P69" s="10"/>
      <c r="Q69" s="39" t="s">
        <v>117</v>
      </c>
      <c r="R69" s="14" t="s">
        <v>61</v>
      </c>
      <c r="S69" s="65" t="str">
        <f ca="1">IF(SUM(S80:S84)=0,"",S64/0.2095*22.4003/1000)</f>
        <v/>
      </c>
      <c r="T69" s="8"/>
      <c r="U69" s="39" t="s">
        <v>117</v>
      </c>
      <c r="V69" s="14" t="s">
        <v>61</v>
      </c>
      <c r="W69" s="52" t="str">
        <f ca="1">IF(W86="","",W64/0.2095*22.4003/1000)</f>
        <v/>
      </c>
      <c r="X69" s="10"/>
      <c r="Y69" s="39" t="s">
        <v>117</v>
      </c>
      <c r="Z69" s="13" t="s">
        <v>60</v>
      </c>
      <c r="AA69" s="51">
        <f ca="1">IF(AA64="","",AA64/0.2095*22.4003/AA94)</f>
        <v>3.8300462229239884</v>
      </c>
      <c r="AB69" s="8"/>
      <c r="AC69" s="39" t="s">
        <v>117</v>
      </c>
      <c r="AD69" s="14" t="s">
        <v>61</v>
      </c>
      <c r="AE69" s="52">
        <f ca="1">IF(AE86="","",AE64/0.2095*22.4003/1000)</f>
        <v>2.3676878816390419</v>
      </c>
      <c r="AF69" s="36"/>
      <c r="AG69" s="36"/>
      <c r="AH69" s="36"/>
      <c r="AI69" s="36"/>
      <c r="AJ69" s="36"/>
      <c r="AK69" s="36"/>
      <c r="AL69" s="8"/>
      <c r="AM69" s="8"/>
      <c r="AN69" s="8"/>
      <c r="AO69" s="8"/>
      <c r="AP69" s="8"/>
      <c r="AQ69" s="8"/>
      <c r="AR69" s="8"/>
      <c r="AS69" s="8"/>
      <c r="AT69" s="8"/>
      <c r="AU69" s="8"/>
    </row>
    <row r="70" spans="2:47" ht="15" hidden="1" x14ac:dyDescent="0.25">
      <c r="B70" s="8"/>
      <c r="C70" s="8"/>
      <c r="D70" s="8"/>
      <c r="E70" s="8"/>
      <c r="F70" s="8"/>
      <c r="G70" s="8"/>
      <c r="H70" s="16"/>
      <c r="I70" s="13"/>
      <c r="J70" s="13"/>
      <c r="K70" s="13"/>
      <c r="L70" s="10"/>
      <c r="M70" s="39" t="s">
        <v>118</v>
      </c>
      <c r="N70" s="13" t="s">
        <v>60</v>
      </c>
      <c r="O70" s="51" t="str">
        <f ca="1">IF(O69="","",O69*(1-0.2095)+O65+O67+O68)</f>
        <v/>
      </c>
      <c r="P70" s="10"/>
      <c r="Q70" s="39" t="s">
        <v>118</v>
      </c>
      <c r="R70" s="14" t="s">
        <v>61</v>
      </c>
      <c r="S70" s="65" t="str">
        <f ca="1">IF(SUM(S80:S84)=0,"",S69*(1-0.2095)+S65+S67+S68)</f>
        <v/>
      </c>
      <c r="T70" s="8"/>
      <c r="U70" s="39" t="s">
        <v>118</v>
      </c>
      <c r="V70" s="14" t="s">
        <v>61</v>
      </c>
      <c r="W70" s="52" t="str">
        <f ca="1">IF(W86="","",W69*(1-0.2095)+W65+W67+W68)</f>
        <v/>
      </c>
      <c r="X70" s="10"/>
      <c r="Y70" s="39" t="s">
        <v>118</v>
      </c>
      <c r="Z70" s="13" t="s">
        <v>60</v>
      </c>
      <c r="AA70" s="51">
        <f ca="1">IF(AA69="","",AA69*(1-0.2095)+AA65+AA67+AA68)</f>
        <v>4.0237404517089619</v>
      </c>
      <c r="AB70" s="8"/>
      <c r="AC70" s="39" t="s">
        <v>118</v>
      </c>
      <c r="AD70" s="14" t="s">
        <v>61</v>
      </c>
      <c r="AE70" s="52">
        <f ca="1">IF(AE86="","",AE69*(1-0.2095)+AE65+AE67+AE68)</f>
        <v>2.3650683969030677</v>
      </c>
      <c r="AF70" s="36"/>
      <c r="AG70" s="36"/>
      <c r="AH70" s="36"/>
      <c r="AI70" s="36"/>
      <c r="AJ70" s="36"/>
      <c r="AK70" s="36"/>
      <c r="AL70" s="8"/>
      <c r="AM70" s="8"/>
      <c r="AN70" s="8"/>
      <c r="AO70" s="8"/>
      <c r="AP70" s="8"/>
      <c r="AQ70" s="8"/>
      <c r="AR70" s="8"/>
      <c r="AS70" s="8"/>
      <c r="AT70" s="8"/>
      <c r="AU70" s="8"/>
    </row>
    <row r="71" spans="2:47" ht="15" hidden="1" x14ac:dyDescent="0.25">
      <c r="B71" s="8"/>
      <c r="C71" s="8"/>
      <c r="D71" s="8"/>
      <c r="E71" s="8"/>
      <c r="F71" s="8"/>
      <c r="G71" s="8"/>
      <c r="H71" s="16"/>
      <c r="I71" s="13"/>
      <c r="J71" s="13"/>
      <c r="K71" s="13"/>
      <c r="L71" s="10"/>
      <c r="M71" s="45" t="s">
        <v>119</v>
      </c>
      <c r="N71" s="19" t="s">
        <v>60</v>
      </c>
      <c r="O71" s="50" t="str">
        <f ca="1">IF(O70="","",O70+O66)</f>
        <v/>
      </c>
      <c r="P71" s="10"/>
      <c r="Q71" s="45" t="s">
        <v>119</v>
      </c>
      <c r="R71" s="20" t="s">
        <v>61</v>
      </c>
      <c r="S71" s="66" t="str">
        <f ca="1">IF(SUM(S80:S84)=0,"",S70+S66)</f>
        <v/>
      </c>
      <c r="T71" s="8"/>
      <c r="U71" s="45" t="s">
        <v>119</v>
      </c>
      <c r="V71" s="20" t="s">
        <v>61</v>
      </c>
      <c r="W71" s="69" t="str">
        <f ca="1">IF(W86="","",W70+W66)</f>
        <v/>
      </c>
      <c r="X71" s="10"/>
      <c r="Y71" s="45" t="s">
        <v>119</v>
      </c>
      <c r="Z71" s="19" t="s">
        <v>60</v>
      </c>
      <c r="AA71" s="50">
        <f ca="1">IF(AA70="","",AA70+AA66)</f>
        <v>4.798506620635405</v>
      </c>
      <c r="AB71" s="8"/>
      <c r="AC71" s="45" t="s">
        <v>119</v>
      </c>
      <c r="AD71" s="20" t="s">
        <v>61</v>
      </c>
      <c r="AE71" s="69">
        <f ca="1">IF(AE86="","",AE70+AE66)</f>
        <v>3.2444534517194303</v>
      </c>
      <c r="AF71" s="36"/>
      <c r="AG71" s="36"/>
      <c r="AH71" s="36"/>
      <c r="AI71" s="36"/>
      <c r="AJ71" s="36"/>
      <c r="AK71" s="36"/>
      <c r="AL71" s="8"/>
      <c r="AM71" s="8"/>
      <c r="AN71" s="8"/>
      <c r="AO71" s="8"/>
      <c r="AP71" s="8"/>
      <c r="AQ71" s="8"/>
      <c r="AR71" s="8"/>
      <c r="AS71" s="8"/>
      <c r="AT71" s="8"/>
      <c r="AU71" s="8"/>
    </row>
    <row r="72" spans="2:47" ht="15" hidden="1" x14ac:dyDescent="0.25">
      <c r="B72" s="8"/>
      <c r="C72" s="8"/>
      <c r="D72" s="8"/>
      <c r="E72" s="8"/>
      <c r="F72" s="8"/>
      <c r="G72" s="8"/>
      <c r="H72" s="16"/>
      <c r="I72" s="13"/>
      <c r="J72" s="13"/>
      <c r="K72" s="13"/>
      <c r="L72" s="10"/>
      <c r="M72" s="39" t="s">
        <v>120</v>
      </c>
      <c r="N72" s="13"/>
      <c r="O72" s="51"/>
      <c r="P72" s="10"/>
      <c r="Q72" s="39" t="s">
        <v>120</v>
      </c>
      <c r="R72" s="14"/>
      <c r="S72" s="52"/>
      <c r="T72" s="8"/>
      <c r="U72" s="39" t="s">
        <v>120</v>
      </c>
      <c r="V72" s="14"/>
      <c r="W72" s="52"/>
      <c r="X72" s="10"/>
      <c r="Y72" s="39" t="s">
        <v>120</v>
      </c>
      <c r="Z72" s="13"/>
      <c r="AA72" s="51"/>
      <c r="AB72" s="8"/>
      <c r="AC72" s="39" t="s">
        <v>120</v>
      </c>
      <c r="AD72" s="14"/>
      <c r="AE72" s="52"/>
      <c r="AF72" s="36"/>
      <c r="AG72" s="36"/>
      <c r="AH72" s="36"/>
      <c r="AI72" s="36"/>
      <c r="AJ72" s="36"/>
      <c r="AK72" s="36"/>
      <c r="AL72" s="8"/>
      <c r="AM72" s="8"/>
      <c r="AN72" s="8"/>
      <c r="AO72" s="8"/>
      <c r="AP72" s="8"/>
      <c r="AQ72" s="8"/>
      <c r="AR72" s="8"/>
      <c r="AS72" s="8"/>
      <c r="AT72" s="8"/>
      <c r="AU72" s="8"/>
    </row>
    <row r="73" spans="2:47" ht="15" hidden="1" x14ac:dyDescent="0.25">
      <c r="B73" s="8"/>
      <c r="C73" s="8"/>
      <c r="D73" s="8"/>
      <c r="E73" s="8"/>
      <c r="F73" s="8"/>
      <c r="G73" s="8"/>
      <c r="H73" s="16"/>
      <c r="I73" s="13"/>
      <c r="J73" s="13"/>
      <c r="K73" s="13"/>
      <c r="L73" s="10"/>
      <c r="M73" s="39" t="s">
        <v>59</v>
      </c>
      <c r="N73" s="13" t="s">
        <v>60</v>
      </c>
      <c r="O73" s="52" t="str">
        <f ca="1">IF(O10="","",0.231+0.02257*O10)</f>
        <v/>
      </c>
      <c r="P73" s="10"/>
      <c r="Q73" s="39" t="s">
        <v>59</v>
      </c>
      <c r="R73" s="14" t="s">
        <v>61</v>
      </c>
      <c r="S73" s="67" t="str">
        <f ca="1">IF(S10="","",1.191+0.009342*S10)</f>
        <v/>
      </c>
      <c r="T73" s="33"/>
      <c r="U73" s="39" t="s">
        <v>59</v>
      </c>
      <c r="V73" s="14" t="s">
        <v>61</v>
      </c>
      <c r="W73" s="52" t="str">
        <f ca="1">IF(W10="","",0.1016+0.044*W10)</f>
        <v/>
      </c>
      <c r="X73" s="10"/>
      <c r="Y73" s="39" t="s">
        <v>59</v>
      </c>
      <c r="Z73" s="13" t="s">
        <v>60</v>
      </c>
      <c r="AA73" s="52">
        <f ca="1">IF(AA10="","",0.231+0.02257*AA10)</f>
        <v>0.55532721258910855</v>
      </c>
      <c r="AB73" s="33"/>
      <c r="AC73" s="39" t="s">
        <v>59</v>
      </c>
      <c r="AD73" s="14" t="s">
        <v>61</v>
      </c>
      <c r="AE73" s="52">
        <f ca="1">IF(AE10="","",0.1016+0.044*AE10)</f>
        <v>0.54952000000000001</v>
      </c>
      <c r="AF73" s="36"/>
      <c r="AG73" s="36"/>
      <c r="AH73" s="36"/>
      <c r="AI73" s="36"/>
      <c r="AJ73" s="36"/>
      <c r="AK73" s="36"/>
      <c r="AL73" s="22"/>
      <c r="AM73" s="8"/>
      <c r="AN73" s="28"/>
      <c r="AO73" s="8"/>
      <c r="AP73" s="8"/>
      <c r="AQ73" s="22"/>
      <c r="AR73" s="22"/>
      <c r="AS73" s="22"/>
      <c r="AT73" s="22"/>
      <c r="AU73" s="22"/>
    </row>
    <row r="74" spans="2:47" ht="15" hidden="1" x14ac:dyDescent="0.25">
      <c r="B74" s="8"/>
      <c r="C74" s="8"/>
      <c r="D74" s="8"/>
      <c r="E74" s="8"/>
      <c r="F74" s="8"/>
      <c r="G74" s="8"/>
      <c r="H74" s="16"/>
      <c r="I74" s="13"/>
      <c r="J74" s="13"/>
      <c r="K74" s="13"/>
      <c r="L74" s="10"/>
      <c r="M74" s="39" t="s">
        <v>62</v>
      </c>
      <c r="N74" s="13" t="s">
        <v>60</v>
      </c>
      <c r="O74" s="52" t="str">
        <f ca="1">IF(O10="","",-0.0784+0.0608*O10)</f>
        <v/>
      </c>
      <c r="P74" s="10"/>
      <c r="Q74" s="39" t="s">
        <v>62</v>
      </c>
      <c r="R74" s="14" t="s">
        <v>61</v>
      </c>
      <c r="S74" s="65" t="str">
        <f ca="1">IF(S10="","",-2.4082+0.0918*S10)</f>
        <v/>
      </c>
      <c r="T74" s="33"/>
      <c r="U74" s="39" t="s">
        <v>62</v>
      </c>
      <c r="V74" s="14" t="s">
        <v>61</v>
      </c>
      <c r="W74" s="52" t="str">
        <f ca="1">IF(W10="","",1.096-0.0166*W10)</f>
        <v/>
      </c>
      <c r="X74" s="10"/>
      <c r="Y74" s="39" t="s">
        <v>62</v>
      </c>
      <c r="Z74" s="13" t="s">
        <v>60</v>
      </c>
      <c r="AA74" s="52">
        <f ca="1">IF(AA10="","",-0.0784+0.0608*AA10)</f>
        <v>0.79528606669994661</v>
      </c>
      <c r="AB74" s="33"/>
      <c r="AC74" s="39" t="s">
        <v>62</v>
      </c>
      <c r="AD74" s="14" t="s">
        <v>61</v>
      </c>
      <c r="AE74" s="52">
        <f ca="1">IF(AE10="","",1.096-0.0166*AE10)</f>
        <v>0.92701200000000006</v>
      </c>
      <c r="AF74" s="36"/>
      <c r="AG74" s="36"/>
      <c r="AH74" s="36"/>
      <c r="AI74" s="36"/>
      <c r="AJ74" s="36"/>
      <c r="AK74" s="36"/>
      <c r="AL74" s="22"/>
      <c r="AM74" s="8"/>
      <c r="AN74" s="28"/>
      <c r="AO74" s="8"/>
      <c r="AP74" s="8"/>
      <c r="AQ74" s="22"/>
      <c r="AR74" s="22"/>
      <c r="AS74" s="22"/>
      <c r="AT74" s="22"/>
      <c r="AU74" s="22"/>
    </row>
    <row r="75" spans="2:47" ht="15" hidden="1" x14ac:dyDescent="0.25">
      <c r="B75" s="8"/>
      <c r="C75" s="8"/>
      <c r="D75" s="8"/>
      <c r="E75" s="8"/>
      <c r="F75" s="8"/>
      <c r="G75" s="8"/>
      <c r="H75" s="16"/>
      <c r="I75" s="13"/>
      <c r="J75" s="13"/>
      <c r="K75" s="13"/>
      <c r="L75" s="10"/>
      <c r="M75" s="39" t="s">
        <v>63</v>
      </c>
      <c r="N75" s="13" t="s">
        <v>60</v>
      </c>
      <c r="O75" s="52" t="str">
        <f ca="1">IF(O10="","",0)</f>
        <v/>
      </c>
      <c r="P75" s="10"/>
      <c r="Q75" s="39" t="s">
        <v>63</v>
      </c>
      <c r="R75" s="14" t="s">
        <v>61</v>
      </c>
      <c r="S75" s="65" t="str">
        <f ca="1">IF(S10="","",0)</f>
        <v/>
      </c>
      <c r="T75" s="33"/>
      <c r="U75" s="39" t="s">
        <v>63</v>
      </c>
      <c r="V75" s="14" t="s">
        <v>61</v>
      </c>
      <c r="W75" s="52" t="str">
        <f ca="1">IF(W10="","",0)</f>
        <v/>
      </c>
      <c r="X75" s="10"/>
      <c r="Y75" s="39" t="s">
        <v>63</v>
      </c>
      <c r="Z75" s="13" t="s">
        <v>60</v>
      </c>
      <c r="AA75" s="52">
        <f ca="1">IF(AA10="","",0)</f>
        <v>0</v>
      </c>
      <c r="AB75" s="33"/>
      <c r="AC75" s="39" t="s">
        <v>63</v>
      </c>
      <c r="AD75" s="14" t="s">
        <v>61</v>
      </c>
      <c r="AE75" s="52">
        <f ca="1">IF(AE10="","",0)</f>
        <v>0</v>
      </c>
      <c r="AF75" s="36"/>
      <c r="AG75" s="36"/>
      <c r="AH75" s="36"/>
      <c r="AI75" s="36"/>
      <c r="AJ75" s="36"/>
      <c r="AK75" s="36"/>
      <c r="AL75" s="22"/>
      <c r="AM75" s="8"/>
      <c r="AN75" s="28"/>
      <c r="AO75" s="8"/>
      <c r="AP75" s="8"/>
      <c r="AQ75" s="22"/>
      <c r="AR75" s="22"/>
      <c r="AS75" s="22"/>
      <c r="AT75" s="22"/>
      <c r="AU75" s="22"/>
    </row>
    <row r="76" spans="2:47" ht="15" hidden="1" x14ac:dyDescent="0.25">
      <c r="B76" s="8"/>
      <c r="C76" s="8"/>
      <c r="D76" s="8"/>
      <c r="E76" s="8"/>
      <c r="F76" s="8"/>
      <c r="G76" s="8"/>
      <c r="H76" s="16"/>
      <c r="I76" s="13"/>
      <c r="J76" s="13"/>
      <c r="K76" s="13"/>
      <c r="L76" s="10"/>
      <c r="M76" s="39" t="s">
        <v>64</v>
      </c>
      <c r="N76" s="13" t="s">
        <v>60</v>
      </c>
      <c r="O76" s="52" t="str">
        <f ca="1">IF(O10="","",0)</f>
        <v/>
      </c>
      <c r="P76" s="10"/>
      <c r="Q76" s="39" t="s">
        <v>64</v>
      </c>
      <c r="R76" s="14" t="s">
        <v>61</v>
      </c>
      <c r="S76" s="65" t="str">
        <f ca="1">IF(S10="","",IF(S68="",0,S68))</f>
        <v/>
      </c>
      <c r="T76" s="33"/>
      <c r="U76" s="39" t="s">
        <v>64</v>
      </c>
      <c r="V76" s="14" t="s">
        <v>61</v>
      </c>
      <c r="W76" s="52" t="str">
        <f ca="1">IF(W10="","",IF(W68="",0,W68))</f>
        <v/>
      </c>
      <c r="X76" s="10"/>
      <c r="Y76" s="39" t="s">
        <v>64</v>
      </c>
      <c r="Z76" s="13" t="s">
        <v>60</v>
      </c>
      <c r="AA76" s="52">
        <f ca="1">IF(AA10="","",0)</f>
        <v>0</v>
      </c>
      <c r="AB76" s="33"/>
      <c r="AC76" s="39" t="s">
        <v>64</v>
      </c>
      <c r="AD76" s="14" t="s">
        <v>61</v>
      </c>
      <c r="AE76" s="52">
        <f ca="1">IF(AE10="","",IF(AE68="",0,AE68))</f>
        <v>0</v>
      </c>
      <c r="AF76" s="36"/>
      <c r="AG76" s="36"/>
      <c r="AH76" s="36"/>
      <c r="AI76" s="36"/>
      <c r="AJ76" s="36"/>
      <c r="AK76" s="36"/>
      <c r="AL76" s="22"/>
      <c r="AM76" s="8"/>
      <c r="AN76" s="28"/>
      <c r="AO76" s="8"/>
      <c r="AP76" s="8"/>
      <c r="AQ76" s="22"/>
      <c r="AR76" s="22"/>
      <c r="AS76" s="22"/>
      <c r="AT76" s="22"/>
      <c r="AU76" s="22"/>
    </row>
    <row r="77" spans="2:47" ht="15" hidden="1" x14ac:dyDescent="0.25">
      <c r="B77" s="8"/>
      <c r="C77" s="8"/>
      <c r="D77" s="8"/>
      <c r="E77" s="8"/>
      <c r="F77" s="8"/>
      <c r="G77" s="8"/>
      <c r="H77" s="16"/>
      <c r="I77" s="13"/>
      <c r="J77" s="13"/>
      <c r="K77" s="13"/>
      <c r="L77" s="10"/>
      <c r="M77" s="39" t="s">
        <v>117</v>
      </c>
      <c r="N77" s="13" t="s">
        <v>60</v>
      </c>
      <c r="O77" s="51" t="str">
        <f ca="1">IF(O10="","",-0.0405+0.2679*O10)</f>
        <v/>
      </c>
      <c r="P77" s="10"/>
      <c r="Q77" s="39" t="s">
        <v>117</v>
      </c>
      <c r="R77" s="14" t="s">
        <v>61</v>
      </c>
      <c r="S77" s="65" t="str">
        <f ca="1">IF(S10="","",-0.3311+0.2675*S10)</f>
        <v/>
      </c>
      <c r="T77" s="33"/>
      <c r="U77" s="39" t="s">
        <v>117</v>
      </c>
      <c r="V77" s="14" t="s">
        <v>61</v>
      </c>
      <c r="W77" s="52" t="str">
        <f ca="1">IF(W10="","",0.4408+0.2462*W10)</f>
        <v/>
      </c>
      <c r="X77" s="10"/>
      <c r="Y77" s="39" t="s">
        <v>117</v>
      </c>
      <c r="Z77" s="13" t="s">
        <v>60</v>
      </c>
      <c r="AA77" s="51">
        <f ca="1">IF(AA10="","",-0.0405+0.2679*AA10)</f>
        <v>3.8091792313966404</v>
      </c>
      <c r="AB77" s="33"/>
      <c r="AC77" s="39" t="s">
        <v>117</v>
      </c>
      <c r="AD77" s="14" t="s">
        <v>61</v>
      </c>
      <c r="AE77" s="52">
        <f ca="1">IF(AE10="","",0.4408+0.2462*AE10)</f>
        <v>2.9471159999999998</v>
      </c>
      <c r="AF77" s="36"/>
      <c r="AG77" s="36"/>
      <c r="AH77" s="36"/>
      <c r="AI77" s="36"/>
      <c r="AJ77" s="36"/>
      <c r="AK77" s="36"/>
      <c r="AL77" s="22"/>
      <c r="AM77" s="8"/>
      <c r="AN77" s="28"/>
      <c r="AO77" s="8"/>
      <c r="AP77" s="8"/>
      <c r="AQ77" s="22"/>
      <c r="AR77" s="22"/>
      <c r="AS77" s="22"/>
      <c r="AT77" s="22"/>
      <c r="AU77" s="22"/>
    </row>
    <row r="78" spans="2:47" ht="15" hidden="1" x14ac:dyDescent="0.25">
      <c r="B78" s="8"/>
      <c r="C78" s="8"/>
      <c r="D78" s="8"/>
      <c r="E78" s="8"/>
      <c r="F78" s="8"/>
      <c r="G78" s="8"/>
      <c r="H78" s="16"/>
      <c r="I78" s="13"/>
      <c r="J78" s="13"/>
      <c r="K78" s="13"/>
      <c r="L78" s="10"/>
      <c r="M78" s="39" t="s">
        <v>118</v>
      </c>
      <c r="N78" s="13" t="s">
        <v>60</v>
      </c>
      <c r="O78" s="51" t="str">
        <f ca="1">IF(O10="","",0.199+0.2344*O10)</f>
        <v/>
      </c>
      <c r="P78" s="10"/>
      <c r="Q78" s="39" t="s">
        <v>118</v>
      </c>
      <c r="R78" s="14" t="s">
        <v>61</v>
      </c>
      <c r="S78" s="65" t="str">
        <f ca="1">IF(S10="","",0.929+0.2208*S10)</f>
        <v/>
      </c>
      <c r="T78" s="33"/>
      <c r="U78" s="39" t="s">
        <v>118</v>
      </c>
      <c r="V78" s="14" t="s">
        <v>61</v>
      </c>
      <c r="W78" s="52" t="str">
        <f ca="1">IF(W10="","",0.45+0.2386*W10)</f>
        <v/>
      </c>
      <c r="X78" s="10"/>
      <c r="Y78" s="39" t="s">
        <v>118</v>
      </c>
      <c r="Z78" s="13" t="s">
        <v>60</v>
      </c>
      <c r="AA78" s="51">
        <f ca="1">IF(AA10="","",0.199+0.2344*AA10)</f>
        <v>3.567289704514268</v>
      </c>
      <c r="AB78" s="33"/>
      <c r="AC78" s="39" t="s">
        <v>118</v>
      </c>
      <c r="AD78" s="14" t="s">
        <v>61</v>
      </c>
      <c r="AE78" s="52">
        <f ca="1">IF(AE10="","",0.45+0.2386*AE10)</f>
        <v>2.8789480000000003</v>
      </c>
      <c r="AF78" s="36"/>
      <c r="AG78" s="36"/>
      <c r="AH78" s="36"/>
      <c r="AI78" s="36"/>
      <c r="AJ78" s="36"/>
      <c r="AK78" s="36"/>
      <c r="AL78" s="22"/>
      <c r="AM78" s="8"/>
      <c r="AN78" s="28"/>
      <c r="AO78" s="8"/>
      <c r="AP78" s="8"/>
      <c r="AQ78" s="22"/>
      <c r="AR78" s="22"/>
      <c r="AS78" s="22"/>
      <c r="AT78" s="22"/>
      <c r="AU78" s="22"/>
    </row>
    <row r="79" spans="2:47" ht="15" hidden="1" x14ac:dyDescent="0.25">
      <c r="B79" s="8"/>
      <c r="C79" s="8"/>
      <c r="D79" s="8"/>
      <c r="E79" s="8"/>
      <c r="F79" s="8"/>
      <c r="G79" s="8"/>
      <c r="H79" s="16"/>
      <c r="I79" s="13"/>
      <c r="J79" s="13"/>
      <c r="K79" s="13"/>
      <c r="L79" s="10"/>
      <c r="M79" s="45" t="s">
        <v>119</v>
      </c>
      <c r="N79" s="19" t="s">
        <v>60</v>
      </c>
      <c r="O79" s="50" t="str">
        <f ca="1">IF(O10="","",0.1211+0.292*O10)</f>
        <v/>
      </c>
      <c r="P79" s="10"/>
      <c r="Q79" s="45" t="s">
        <v>119</v>
      </c>
      <c r="R79" s="20" t="s">
        <v>61</v>
      </c>
      <c r="S79" s="66" t="str">
        <f ca="1">IF(S10="","",-1.4792+0.3126*S10)</f>
        <v/>
      </c>
      <c r="T79" s="33"/>
      <c r="U79" s="45" t="s">
        <v>119</v>
      </c>
      <c r="V79" s="20" t="s">
        <v>61</v>
      </c>
      <c r="W79" s="69" t="str">
        <f ca="1">IF(W10="","",1.5456+0.222*W10)</f>
        <v/>
      </c>
      <c r="X79" s="10"/>
      <c r="Y79" s="45" t="s">
        <v>119</v>
      </c>
      <c r="Z79" s="19" t="s">
        <v>60</v>
      </c>
      <c r="AA79" s="50">
        <f ca="1">IF(AA10="","",0.1211+0.292*AA10)</f>
        <v>4.3170922940194805</v>
      </c>
      <c r="AB79" s="33"/>
      <c r="AC79" s="45" t="s">
        <v>119</v>
      </c>
      <c r="AD79" s="20" t="s">
        <v>61</v>
      </c>
      <c r="AE79" s="69">
        <f ca="1">IF(AE10="","",1.5456+0.222*AE10)</f>
        <v>3.8055599999999998</v>
      </c>
      <c r="AF79" s="36"/>
      <c r="AG79" s="36"/>
      <c r="AH79" s="36"/>
      <c r="AI79" s="36"/>
      <c r="AJ79" s="36"/>
      <c r="AK79" s="36"/>
      <c r="AL79" s="22"/>
      <c r="AM79" s="8"/>
      <c r="AN79" s="28"/>
      <c r="AO79" s="8"/>
      <c r="AP79" s="8"/>
      <c r="AQ79" s="22"/>
      <c r="AR79" s="22"/>
      <c r="AS79" s="22"/>
      <c r="AT79" s="22"/>
      <c r="AU79" s="22"/>
    </row>
    <row r="80" spans="2:47" ht="15" hidden="1" x14ac:dyDescent="0.25">
      <c r="B80" s="8"/>
      <c r="C80" s="8"/>
      <c r="D80" s="8"/>
      <c r="E80" s="8"/>
      <c r="F80" s="8"/>
      <c r="G80" s="8"/>
      <c r="H80" s="16"/>
      <c r="I80" s="13"/>
      <c r="J80" s="13"/>
      <c r="K80" s="13"/>
      <c r="L80" s="10"/>
      <c r="M80" s="40" t="s">
        <v>121</v>
      </c>
      <c r="N80" s="12"/>
      <c r="O80" s="53" t="str">
        <f ca="1">IF('Combustion Emissions'!I56=1,IF(O87="","",SUMPRODUCT(O25:O60,$AQ$25:$AQ$60)/100),"")</f>
        <v/>
      </c>
      <c r="P80" s="10"/>
      <c r="Q80" s="44" t="s">
        <v>82</v>
      </c>
      <c r="R80" s="14"/>
      <c r="S80" s="68" t="str">
        <f ca="1">IF('Combustion Emissions'!I56=1,IF(SUM(S$25:S$34)=0,"",IF(SUM(S$30:S$34)=0,S25*12/1000,S30)),"")</f>
        <v/>
      </c>
      <c r="T80" s="33"/>
      <c r="U80" s="44" t="s">
        <v>83</v>
      </c>
      <c r="V80" s="14"/>
      <c r="W80" s="68" t="str">
        <f ca="1">IF('Combustion Emissions'!I56=1,IF(SUM(W25:W35)=0,"",IF(SUM(W30:W35)=0,W25*12/1000,W30)),"")</f>
        <v/>
      </c>
      <c r="X80" s="10"/>
      <c r="Y80" s="40" t="s">
        <v>121</v>
      </c>
      <c r="Z80" s="12"/>
      <c r="AA80" s="53">
        <f ca="1">IF('Combustion Emissions'!I56=1,IF(AA87="","",SUMPRODUCT(AA25:AA60,$AQ$25:$AQ$60)/100),"")</f>
        <v>1</v>
      </c>
      <c r="AB80" s="33"/>
      <c r="AC80" s="44" t="s">
        <v>83</v>
      </c>
      <c r="AD80" s="14"/>
      <c r="AE80" s="68">
        <f ca="1">IF('Combustion Emissions'!$I$56=1,IF(SUM(AE25:AE35)=0,"",IF(SUM(AE30:AE35)=0,AE25*12/1000,AE30)),"")</f>
        <v>0.44400000000000001</v>
      </c>
      <c r="AF80" s="85"/>
      <c r="AG80" s="85"/>
      <c r="AH80" s="85"/>
      <c r="AI80" s="85"/>
      <c r="AJ80" s="85"/>
      <c r="AK80" s="85"/>
      <c r="AL80" s="22"/>
      <c r="AM80" s="8"/>
      <c r="AN80" s="28"/>
      <c r="AO80" s="8"/>
      <c r="AP80" s="8"/>
      <c r="AQ80" s="22"/>
      <c r="AR80" s="22"/>
      <c r="AS80" s="22"/>
      <c r="AT80" s="22"/>
      <c r="AU80" s="22"/>
    </row>
    <row r="81" spans="2:47" ht="15" hidden="1" x14ac:dyDescent="0.25">
      <c r="B81" s="8"/>
      <c r="C81" s="8"/>
      <c r="D81" s="8"/>
      <c r="E81" s="8"/>
      <c r="F81" s="8"/>
      <c r="G81" s="8"/>
      <c r="H81" s="16"/>
      <c r="I81" s="13"/>
      <c r="J81" s="13"/>
      <c r="K81" s="13"/>
      <c r="L81" s="10"/>
      <c r="M81" s="39" t="s">
        <v>122</v>
      </c>
      <c r="N81" s="13"/>
      <c r="O81" s="51" t="str">
        <f ca="1">IF(O80="","",SUMPRODUCT(O25:O60,$AR$25:$AR$60)/100)</f>
        <v/>
      </c>
      <c r="P81" s="10"/>
      <c r="Q81" s="44" t="s">
        <v>85</v>
      </c>
      <c r="R81" s="14"/>
      <c r="S81" s="68" t="str">
        <f ca="1">IF('Combustion Emissions'!I56=1,IF(SUM(S$25:S$34)=0,"",IF(SUM(S$30:S$34)=0,S26/1000,S31)),"")</f>
        <v/>
      </c>
      <c r="T81" s="33"/>
      <c r="U81" s="44" t="s">
        <v>86</v>
      </c>
      <c r="V81" s="14"/>
      <c r="W81" s="68" t="str">
        <f ca="1">IF('Combustion Emissions'!I56=1,IF(SUM(W25:W35)=0,"",IF(SUM(W30:W35)=0,W26/1000,W31)),"")</f>
        <v/>
      </c>
      <c r="X81" s="10"/>
      <c r="Y81" s="39" t="s">
        <v>122</v>
      </c>
      <c r="Z81" s="13"/>
      <c r="AA81" s="51">
        <f ca="1">IF(AA80="","",SUMPRODUCT(AA25:AA60,$AR$25:$AR$60)/100)</f>
        <v>1.6</v>
      </c>
      <c r="AB81" s="33"/>
      <c r="AC81" s="44" t="s">
        <v>86</v>
      </c>
      <c r="AD81" s="14"/>
      <c r="AE81" s="68">
        <f ca="1">IF('Combustion Emissions'!$I$56=1,IF(SUM(AE25:AE35)=0,"",IF(SUM(AE30:AE35)=0,AE26/1000,AE31)),"")</f>
        <v>6.2E-2</v>
      </c>
      <c r="AF81" s="85"/>
      <c r="AG81" s="85"/>
      <c r="AH81" s="85"/>
      <c r="AI81" s="85"/>
      <c r="AJ81" s="85"/>
      <c r="AK81" s="85"/>
      <c r="AL81" s="22"/>
      <c r="AM81" s="8"/>
      <c r="AN81" s="28"/>
      <c r="AO81" s="8"/>
      <c r="AP81" s="8"/>
      <c r="AQ81" s="22"/>
      <c r="AR81" s="22"/>
      <c r="AS81" s="22"/>
      <c r="AT81" s="22"/>
      <c r="AU81" s="22"/>
    </row>
    <row r="82" spans="2:47" ht="15" hidden="1" x14ac:dyDescent="0.25">
      <c r="B82" s="8"/>
      <c r="C82" s="8"/>
      <c r="D82" s="8"/>
      <c r="E82" s="8"/>
      <c r="F82" s="8"/>
      <c r="G82" s="8"/>
      <c r="H82" s="16"/>
      <c r="I82" s="13"/>
      <c r="J82" s="13"/>
      <c r="K82" s="13"/>
      <c r="L82" s="10"/>
      <c r="M82" s="39" t="s">
        <v>123</v>
      </c>
      <c r="N82" s="13"/>
      <c r="O82" s="51" t="str">
        <f ca="1">IF(O80="","",SUMPRODUCT(O25:O60,$AT$25:$AT$60)/100)</f>
        <v/>
      </c>
      <c r="P82" s="10"/>
      <c r="Q82" s="44" t="s">
        <v>88</v>
      </c>
      <c r="R82" s="14"/>
      <c r="S82" s="68" t="str">
        <f ca="1">IF('Combustion Emissions'!I56=1,IF(SUM(S$25:S$34)=0,"",IF(SUM(S$30:S$34)=0,S27*14/1000,S32)),"")</f>
        <v/>
      </c>
      <c r="T82" s="33"/>
      <c r="U82" s="44" t="s">
        <v>89</v>
      </c>
      <c r="V82" s="14"/>
      <c r="W82" s="68" t="str">
        <f ca="1">IF('Combustion Emissions'!I56=1,IF(SUM(W25:W35)=0,"",IF(SUM(W30:W35)=0,W27*14/1000,W32)),"")</f>
        <v/>
      </c>
      <c r="X82" s="10"/>
      <c r="Y82" s="39" t="s">
        <v>123</v>
      </c>
      <c r="Z82" s="13"/>
      <c r="AA82" s="51">
        <f ca="1">IF(AA80="","",SUMPRODUCT(AA25:AA60,$AT$25:$AT$60)/100)</f>
        <v>0</v>
      </c>
      <c r="AB82" s="33"/>
      <c r="AC82" s="44" t="s">
        <v>89</v>
      </c>
      <c r="AD82" s="14"/>
      <c r="AE82" s="68">
        <f ca="1">IF('Combustion Emissions'!$I$56=1,IF(SUM(AE25:AE35)=0,"",IF(SUM(AE30:AE35)=0,AE27*14/1000,AE32)),"")</f>
        <v>0</v>
      </c>
      <c r="AF82" s="85"/>
      <c r="AG82" s="85"/>
      <c r="AH82" s="85"/>
      <c r="AI82" s="85"/>
      <c r="AJ82" s="85"/>
      <c r="AK82" s="85"/>
      <c r="AL82" s="22"/>
      <c r="AM82" s="8"/>
      <c r="AN82" s="28"/>
      <c r="AO82" s="8"/>
      <c r="AP82" s="8"/>
      <c r="AQ82" s="22"/>
      <c r="AR82" s="22"/>
      <c r="AS82" s="22"/>
      <c r="AT82" s="22"/>
      <c r="AU82" s="22"/>
    </row>
    <row r="83" spans="2:47" ht="15" hidden="1" x14ac:dyDescent="0.25">
      <c r="B83" s="8"/>
      <c r="C83" s="8"/>
      <c r="D83" s="8"/>
      <c r="E83" s="8"/>
      <c r="F83" s="8"/>
      <c r="G83" s="8"/>
      <c r="H83" s="16"/>
      <c r="I83" s="13"/>
      <c r="J83" s="13"/>
      <c r="K83" s="13"/>
      <c r="L83" s="10"/>
      <c r="M83" s="39" t="s">
        <v>124</v>
      </c>
      <c r="N83" s="13"/>
      <c r="O83" s="51" t="str">
        <f ca="1">IF(O80="","",SUMPRODUCT(O25:O60,$AU$25:$AU$60)/100)</f>
        <v/>
      </c>
      <c r="P83" s="10"/>
      <c r="Q83" s="44" t="s">
        <v>91</v>
      </c>
      <c r="R83" s="14"/>
      <c r="S83" s="68" t="str">
        <f ca="1">IF('Combustion Emissions'!I56=1,IF(SUM(S$25:S$34)=0,"",IF(SUM(S$30:S$34)=0,S28*32/1000,S33)),"")</f>
        <v/>
      </c>
      <c r="T83" s="33"/>
      <c r="U83" s="44" t="s">
        <v>92</v>
      </c>
      <c r="V83" s="14"/>
      <c r="W83" s="68" t="str">
        <f ca="1">IF('Combustion Emissions'!I56=1,IF(SUM(W25:W35)=0,"",IF(SUM(W30:W35)=0,W28*32/1000,W33)),"")</f>
        <v/>
      </c>
      <c r="X83" s="10"/>
      <c r="Y83" s="39" t="s">
        <v>124</v>
      </c>
      <c r="Z83" s="13"/>
      <c r="AA83" s="51">
        <f ca="1">IF(AA80="","",SUMPRODUCT(AA25:AA60,$AU$25:$AU$60)/100)</f>
        <v>0</v>
      </c>
      <c r="AB83" s="33"/>
      <c r="AC83" s="44" t="s">
        <v>92</v>
      </c>
      <c r="AD83" s="14"/>
      <c r="AE83" s="68">
        <f ca="1">IF('Combustion Emissions'!$I$56=1,IF(SUM(AE25:AE35)=0,"",IF(SUM(AE30:AE35)=0,AE28*32/1000,AE33)),"")</f>
        <v>0</v>
      </c>
      <c r="AF83" s="85"/>
      <c r="AG83" s="85"/>
      <c r="AH83" s="85"/>
      <c r="AI83" s="85"/>
      <c r="AJ83" s="85"/>
      <c r="AK83" s="85"/>
      <c r="AL83" s="22"/>
      <c r="AM83" s="8"/>
      <c r="AN83" s="28"/>
      <c r="AO83" s="8"/>
      <c r="AP83" s="8"/>
      <c r="AQ83" s="22"/>
      <c r="AR83" s="22"/>
      <c r="AS83" s="22"/>
      <c r="AT83" s="22"/>
      <c r="AU83" s="22"/>
    </row>
    <row r="84" spans="2:47" ht="15" hidden="1" x14ac:dyDescent="0.25">
      <c r="B84" s="8"/>
      <c r="C84" s="8"/>
      <c r="D84" s="8"/>
      <c r="E84" s="8"/>
      <c r="F84" s="8"/>
      <c r="G84" s="8"/>
      <c r="H84" s="16"/>
      <c r="I84" s="13"/>
      <c r="J84" s="13"/>
      <c r="K84" s="13"/>
      <c r="L84" s="10"/>
      <c r="M84" s="39" t="s">
        <v>125</v>
      </c>
      <c r="N84" s="13"/>
      <c r="O84" s="51" t="str">
        <f ca="1">IF(O80="","",SUMPRODUCT(O25:O60,$AS$25:$AS$60)/100)</f>
        <v/>
      </c>
      <c r="P84" s="10"/>
      <c r="Q84" s="44" t="s">
        <v>94</v>
      </c>
      <c r="R84" s="14"/>
      <c r="S84" s="68" t="str">
        <f ca="1">IF('Combustion Emissions'!I56=1,IF(SUM(S$25:S$34)=0,"",IF(SUM(S$30:S$34)=0,"",IF(S34="","",S34))),"")</f>
        <v/>
      </c>
      <c r="T84" s="33"/>
      <c r="U84" s="44" t="s">
        <v>95</v>
      </c>
      <c r="V84" s="14"/>
      <c r="W84" s="68" t="str">
        <f ca="1">IF('Combustion Emissions'!I56=1,IF(SUM(W25:W35)=0,"",IF(SUM(W30:W35)=0,W29*16/1000,W34)),"")</f>
        <v/>
      </c>
      <c r="X84" s="10"/>
      <c r="Y84" s="39" t="s">
        <v>125</v>
      </c>
      <c r="Z84" s="13"/>
      <c r="AA84" s="51">
        <f ca="1">IF(AA80="","",SUMPRODUCT(AA25:AA60,$AS$25:$AS$60)/100)</f>
        <v>1.2</v>
      </c>
      <c r="AB84" s="33"/>
      <c r="AC84" s="44" t="s">
        <v>95</v>
      </c>
      <c r="AD84" s="14"/>
      <c r="AE84" s="68">
        <f ca="1">IF('Combustion Emissions'!$I$56=1,IF(SUM(AE25:AE35)=0,"",IF(SUM(AE30:AE35)=0,AE29*16/1000,AE34)),"")</f>
        <v>0.49399999999999999</v>
      </c>
      <c r="AF84" s="85"/>
      <c r="AG84" s="85"/>
      <c r="AH84" s="85"/>
      <c r="AI84" s="85"/>
      <c r="AJ84" s="85"/>
      <c r="AK84" s="85"/>
      <c r="AL84" s="22"/>
      <c r="AM84" s="8"/>
      <c r="AN84" s="28"/>
      <c r="AO84" s="8"/>
      <c r="AP84" s="8"/>
      <c r="AQ84" s="22"/>
      <c r="AR84" s="22"/>
      <c r="AS84" s="22"/>
      <c r="AT84" s="22"/>
      <c r="AU84" s="22"/>
    </row>
    <row r="85" spans="2:47" ht="15" hidden="1" x14ac:dyDescent="0.25">
      <c r="B85" s="8"/>
      <c r="C85" s="8"/>
      <c r="D85" s="8"/>
      <c r="E85" s="8"/>
      <c r="F85" s="8"/>
      <c r="G85" s="8"/>
      <c r="H85" s="16"/>
      <c r="I85" s="16"/>
      <c r="J85" s="16"/>
      <c r="K85" s="16"/>
      <c r="L85" s="30"/>
      <c r="M85" s="39"/>
      <c r="N85" s="16"/>
      <c r="O85" s="127"/>
      <c r="P85" s="30"/>
      <c r="Q85" s="44" t="s">
        <v>126</v>
      </c>
      <c r="R85" s="14"/>
      <c r="S85" s="68" t="str">
        <f ca="1">IF('Combustion Emissions'!I56=1,IF(SUM(S25:S34)=0,"",IF(SUM(S30:S34)=0,S29*16/1000,1-SUM(S80:S84))),"")</f>
        <v/>
      </c>
      <c r="T85" s="33"/>
      <c r="U85" s="44" t="s">
        <v>96</v>
      </c>
      <c r="V85" s="34"/>
      <c r="W85" s="68" t="str">
        <f ca="1">IF('Combustion Emissions'!I56=1,IF(W84="","",IF(SUM(W30:W35)=0,0,W35)),"")</f>
        <v/>
      </c>
      <c r="X85" s="30"/>
      <c r="Y85" s="39"/>
      <c r="Z85" s="16"/>
      <c r="AA85" s="127"/>
      <c r="AB85" s="33"/>
      <c r="AC85" s="44" t="s">
        <v>96</v>
      </c>
      <c r="AD85" s="34"/>
      <c r="AE85" s="68">
        <f ca="1">IF('Combustion Emissions'!$I$56=1,IF(AE84="","",IF(SUM(AE30:AE35)=0,0,AE35)),"")</f>
        <v>0.4</v>
      </c>
      <c r="AF85" s="85"/>
      <c r="AG85" s="85"/>
      <c r="AH85" s="85"/>
      <c r="AI85" s="85"/>
      <c r="AJ85" s="85"/>
      <c r="AK85" s="85"/>
      <c r="AL85" s="22"/>
      <c r="AM85" s="8"/>
      <c r="AN85" s="28"/>
      <c r="AO85" s="8"/>
      <c r="AP85" s="8"/>
      <c r="AQ85" s="22"/>
      <c r="AR85" s="22"/>
      <c r="AS85" s="22"/>
      <c r="AT85" s="22"/>
      <c r="AU85" s="22"/>
    </row>
    <row r="86" spans="2:47" ht="15" hidden="1" x14ac:dyDescent="0.25">
      <c r="B86" s="8"/>
      <c r="C86" s="8"/>
      <c r="D86" s="8"/>
      <c r="E86" s="8"/>
      <c r="F86" s="8"/>
      <c r="G86" s="8"/>
      <c r="H86" s="16"/>
      <c r="I86" s="13"/>
      <c r="J86" s="13"/>
      <c r="K86" s="13"/>
      <c r="L86" s="10"/>
      <c r="M86" s="39"/>
      <c r="N86" s="13"/>
      <c r="O86" s="51"/>
      <c r="P86" s="10"/>
      <c r="Q86" s="39"/>
      <c r="R86" s="13"/>
      <c r="S86" s="51"/>
      <c r="T86" s="33"/>
      <c r="U86" s="44" t="s">
        <v>127</v>
      </c>
      <c r="V86" s="34"/>
      <c r="W86" s="68" t="str">
        <f ca="1">IF('Combustion Emissions'!I56=1,IF(SUM(W25:W35)=0,"",1-W84-W83-W82-W81-W80),"")</f>
        <v/>
      </c>
      <c r="X86" s="10"/>
      <c r="Y86" s="39" t="s">
        <v>139</v>
      </c>
      <c r="Z86" s="13"/>
      <c r="AA86" s="51"/>
      <c r="AB86" s="33"/>
      <c r="AC86" s="44" t="s">
        <v>127</v>
      </c>
      <c r="AD86" s="34"/>
      <c r="AE86" s="68">
        <f ca="1">IF('Combustion Emissions'!$I$56=1,IF(SUM(AE25:AE35)=0,"",1-AE84-AE83-AE82-AE81-AE80),"")</f>
        <v>0</v>
      </c>
      <c r="AF86" s="85"/>
      <c r="AG86" s="85"/>
      <c r="AH86" s="85"/>
      <c r="AI86" s="85"/>
      <c r="AJ86" s="85"/>
      <c r="AK86" s="85"/>
      <c r="AL86" s="22"/>
      <c r="AM86" s="8"/>
      <c r="AN86" s="28"/>
      <c r="AO86" s="8"/>
      <c r="AP86" s="8"/>
      <c r="AQ86" s="22"/>
      <c r="AR86" s="22"/>
      <c r="AS86" s="22"/>
      <c r="AT86" s="22"/>
      <c r="AU86" s="22"/>
    </row>
    <row r="87" spans="2:47" ht="15" hidden="1" x14ac:dyDescent="0.25">
      <c r="B87" s="8"/>
      <c r="C87" s="8"/>
      <c r="D87" s="8"/>
      <c r="E87" s="8"/>
      <c r="F87" s="8"/>
      <c r="G87" s="8"/>
      <c r="H87" s="16"/>
      <c r="I87" s="13"/>
      <c r="J87" s="13"/>
      <c r="K87" s="13"/>
      <c r="L87" s="10"/>
      <c r="M87" s="39" t="s">
        <v>56</v>
      </c>
      <c r="N87" s="13" t="s">
        <v>128</v>
      </c>
      <c r="O87" s="55" t="str">
        <f ca="1">IF('Combustion Emissions'!I56=1,IF(SUMPRODUCT(O25:O60,$AL$25:$AL$60)=0,"",SUMPRODUCT(O25:O60,$AL$25:$AL$60)/100),"")</f>
        <v/>
      </c>
      <c r="P87" s="10"/>
      <c r="Q87" s="39"/>
      <c r="R87" s="13"/>
      <c r="S87" s="51"/>
      <c r="T87" s="33"/>
      <c r="U87" s="39"/>
      <c r="V87" s="13"/>
      <c r="W87" s="51"/>
      <c r="X87" s="10"/>
      <c r="Y87" s="39" t="s">
        <v>56</v>
      </c>
      <c r="Z87" s="13" t="s">
        <v>128</v>
      </c>
      <c r="AA87" s="55">
        <f ca="1">IF('Combustion Emissions'!I56=1,IF(SUMPRODUCT(AA25:AA60,$AL$25:$AL$60)=0,"",SUMPRODUCT(AA25:AA60,$AL$25:$AL$60)/100),"")</f>
        <v>356.14080000000001</v>
      </c>
      <c r="AB87" s="33"/>
      <c r="AC87" s="39"/>
      <c r="AD87" s="13"/>
      <c r="AE87" s="51"/>
      <c r="AF87" s="36"/>
      <c r="AG87" s="36"/>
      <c r="AH87" s="36"/>
      <c r="AI87" s="36"/>
      <c r="AJ87" s="36"/>
      <c r="AK87" s="36"/>
      <c r="AL87" s="22"/>
      <c r="AM87" s="8"/>
      <c r="AN87" s="28"/>
      <c r="AO87" s="8"/>
      <c r="AP87" s="8"/>
      <c r="AQ87" s="22"/>
      <c r="AR87" s="22"/>
      <c r="AS87" s="22"/>
      <c r="AT87" s="22"/>
      <c r="AU87" s="22"/>
    </row>
    <row r="88" spans="2:47" ht="15" hidden="1" x14ac:dyDescent="0.25">
      <c r="B88" s="8"/>
      <c r="C88" s="8"/>
      <c r="D88" s="8"/>
      <c r="E88" s="8"/>
      <c r="F88" s="8"/>
      <c r="G88" s="8"/>
      <c r="H88" s="16"/>
      <c r="I88" s="13"/>
      <c r="J88" s="13"/>
      <c r="K88" s="13"/>
      <c r="L88" s="10"/>
      <c r="M88" s="39"/>
      <c r="N88" s="13" t="s">
        <v>54</v>
      </c>
      <c r="O88" s="55" t="str">
        <f ca="1">IF(O87="","",O87/O94)</f>
        <v/>
      </c>
      <c r="P88" s="10"/>
      <c r="Q88" s="39"/>
      <c r="R88" s="13"/>
      <c r="S88" s="51"/>
      <c r="T88" s="33"/>
      <c r="U88" s="39"/>
      <c r="V88" s="13"/>
      <c r="W88" s="51"/>
      <c r="X88" s="10"/>
      <c r="Y88" s="39"/>
      <c r="Z88" s="13" t="s">
        <v>54</v>
      </c>
      <c r="AA88" s="55">
        <f ca="1">IF(AA87="","",AA87/AA94)</f>
        <v>15.946521060520519</v>
      </c>
      <c r="AB88" s="33"/>
      <c r="AC88" s="39"/>
      <c r="AD88" s="13"/>
      <c r="AE88" s="51"/>
      <c r="AF88" s="36"/>
      <c r="AG88" s="36"/>
      <c r="AH88" s="36"/>
      <c r="AI88" s="36"/>
      <c r="AJ88" s="36"/>
      <c r="AK88" s="36"/>
      <c r="AL88" s="22"/>
      <c r="AM88" s="8"/>
      <c r="AN88" s="28"/>
      <c r="AO88" s="8"/>
      <c r="AP88" s="8"/>
      <c r="AQ88" s="22"/>
      <c r="AR88" s="22"/>
      <c r="AS88" s="22"/>
      <c r="AT88" s="22"/>
      <c r="AU88" s="22"/>
    </row>
    <row r="89" spans="2:47" ht="15" hidden="1" x14ac:dyDescent="0.25">
      <c r="B89" s="8"/>
      <c r="C89" s="8"/>
      <c r="D89" s="8"/>
      <c r="E89" s="8"/>
      <c r="F89" s="8"/>
      <c r="G89" s="8"/>
      <c r="H89" s="16"/>
      <c r="I89" s="13"/>
      <c r="J89" s="13"/>
      <c r="K89" s="13"/>
      <c r="L89" s="10"/>
      <c r="M89" s="39" t="s">
        <v>57</v>
      </c>
      <c r="N89" s="13" t="s">
        <v>54</v>
      </c>
      <c r="O89" s="55" t="str">
        <f ca="1">IF(O88="","",O88/SQRT(O97))</f>
        <v/>
      </c>
      <c r="P89" s="10"/>
      <c r="Q89" s="39"/>
      <c r="R89" s="13"/>
      <c r="S89" s="51"/>
      <c r="T89" s="33"/>
      <c r="U89" s="39"/>
      <c r="V89" s="13"/>
      <c r="W89" s="51"/>
      <c r="X89" s="10"/>
      <c r="Y89" s="39" t="s">
        <v>57</v>
      </c>
      <c r="Z89" s="13" t="s">
        <v>54</v>
      </c>
      <c r="AA89" s="55">
        <f ca="1">IF(AA88="","",AA88/SQRT(AA97))</f>
        <v>14.943344590554805</v>
      </c>
      <c r="AB89" s="33"/>
      <c r="AC89" s="39"/>
      <c r="AD89" s="13"/>
      <c r="AE89" s="51"/>
      <c r="AF89" s="36"/>
      <c r="AG89" s="36"/>
      <c r="AH89" s="36"/>
      <c r="AI89" s="36"/>
      <c r="AJ89" s="36"/>
      <c r="AK89" s="36"/>
      <c r="AL89" s="22"/>
      <c r="AM89" s="8"/>
      <c r="AN89" s="28"/>
      <c r="AO89" s="8"/>
      <c r="AP89" s="8"/>
      <c r="AQ89" s="22"/>
      <c r="AR89" s="22"/>
      <c r="AS89" s="22"/>
      <c r="AT89" s="22"/>
      <c r="AU89" s="22"/>
    </row>
    <row r="90" spans="2:47" ht="15" hidden="1" x14ac:dyDescent="0.25">
      <c r="B90" s="8"/>
      <c r="C90" s="8"/>
      <c r="D90" s="8"/>
      <c r="E90" s="8"/>
      <c r="F90" s="8"/>
      <c r="G90" s="8"/>
      <c r="H90" s="16"/>
      <c r="I90" s="13"/>
      <c r="J90" s="13"/>
      <c r="K90" s="13"/>
      <c r="L90" s="10"/>
      <c r="M90" s="39" t="s">
        <v>51</v>
      </c>
      <c r="N90" s="13" t="s">
        <v>128</v>
      </c>
      <c r="O90" s="55" t="str">
        <f ca="1">IF(O87="","",SUMPRODUCT(O25:O60,$AM$25:$AM$60)/100)</f>
        <v/>
      </c>
      <c r="P90" s="10"/>
      <c r="Q90" s="39"/>
      <c r="R90" s="13"/>
      <c r="S90" s="51"/>
      <c r="T90" s="33"/>
      <c r="U90" s="39"/>
      <c r="V90" s="13"/>
      <c r="W90" s="51"/>
      <c r="X90" s="10"/>
      <c r="Y90" s="39" t="s">
        <v>51</v>
      </c>
      <c r="Z90" s="13" t="s">
        <v>128</v>
      </c>
      <c r="AA90" s="55">
        <f ca="1">IF(AA87="","",SUMPRODUCT(AA25:AA60,$AM$25:$AM$60)/100)</f>
        <v>320.92800000000005</v>
      </c>
      <c r="AB90" s="33"/>
      <c r="AC90" s="39"/>
      <c r="AD90" s="13"/>
      <c r="AE90" s="51"/>
      <c r="AF90" s="33"/>
      <c r="AG90" s="33"/>
      <c r="AH90" s="33"/>
      <c r="AI90" s="33"/>
      <c r="AJ90" s="33"/>
      <c r="AK90" s="33"/>
      <c r="AL90" s="22"/>
      <c r="AM90" s="8"/>
      <c r="AN90" s="28"/>
      <c r="AO90" s="8"/>
      <c r="AP90" s="8"/>
      <c r="AQ90" s="22"/>
      <c r="AR90" s="22"/>
      <c r="AS90" s="22"/>
      <c r="AT90" s="22"/>
      <c r="AU90" s="22"/>
    </row>
    <row r="91" spans="2:47" ht="15" hidden="1" x14ac:dyDescent="0.25">
      <c r="B91" s="8"/>
      <c r="C91" s="8"/>
      <c r="D91" s="8"/>
      <c r="E91" s="8"/>
      <c r="F91" s="8"/>
      <c r="G91" s="8"/>
      <c r="H91" s="16"/>
      <c r="I91" s="13"/>
      <c r="J91" s="13"/>
      <c r="K91" s="13"/>
      <c r="L91" s="10"/>
      <c r="M91" s="39"/>
      <c r="N91" s="13" t="s">
        <v>54</v>
      </c>
      <c r="O91" s="55" t="str">
        <f ca="1">IF(O90="","",O90/O94)</f>
        <v/>
      </c>
      <c r="P91" s="10"/>
      <c r="Q91" s="39"/>
      <c r="R91" s="13"/>
      <c r="S91" s="51"/>
      <c r="T91" s="33"/>
      <c r="U91" s="39"/>
      <c r="V91" s="13"/>
      <c r="W91" s="51"/>
      <c r="X91" s="10"/>
      <c r="Y91" s="39"/>
      <c r="Z91" s="13" t="s">
        <v>54</v>
      </c>
      <c r="AA91" s="55">
        <f ca="1">IF(AA90="","",AA90/AA94)</f>
        <v>14.369836623354386</v>
      </c>
      <c r="AB91" s="33"/>
      <c r="AC91" s="39"/>
      <c r="AD91" s="13"/>
      <c r="AE91" s="51"/>
      <c r="AF91" s="33"/>
      <c r="AG91" s="33"/>
      <c r="AH91" s="33"/>
      <c r="AI91" s="33"/>
      <c r="AJ91" s="33"/>
      <c r="AK91" s="33"/>
      <c r="AL91" s="22"/>
      <c r="AM91" s="8"/>
      <c r="AN91" s="28"/>
      <c r="AO91" s="8"/>
      <c r="AP91" s="8"/>
      <c r="AQ91" s="22"/>
      <c r="AR91" s="22"/>
      <c r="AS91" s="22"/>
      <c r="AT91" s="22"/>
      <c r="AU91" s="22"/>
    </row>
    <row r="92" spans="2:47" ht="15" hidden="1" x14ac:dyDescent="0.25">
      <c r="B92" s="8"/>
      <c r="C92" s="8"/>
      <c r="D92" s="8"/>
      <c r="E92" s="8"/>
      <c r="F92" s="8"/>
      <c r="G92" s="8"/>
      <c r="H92" s="16"/>
      <c r="I92" s="13"/>
      <c r="J92" s="13"/>
      <c r="K92" s="13"/>
      <c r="L92" s="10"/>
      <c r="M92" s="39" t="s">
        <v>129</v>
      </c>
      <c r="N92" s="13"/>
      <c r="O92" s="55" t="str">
        <f ca="1">IF(O87="","",SUMPRODUCT(O25:O60,$AN$25:$AN$60)/100)</f>
        <v/>
      </c>
      <c r="P92" s="10"/>
      <c r="Q92" s="39"/>
      <c r="R92" s="13"/>
      <c r="S92" s="51"/>
      <c r="T92" s="33"/>
      <c r="U92" s="39"/>
      <c r="V92" s="13"/>
      <c r="W92" s="51"/>
      <c r="X92" s="10"/>
      <c r="Y92" s="39" t="s">
        <v>129</v>
      </c>
      <c r="Z92" s="13"/>
      <c r="AA92" s="55">
        <f ca="1">IF(AA87="","",SUMPRODUCT(AA25:AA60,$AN$25:$AN$60)/100)</f>
        <v>32.822919999999996</v>
      </c>
      <c r="AB92" s="33"/>
      <c r="AC92" s="39"/>
      <c r="AD92" s="13"/>
      <c r="AE92" s="51"/>
      <c r="AF92" s="33"/>
      <c r="AG92" s="33"/>
      <c r="AH92" s="33"/>
      <c r="AI92" s="33"/>
      <c r="AJ92" s="33"/>
      <c r="AK92" s="33"/>
      <c r="AL92" s="22"/>
      <c r="AM92" s="8"/>
      <c r="AN92" s="28"/>
      <c r="AO92" s="8"/>
      <c r="AP92" s="8"/>
      <c r="AQ92" s="22"/>
      <c r="AR92" s="22"/>
      <c r="AS92" s="22"/>
      <c r="AT92" s="22"/>
      <c r="AU92" s="22"/>
    </row>
    <row r="93" spans="2:47" ht="15" hidden="1" x14ac:dyDescent="0.25">
      <c r="B93" s="8"/>
      <c r="C93" s="8"/>
      <c r="D93" s="8"/>
      <c r="E93" s="8"/>
      <c r="F93" s="8"/>
      <c r="G93" s="8"/>
      <c r="H93" s="16"/>
      <c r="I93" s="13"/>
      <c r="J93" s="13"/>
      <c r="K93" s="13"/>
      <c r="L93" s="10"/>
      <c r="M93" s="39" t="s">
        <v>130</v>
      </c>
      <c r="N93" s="13"/>
      <c r="O93" s="51" t="str">
        <f ca="1">IF(O87="","",1-(SUMPRODUCT(O25:O60,$AP$25:$AP$60)/100)^2+0.0005*(0.02*O28-O28*O28/10000))</f>
        <v/>
      </c>
      <c r="P93" s="10"/>
      <c r="Q93" s="39"/>
      <c r="R93" s="13"/>
      <c r="S93" s="51"/>
      <c r="T93" s="33"/>
      <c r="U93" s="39"/>
      <c r="V93" s="13"/>
      <c r="W93" s="51"/>
      <c r="X93" s="10"/>
      <c r="Y93" s="39" t="s">
        <v>130</v>
      </c>
      <c r="Z93" s="13"/>
      <c r="AA93" s="51">
        <f ca="1">IF(AA87="","",1-(SUMPRODUCT(AA25:AA60,$AP$25:$AP$60)/100)^2+0.0005*(0.02*AA28-AA28*AA28/10000))</f>
        <v>0.99642396</v>
      </c>
      <c r="AB93" s="33"/>
      <c r="AC93" s="39"/>
      <c r="AD93" s="13"/>
      <c r="AE93" s="51"/>
      <c r="AF93" s="33"/>
      <c r="AG93" s="33"/>
      <c r="AH93" s="33"/>
      <c r="AI93" s="33"/>
      <c r="AJ93" s="33"/>
      <c r="AK93" s="33"/>
      <c r="AL93" s="22"/>
      <c r="AM93" s="8"/>
      <c r="AN93" s="28"/>
      <c r="AO93" s="8"/>
      <c r="AP93" s="8"/>
      <c r="AQ93" s="22"/>
      <c r="AR93" s="22"/>
      <c r="AS93" s="22"/>
      <c r="AT93" s="22"/>
      <c r="AU93" s="22"/>
    </row>
    <row r="94" spans="2:47" ht="15" hidden="1" x14ac:dyDescent="0.25">
      <c r="B94" s="8"/>
      <c r="C94" s="8"/>
      <c r="D94" s="8"/>
      <c r="E94" s="8"/>
      <c r="F94" s="8"/>
      <c r="G94" s="8"/>
      <c r="H94" s="16"/>
      <c r="I94" s="13"/>
      <c r="J94" s="13"/>
      <c r="K94" s="13"/>
      <c r="L94" s="10"/>
      <c r="M94" s="39" t="s">
        <v>131</v>
      </c>
      <c r="N94" s="13"/>
      <c r="O94" s="55" t="str">
        <f ca="1">IF(O93="","",O93*22.4136)</f>
        <v/>
      </c>
      <c r="P94" s="10"/>
      <c r="Q94" s="39"/>
      <c r="R94" s="13"/>
      <c r="S94" s="51"/>
      <c r="T94" s="33"/>
      <c r="U94" s="39"/>
      <c r="V94" s="13"/>
      <c r="W94" s="51"/>
      <c r="X94" s="10"/>
      <c r="Y94" s="39" t="s">
        <v>131</v>
      </c>
      <c r="Z94" s="13"/>
      <c r="AA94" s="55">
        <f ca="1">IF(AA93="","",AA93*22.4136)</f>
        <v>22.333448069855997</v>
      </c>
      <c r="AB94" s="33"/>
      <c r="AC94" s="39"/>
      <c r="AD94" s="13"/>
      <c r="AE94" s="51"/>
      <c r="AF94" s="33"/>
      <c r="AG94" s="33"/>
      <c r="AH94" s="33"/>
      <c r="AI94" s="33"/>
      <c r="AJ94" s="33"/>
      <c r="AK94" s="33"/>
      <c r="AL94" s="22"/>
      <c r="AM94" s="8"/>
      <c r="AN94" s="28"/>
      <c r="AO94" s="8"/>
      <c r="AP94" s="8"/>
      <c r="AQ94" s="22"/>
      <c r="AR94" s="22"/>
      <c r="AS94" s="22"/>
      <c r="AT94" s="22"/>
      <c r="AU94" s="22"/>
    </row>
    <row r="95" spans="2:47" ht="15" hidden="1" x14ac:dyDescent="0.25">
      <c r="B95" s="8"/>
      <c r="C95" s="8"/>
      <c r="D95" s="8"/>
      <c r="E95" s="8"/>
      <c r="F95" s="8"/>
      <c r="G95" s="8"/>
      <c r="H95" s="16"/>
      <c r="I95" s="13"/>
      <c r="J95" s="13"/>
      <c r="K95" s="13"/>
      <c r="L95" s="10"/>
      <c r="M95" s="39" t="s">
        <v>132</v>
      </c>
      <c r="N95" s="13"/>
      <c r="O95" s="55" t="str">
        <f ca="1">IF(O87="","",SUMPRODUCT(O25:O60,$AO$25:$AO$60)/100)</f>
        <v/>
      </c>
      <c r="P95" s="10"/>
      <c r="Q95" s="39"/>
      <c r="R95" s="13"/>
      <c r="S95" s="51"/>
      <c r="T95" s="33"/>
      <c r="U95" s="39"/>
      <c r="V95" s="13"/>
      <c r="W95" s="51"/>
      <c r="X95" s="10"/>
      <c r="Y95" s="39" t="s">
        <v>132</v>
      </c>
      <c r="Z95" s="13"/>
      <c r="AA95" s="55">
        <f ca="1">IF(AA87="","",SUMPRODUCT(AA25:AA60,$AO$25:$AO$60)/100)</f>
        <v>22.291659999999997</v>
      </c>
      <c r="AB95" s="33"/>
      <c r="AC95" s="39"/>
      <c r="AD95" s="13"/>
      <c r="AE95" s="51"/>
      <c r="AF95" s="33"/>
      <c r="AG95" s="33"/>
      <c r="AH95" s="33"/>
      <c r="AI95" s="33"/>
      <c r="AJ95" s="33"/>
      <c r="AK95" s="33"/>
      <c r="AL95" s="22"/>
      <c r="AM95" s="8"/>
      <c r="AN95" s="28"/>
      <c r="AO95" s="8"/>
      <c r="AP95" s="8"/>
      <c r="AQ95" s="22"/>
      <c r="AR95" s="22"/>
      <c r="AS95" s="22"/>
      <c r="AT95" s="22"/>
      <c r="AU95" s="22"/>
    </row>
    <row r="96" spans="2:47" ht="15" hidden="1" x14ac:dyDescent="0.25">
      <c r="B96" s="8"/>
      <c r="C96" s="8"/>
      <c r="D96" s="8"/>
      <c r="E96" s="8"/>
      <c r="F96" s="8"/>
      <c r="G96" s="8"/>
      <c r="H96" s="16"/>
      <c r="I96" s="13"/>
      <c r="J96" s="13"/>
      <c r="K96" s="13"/>
      <c r="L96" s="10"/>
      <c r="M96" s="39" t="s">
        <v>133</v>
      </c>
      <c r="N96" s="13" t="s">
        <v>134</v>
      </c>
      <c r="O96" s="51" t="str">
        <f ca="1">IF(O95="","",O92/O95)</f>
        <v/>
      </c>
      <c r="P96" s="10"/>
      <c r="Q96" s="39"/>
      <c r="R96" s="13"/>
      <c r="S96" s="51"/>
      <c r="T96" s="33"/>
      <c r="U96" s="39"/>
      <c r="V96" s="13"/>
      <c r="W96" s="51"/>
      <c r="X96" s="10"/>
      <c r="Y96" s="39" t="s">
        <v>133</v>
      </c>
      <c r="Z96" s="13" t="s">
        <v>134</v>
      </c>
      <c r="AA96" s="51">
        <f ca="1">IF(AA95="","",AA92/AA95)</f>
        <v>1.4724304964278121</v>
      </c>
      <c r="AB96" s="33"/>
      <c r="AC96" s="39"/>
      <c r="AD96" s="13"/>
      <c r="AE96" s="51"/>
      <c r="AF96" s="33"/>
      <c r="AG96" s="33"/>
      <c r="AH96" s="33"/>
      <c r="AI96" s="33"/>
      <c r="AJ96" s="33"/>
      <c r="AK96" s="33"/>
      <c r="AL96" s="22"/>
      <c r="AM96" s="8"/>
      <c r="AN96" s="28"/>
      <c r="AO96" s="8"/>
      <c r="AP96" s="8"/>
      <c r="AQ96" s="22"/>
      <c r="AR96" s="22"/>
      <c r="AS96" s="22"/>
      <c r="AT96" s="22"/>
      <c r="AU96" s="22"/>
    </row>
    <row r="97" spans="2:48" ht="15.75" hidden="1" thickBot="1" x14ac:dyDescent="0.3">
      <c r="B97" s="8"/>
      <c r="C97" s="8"/>
      <c r="D97" s="8"/>
      <c r="E97" s="8"/>
      <c r="F97" s="8"/>
      <c r="G97" s="8"/>
      <c r="H97" s="16"/>
      <c r="I97" s="13"/>
      <c r="J97" s="13"/>
      <c r="K97" s="13"/>
      <c r="L97" s="10"/>
      <c r="M97" s="56" t="s">
        <v>135</v>
      </c>
      <c r="N97" s="57"/>
      <c r="O97" s="58" t="str">
        <f ca="1">IF(O96="","",O96/1.293)</f>
        <v/>
      </c>
      <c r="P97" s="10"/>
      <c r="Q97" s="56"/>
      <c r="R97" s="57"/>
      <c r="S97" s="58"/>
      <c r="T97" s="33"/>
      <c r="U97" s="56"/>
      <c r="V97" s="57"/>
      <c r="W97" s="58"/>
      <c r="X97" s="10"/>
      <c r="Y97" s="56" t="s">
        <v>135</v>
      </c>
      <c r="Z97" s="57"/>
      <c r="AA97" s="58">
        <f ca="1">IF(AA96="","",AA96/1.293)</f>
        <v>1.1387706855590194</v>
      </c>
      <c r="AB97" s="33"/>
      <c r="AC97" s="56"/>
      <c r="AD97" s="57"/>
      <c r="AE97" s="58"/>
      <c r="AF97" s="33"/>
      <c r="AG97" s="33"/>
      <c r="AH97" s="33"/>
      <c r="AI97" s="33"/>
      <c r="AJ97" s="33"/>
      <c r="AK97" s="33"/>
      <c r="AL97" s="22"/>
      <c r="AM97" s="8"/>
      <c r="AN97" s="28"/>
      <c r="AO97" s="8"/>
      <c r="AP97" s="8"/>
      <c r="AQ97" s="22"/>
      <c r="AR97" s="22"/>
      <c r="AS97" s="22"/>
      <c r="AT97" s="22"/>
      <c r="AU97" s="22"/>
    </row>
    <row r="98" spans="2:48" ht="7.5" customHeight="1" x14ac:dyDescent="0.25">
      <c r="H98" s="117"/>
      <c r="I98" s="118"/>
      <c r="J98" s="118"/>
      <c r="K98" s="274"/>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row>
    <row r="99" spans="2:48" ht="16.5" hidden="1" customHeight="1" x14ac:dyDescent="0.25"/>
    <row r="100" spans="2:48" ht="16.5" hidden="1" customHeight="1" x14ac:dyDescent="0.25"/>
    <row r="101" spans="2:48" ht="16.5" hidden="1" customHeight="1" x14ac:dyDescent="0.25"/>
    <row r="102" spans="2:48" ht="16.5" hidden="1" customHeight="1" x14ac:dyDescent="0.25"/>
    <row r="103" spans="2:48" ht="16.5" hidden="1" customHeight="1" x14ac:dyDescent="0.25"/>
    <row r="104" spans="2:48" ht="16.5" hidden="1" customHeight="1" x14ac:dyDescent="0.25"/>
    <row r="105" spans="2:48" ht="16.5" hidden="1" customHeight="1" x14ac:dyDescent="0.25"/>
    <row r="106" spans="2:48" ht="16.5" hidden="1" customHeight="1" x14ac:dyDescent="0.25"/>
    <row r="107" spans="2:48" ht="16.5" hidden="1" customHeight="1" x14ac:dyDescent="0.25"/>
    <row r="108" spans="2:48" ht="16.5" hidden="1" customHeight="1" x14ac:dyDescent="0.25"/>
    <row r="109" spans="2:48" ht="16.5" hidden="1" customHeight="1" x14ac:dyDescent="0.25"/>
    <row r="110" spans="2:48" ht="16.5" hidden="1" customHeight="1" x14ac:dyDescent="0.25"/>
    <row r="111" spans="2:48" ht="16.5" hidden="1" customHeight="1" x14ac:dyDescent="0.25"/>
    <row r="112" spans="2:48"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ht="16.5" hidden="1" customHeight="1" x14ac:dyDescent="0.25"/>
    <row r="139" ht="16.5" hidden="1" customHeight="1" x14ac:dyDescent="0.25"/>
    <row r="140" ht="16.5" hidden="1" customHeight="1" x14ac:dyDescent="0.25"/>
    <row r="141" ht="16.5" hidden="1" customHeight="1" x14ac:dyDescent="0.25"/>
    <row r="142" ht="16.5" hidden="1" customHeight="1" x14ac:dyDescent="0.25"/>
    <row r="143" ht="16.5" hidden="1" customHeight="1" x14ac:dyDescent="0.25"/>
    <row r="144" ht="16.5" hidden="1" customHeight="1" x14ac:dyDescent="0.25"/>
    <row r="145" ht="16.5" hidden="1" customHeight="1" x14ac:dyDescent="0.25"/>
    <row r="146" ht="16.5" hidden="1" customHeight="1" x14ac:dyDescent="0.25"/>
    <row r="147" ht="16.5" hidden="1" customHeight="1" x14ac:dyDescent="0.25"/>
    <row r="148" ht="16.5" hidden="1" customHeight="1" x14ac:dyDescent="0.25"/>
    <row r="149" ht="16.5" hidden="1" customHeight="1" x14ac:dyDescent="0.25"/>
    <row r="150" ht="16.5" hidden="1" customHeight="1" x14ac:dyDescent="0.25"/>
    <row r="151" ht="16.5" hidden="1" customHeight="1" x14ac:dyDescent="0.25"/>
    <row r="152" ht="16.5" hidden="1" customHeight="1" x14ac:dyDescent="0.25"/>
    <row r="153" ht="16.5" hidden="1" customHeight="1" x14ac:dyDescent="0.25"/>
    <row r="154" ht="16.5" hidden="1" customHeight="1" x14ac:dyDescent="0.25"/>
    <row r="155" ht="16.5" hidden="1" customHeight="1" x14ac:dyDescent="0.25"/>
    <row r="156" ht="16.5" hidden="1" customHeight="1" x14ac:dyDescent="0.25"/>
    <row r="157" ht="16.5" hidden="1" customHeight="1" x14ac:dyDescent="0.25"/>
    <row r="158" ht="16.5" hidden="1" customHeight="1" x14ac:dyDescent="0.25"/>
    <row r="159" ht="16.5" hidden="1" customHeight="1" x14ac:dyDescent="0.25"/>
    <row r="160" ht="16.5" hidden="1" customHeight="1" x14ac:dyDescent="0.25"/>
    <row r="161" ht="16.5" hidden="1" customHeight="1" x14ac:dyDescent="0.25"/>
    <row r="162" ht="16.5" hidden="1" customHeight="1" x14ac:dyDescent="0.25"/>
    <row r="163" ht="16.5" hidden="1" customHeight="1" x14ac:dyDescent="0.25"/>
    <row r="164" ht="16.5" hidden="1" customHeight="1" x14ac:dyDescent="0.25"/>
    <row r="165" ht="16.5" hidden="1" customHeight="1" x14ac:dyDescent="0.25"/>
    <row r="166" ht="16.5" hidden="1" customHeight="1" x14ac:dyDescent="0.25"/>
    <row r="167" ht="16.5" hidden="1" customHeight="1" x14ac:dyDescent="0.25"/>
    <row r="168" ht="16.5" hidden="1" customHeight="1" x14ac:dyDescent="0.25"/>
    <row r="169" ht="16.5" hidden="1" customHeight="1" x14ac:dyDescent="0.25"/>
    <row r="170" ht="16.5" hidden="1" customHeight="1" x14ac:dyDescent="0.25"/>
    <row r="171" ht="16.5" hidden="1" customHeight="1" x14ac:dyDescent="0.25"/>
    <row r="172" ht="16.5" hidden="1" customHeight="1" x14ac:dyDescent="0.25"/>
    <row r="173" ht="16.5" hidden="1" customHeight="1" x14ac:dyDescent="0.25"/>
    <row r="174" ht="16.5" hidden="1" customHeight="1" x14ac:dyDescent="0.25"/>
    <row r="175" ht="16.5" hidden="1" customHeight="1" x14ac:dyDescent="0.25"/>
    <row r="176" ht="16.5" hidden="1" customHeight="1" x14ac:dyDescent="0.25"/>
    <row r="177" ht="16.5" hidden="1" customHeight="1" x14ac:dyDescent="0.25"/>
    <row r="178" ht="16.5" hidden="1" customHeight="1" x14ac:dyDescent="0.25"/>
    <row r="179" ht="16.5" hidden="1" customHeight="1" x14ac:dyDescent="0.25"/>
    <row r="180" ht="16.5" hidden="1" customHeight="1" x14ac:dyDescent="0.25"/>
    <row r="181" ht="16.5" hidden="1" customHeight="1" x14ac:dyDescent="0.25"/>
    <row r="182" ht="16.5" hidden="1" customHeight="1" x14ac:dyDescent="0.25"/>
    <row r="183" ht="16.5" hidden="1" customHeight="1" x14ac:dyDescent="0.25"/>
    <row r="184" ht="16.5" hidden="1" customHeight="1" x14ac:dyDescent="0.25"/>
    <row r="185" ht="16.5" hidden="1" customHeight="1" x14ac:dyDescent="0.25"/>
    <row r="186" ht="16.5" hidden="1" customHeight="1" x14ac:dyDescent="0.25"/>
    <row r="187" ht="16.5" hidden="1" customHeight="1" x14ac:dyDescent="0.25"/>
    <row r="188" ht="16.5" hidden="1" customHeight="1" x14ac:dyDescent="0.25"/>
    <row r="189" ht="16.5" hidden="1" customHeight="1" x14ac:dyDescent="0.25"/>
    <row r="190" ht="16.5" hidden="1" customHeight="1" x14ac:dyDescent="0.25"/>
    <row r="191" ht="16.5" hidden="1" customHeight="1" x14ac:dyDescent="0.25"/>
    <row r="192" ht="16.5" hidden="1" customHeight="1" x14ac:dyDescent="0.25"/>
    <row r="193" ht="16.5" hidden="1" customHeight="1" x14ac:dyDescent="0.25"/>
    <row r="194" ht="16.5" hidden="1" customHeight="1" x14ac:dyDescent="0.25"/>
    <row r="195" ht="16.5" hidden="1" customHeight="1" x14ac:dyDescent="0.25"/>
    <row r="196" ht="16.5" hidden="1" customHeight="1" x14ac:dyDescent="0.25"/>
    <row r="197" ht="16.5" hidden="1" customHeight="1" x14ac:dyDescent="0.25"/>
    <row r="198" ht="16.5" hidden="1" customHeight="1" x14ac:dyDescent="0.25"/>
    <row r="199" ht="16.5" hidden="1" customHeight="1" x14ac:dyDescent="0.25"/>
    <row r="200" ht="16.5" hidden="1" customHeight="1" x14ac:dyDescent="0.25"/>
    <row r="201" ht="16.5" hidden="1" customHeight="1" x14ac:dyDescent="0.25"/>
    <row r="202" ht="16.5" hidden="1" customHeight="1" x14ac:dyDescent="0.25"/>
    <row r="203" ht="16.5" hidden="1" customHeight="1" x14ac:dyDescent="0.25"/>
    <row r="204" ht="16.5" hidden="1" customHeight="1" x14ac:dyDescent="0.25"/>
    <row r="205" ht="16.5" hidden="1" customHeight="1" x14ac:dyDescent="0.25"/>
    <row r="206" ht="16.5" hidden="1" customHeight="1" x14ac:dyDescent="0.25"/>
    <row r="207" ht="16.5" hidden="1" customHeight="1" x14ac:dyDescent="0.25"/>
    <row r="208" ht="16.5" hidden="1" customHeight="1" x14ac:dyDescent="0.25"/>
    <row r="209" ht="16.5" hidden="1" customHeight="1" x14ac:dyDescent="0.25"/>
    <row r="210" ht="16.5" hidden="1" customHeight="1" x14ac:dyDescent="0.25"/>
    <row r="211" ht="16.5" hidden="1" customHeight="1" x14ac:dyDescent="0.25"/>
    <row r="212" ht="16.5" hidden="1" customHeight="1" x14ac:dyDescent="0.25"/>
    <row r="213" ht="16.5" hidden="1" customHeight="1" x14ac:dyDescent="0.25"/>
    <row r="214" ht="16.5" hidden="1" customHeight="1" x14ac:dyDescent="0.25"/>
    <row r="215" ht="16.5" hidden="1" customHeight="1" x14ac:dyDescent="0.25"/>
    <row r="216" ht="16.5" hidden="1" customHeight="1" x14ac:dyDescent="0.25"/>
    <row r="217" ht="16.5" hidden="1" customHeight="1" x14ac:dyDescent="0.25"/>
    <row r="218" ht="16.5" hidden="1" customHeight="1" x14ac:dyDescent="0.25"/>
    <row r="219" ht="16.5" hidden="1" customHeight="1" x14ac:dyDescent="0.25"/>
    <row r="220" ht="16.5" hidden="1" customHeight="1" x14ac:dyDescent="0.25"/>
    <row r="221" ht="16.5" hidden="1" customHeight="1" x14ac:dyDescent="0.25"/>
    <row r="222" ht="16.5" hidden="1" customHeight="1" x14ac:dyDescent="0.25"/>
    <row r="223" ht="16.5" hidden="1" customHeight="1" x14ac:dyDescent="0.25"/>
    <row r="224" ht="16.5" hidden="1" customHeight="1" x14ac:dyDescent="0.25"/>
    <row r="225" ht="16.5" hidden="1" customHeight="1" x14ac:dyDescent="0.25"/>
    <row r="226" ht="16.5" hidden="1" customHeight="1" x14ac:dyDescent="0.25"/>
    <row r="227" ht="16.5" hidden="1" customHeight="1" x14ac:dyDescent="0.25"/>
    <row r="228" ht="16.5" hidden="1" customHeight="1" x14ac:dyDescent="0.25"/>
    <row r="229" ht="16.5" hidden="1" customHeight="1" x14ac:dyDescent="0.25"/>
    <row r="230" ht="16.5" hidden="1" customHeight="1" x14ac:dyDescent="0.25"/>
    <row r="231" ht="16.5" hidden="1" customHeight="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sheetData>
  <sheetProtection algorithmName="SHA-512" hashValue="U8/lysOWqRKtUZ3thjKaOvcKstnORfQBsGt8ubcJhjadlP9qQnLVv04iYLGTC8+Iu7TmrtIHYIOSXN3AV6KZNA==" saltValue="5nkrkCbaHpwDSLBxOEtHyA==" spinCount="100000" sheet="1" objects="1" scenarios="1"/>
  <mergeCells count="29">
    <mergeCell ref="AC23:AE23"/>
    <mergeCell ref="AG23:AI23"/>
    <mergeCell ref="M6:O6"/>
    <mergeCell ref="L8:L9"/>
    <mergeCell ref="U62:W62"/>
    <mergeCell ref="Y62:AA62"/>
    <mergeCell ref="AC62:AE62"/>
    <mergeCell ref="AG6:AI6"/>
    <mergeCell ref="Q6:S6"/>
    <mergeCell ref="U6:W6"/>
    <mergeCell ref="Y6:AA6"/>
    <mergeCell ref="L25:L27"/>
    <mergeCell ref="M62:O62"/>
    <mergeCell ref="Q62:S62"/>
    <mergeCell ref="M23:O23"/>
    <mergeCell ref="Q23:S23"/>
    <mergeCell ref="U23:W23"/>
    <mergeCell ref="Y23:AA23"/>
    <mergeCell ref="H23:I23"/>
    <mergeCell ref="J23:K23"/>
    <mergeCell ref="Y5:AA5"/>
    <mergeCell ref="H2:J2"/>
    <mergeCell ref="H3:J3"/>
    <mergeCell ref="AJ6:AL6"/>
    <mergeCell ref="AC6:AE6"/>
    <mergeCell ref="P5:R5"/>
    <mergeCell ref="M5:O5"/>
    <mergeCell ref="H4:K5"/>
    <mergeCell ref="J6:K6"/>
  </mergeCells>
  <conditionalFormatting sqref="I26:I60">
    <cfRule type="expression" dxfId="2" priority="3" stopIfTrue="1">
      <formula>$H26=""</formula>
    </cfRule>
  </conditionalFormatting>
  <conditionalFormatting sqref="I25">
    <cfRule type="expression" dxfId="1" priority="2" stopIfTrue="1">
      <formula>$H25=""</formula>
    </cfRule>
  </conditionalFormatting>
  <pageMargins left="1.0236220472440944" right="0.23622047244094491" top="0.74803149606299213" bottom="0.74803149606299213" header="0.31496062992125984" footer="0.31496062992125984"/>
  <pageSetup paperSize="9" scale="60"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defaultSize="0" autoLine="0" autoPict="0">
                <anchor moveWithCells="1">
                  <from>
                    <xdr:col>7</xdr:col>
                    <xdr:colOff>1038225</xdr:colOff>
                    <xdr:row>6</xdr:row>
                    <xdr:rowOff>9525</xdr:rowOff>
                  </from>
                  <to>
                    <xdr:col>7</xdr:col>
                    <xdr:colOff>2476500</xdr:colOff>
                    <xdr:row>6</xdr:row>
                    <xdr:rowOff>209550</xdr:rowOff>
                  </to>
                </anchor>
              </controlPr>
            </control>
          </mc:Choice>
        </mc:AlternateContent>
        <mc:AlternateContent xmlns:mc="http://schemas.openxmlformats.org/markup-compatibility/2006">
          <mc:Choice Requires="x14">
            <control shapeId="6146" r:id="rId5" name="Drop Down 2">
              <controlPr defaultSize="0" autoLine="0" autoPict="0">
                <anchor moveWithCells="1">
                  <from>
                    <xdr:col>7</xdr:col>
                    <xdr:colOff>1038225</xdr:colOff>
                    <xdr:row>23</xdr:row>
                    <xdr:rowOff>9525</xdr:rowOff>
                  </from>
                  <to>
                    <xdr:col>7</xdr:col>
                    <xdr:colOff>2476500</xdr:colOff>
                    <xdr:row>23</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107D8E8B-E127-420D-B2F5-6722880C4266}">
            <xm:f>$K$7&lt;&gt;Examples!$G$2</xm:f>
            <x14:dxf>
              <font>
                <color theme="0"/>
              </font>
            </x14:dxf>
          </x14:cfRule>
          <xm:sqref>K7</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14:formula1>
            <xm:f>Examples!$G$2:$G$12</xm:f>
          </x14:formula1>
          <xm:sqref>K7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7"/>
  <sheetViews>
    <sheetView workbookViewId="0">
      <selection activeCell="G13" sqref="G13"/>
    </sheetView>
  </sheetViews>
  <sheetFormatPr defaultRowHeight="15" x14ac:dyDescent="0.25"/>
  <cols>
    <col min="2" max="2" width="22.140625" bestFit="1" customWidth="1"/>
    <col min="3" max="3" width="42.28515625" bestFit="1" customWidth="1"/>
    <col min="4" max="4" width="10.5703125" bestFit="1" customWidth="1"/>
    <col min="6" max="6" width="11.5703125" customWidth="1"/>
  </cols>
  <sheetData>
    <row r="1" spans="3:25" x14ac:dyDescent="0.25">
      <c r="F1" t="s">
        <v>307</v>
      </c>
      <c r="G1" t="s">
        <v>308</v>
      </c>
    </row>
    <row r="2" spans="3:25" x14ac:dyDescent="0.25">
      <c r="E2">
        <v>0</v>
      </c>
      <c r="F2" t="str">
        <f>IF(ABS(Y16)&lt;1,"",IF('Combustion Emissions'!$J$54=1,"Selecteer voorbeeld","Select example"))</f>
        <v>Selecteer voorbeeld</v>
      </c>
      <c r="G2" t="str">
        <f>IF(ABS(Y17)&lt;1,"",IF('Combustion Emissions'!$J$54=1,"Selecteer voorbeeld","Select example"))</f>
        <v>Selecteer voorbeeld</v>
      </c>
    </row>
    <row r="3" spans="3:25" x14ac:dyDescent="0.25">
      <c r="E3">
        <v>1</v>
      </c>
      <c r="F3" t="str">
        <f>IF(ISNA(HLOOKUP($E3,$F$16:$Y$47,3,FALSE)),"",HLOOKUP($E3,$F$16:Y47,3,FALSE))</f>
        <v>Hoogovengas</v>
      </c>
      <c r="G3" t="str">
        <f>IF(ISNA(HLOOKUP($E3,$F$17:$Y$47,2,FALSE)),"",HLOOKUP($E3,$F$17:$Y$47,2,FALSE))</f>
        <v>Hoogovengas</v>
      </c>
    </row>
    <row r="4" spans="3:25" x14ac:dyDescent="0.25">
      <c r="E4">
        <v>2</v>
      </c>
      <c r="F4" t="str">
        <f>IF(ISNA(HLOOKUP($E4,$F$16:$Y$47,3,FALSE)),"",HLOOKUP($E4,$F$16:Y48,3,FALSE))</f>
        <v>Oxygas</v>
      </c>
      <c r="G4" t="str">
        <f>IF(ISNA(HLOOKUP($E4,$F$17:$Y$47,2,FALSE)),"",HLOOKUP($E4,$F$17:$Y$47,2,FALSE))</f>
        <v>Oxygas</v>
      </c>
    </row>
    <row r="5" spans="3:25" x14ac:dyDescent="0.25">
      <c r="E5">
        <v>3</v>
      </c>
      <c r="F5" t="str">
        <f>IF(ISNA(HLOOKUP($E5,$F$16:$Y$47,3,FALSE)),"",HLOOKUP($E5,$F$16:Y49,3,FALSE))</f>
        <v>Cokesovengas</v>
      </c>
      <c r="G5" t="str">
        <f>IF(ISNA(HLOOKUP($E5,$F$17:$Y$47,2,FALSE)),"",HLOOKUP($E5,$F$17:$Y$47,2,FALSE))</f>
        <v>Cokesovengas</v>
      </c>
    </row>
    <row r="6" spans="3:25" x14ac:dyDescent="0.25">
      <c r="E6">
        <v>4</v>
      </c>
      <c r="F6" t="str">
        <f>IF(ISNA(HLOOKUP($E6,$F$16:$Y$47,3,FALSE)),"",HLOOKUP($E6,$F$16:Y50,3,FALSE))</f>
        <v>Raffinaderijgas</v>
      </c>
      <c r="G6" t="str">
        <f>IF(ISNA(HLOOKUP($E6,$F$17:$Y$47,2,FALSE)),"",HLOOKUP($E6,$F$17:$Y$47,2,FALSE))</f>
        <v>Raffinaderijgas</v>
      </c>
    </row>
    <row r="7" spans="3:25" x14ac:dyDescent="0.25">
      <c r="E7">
        <v>5</v>
      </c>
      <c r="F7" t="str">
        <f>IF(ISNA(HLOOKUP($E7,$F$16:$Y$47,3,FALSE)),"",HLOOKUP($E7,$F$16:Y51,3,FALSE))</f>
        <v>Raffinaderijgas (hoog H2)</v>
      </c>
      <c r="G7" t="str">
        <f>IF(ISNA(HLOOKUP($E7,$F$17:$Y$47,2,FALSE)),"",HLOOKUP($E7,$F$17:$Y$47,2,FALSE))</f>
        <v>Raffinaderijgas (hoog H2)</v>
      </c>
    </row>
    <row r="8" spans="3:25" x14ac:dyDescent="0.25">
      <c r="E8">
        <v>6</v>
      </c>
      <c r="F8" t="str">
        <f>IF(ISNA(HLOOKUP($E8,$F$16:$Y$47,3,FALSE)),"",HLOOKUP($E8,$F$16:Y52,3,FALSE))</f>
        <v/>
      </c>
      <c r="G8" t="str">
        <f t="shared" ref="G8:G12" si="0">IF(ISNA(HLOOKUP($E8,$F$17:$Y$47,2,FALSE)),"",HLOOKUP($E8,$F$17:$Y$47,2,FALSE))</f>
        <v/>
      </c>
    </row>
    <row r="9" spans="3:25" x14ac:dyDescent="0.25">
      <c r="E9">
        <v>7</v>
      </c>
      <c r="F9" t="str">
        <f>IF(ISNA(HLOOKUP($E9,$F$16:$Y$47,3,FALSE)),"",HLOOKUP($E9,$F$16:Y53,3,FALSE))</f>
        <v/>
      </c>
      <c r="G9" t="str">
        <f t="shared" si="0"/>
        <v/>
      </c>
    </row>
    <row r="10" spans="3:25" x14ac:dyDescent="0.25">
      <c r="E10">
        <v>8</v>
      </c>
      <c r="F10" t="str">
        <f>IF(ISNA(HLOOKUP($E10,$F$16:$Y$47,3,FALSE)),"",HLOOKUP($E10,$F$16:Y54,3,FALSE))</f>
        <v/>
      </c>
      <c r="G10" t="str">
        <f t="shared" si="0"/>
        <v/>
      </c>
    </row>
    <row r="11" spans="3:25" x14ac:dyDescent="0.25">
      <c r="E11">
        <v>9</v>
      </c>
      <c r="F11" t="str">
        <f>IF(ISNA(HLOOKUP($E11,$F$16:$Y$47,3,FALSE)),"",HLOOKUP($E11,$F$16:Y55,3,FALSE))</f>
        <v/>
      </c>
      <c r="G11" t="str">
        <f t="shared" si="0"/>
        <v/>
      </c>
    </row>
    <row r="12" spans="3:25" x14ac:dyDescent="0.25">
      <c r="E12">
        <v>10</v>
      </c>
      <c r="F12" t="str">
        <f>IF(ISNA(HLOOKUP($E12,$F$16:$Y$47,3,FALSE)),"",HLOOKUP($E12,$F$16:Y56,3,FALSE))</f>
        <v/>
      </c>
      <c r="G12" t="str">
        <f t="shared" si="0"/>
        <v/>
      </c>
    </row>
    <row r="13" spans="3:25" x14ac:dyDescent="0.25">
      <c r="E13" t="s">
        <v>309</v>
      </c>
      <c r="F13" t="str">
        <f>IF(Fuel1!K7="","",Fuel1!K7)</f>
        <v>Selecteer voorbeeld</v>
      </c>
      <c r="G13" t="str">
        <f>IF(Fuel2!K7="","",Fuel2!K7)</f>
        <v>Selecteer voorbeeld</v>
      </c>
    </row>
    <row r="14" spans="3:25" x14ac:dyDescent="0.25">
      <c r="C14" t="s">
        <v>299</v>
      </c>
      <c r="F14" t="str">
        <f>IF(F18="","",F18)</f>
        <v>Hoogovengas</v>
      </c>
      <c r="G14" t="str">
        <f t="shared" ref="G14:Y14" si="1">IF(G18="","",G18)</f>
        <v>Oxygas</v>
      </c>
      <c r="H14" t="str">
        <f t="shared" si="1"/>
        <v>Cokesovengas</v>
      </c>
      <c r="I14" t="str">
        <f t="shared" si="1"/>
        <v>Kolen</v>
      </c>
      <c r="J14" t="str">
        <f t="shared" si="1"/>
        <v>Raffinaderijgas</v>
      </c>
      <c r="K14" t="str">
        <f t="shared" si="1"/>
        <v>Raffinaderijgas (hoog H2)</v>
      </c>
      <c r="L14" t="str">
        <f t="shared" si="1"/>
        <v>Zware stookolie</v>
      </c>
      <c r="M14" t="str">
        <f t="shared" si="1"/>
        <v/>
      </c>
      <c r="N14" t="str">
        <f t="shared" si="1"/>
        <v/>
      </c>
      <c r="O14" t="str">
        <f t="shared" si="1"/>
        <v/>
      </c>
      <c r="P14" t="str">
        <f t="shared" si="1"/>
        <v/>
      </c>
      <c r="Q14" t="str">
        <f t="shared" si="1"/>
        <v/>
      </c>
      <c r="R14" t="str">
        <f t="shared" si="1"/>
        <v/>
      </c>
      <c r="S14" t="str">
        <f t="shared" si="1"/>
        <v/>
      </c>
      <c r="T14" t="str">
        <f t="shared" si="1"/>
        <v/>
      </c>
      <c r="U14" t="str">
        <f t="shared" si="1"/>
        <v/>
      </c>
      <c r="V14" t="str">
        <f t="shared" si="1"/>
        <v/>
      </c>
      <c r="W14" t="str">
        <f t="shared" si="1"/>
        <v/>
      </c>
      <c r="Y14" t="str">
        <f t="shared" si="1"/>
        <v/>
      </c>
    </row>
    <row r="15" spans="3:25" x14ac:dyDescent="0.25">
      <c r="C15" t="s">
        <v>311</v>
      </c>
      <c r="F15">
        <f>COLUMN(F14)-COLUMN($F$14)+1</f>
        <v>1</v>
      </c>
      <c r="G15">
        <f t="shared" ref="G15:W15" si="2">COLUMN(G14)-COLUMN($F$14)+1</f>
        <v>2</v>
      </c>
      <c r="H15">
        <f t="shared" si="2"/>
        <v>3</v>
      </c>
      <c r="I15">
        <f t="shared" si="2"/>
        <v>4</v>
      </c>
      <c r="J15">
        <f t="shared" si="2"/>
        <v>5</v>
      </c>
      <c r="K15">
        <f t="shared" si="2"/>
        <v>6</v>
      </c>
      <c r="L15">
        <f t="shared" si="2"/>
        <v>7</v>
      </c>
      <c r="M15">
        <f t="shared" si="2"/>
        <v>8</v>
      </c>
      <c r="N15">
        <f t="shared" si="2"/>
        <v>9</v>
      </c>
      <c r="O15">
        <f t="shared" si="2"/>
        <v>10</v>
      </c>
      <c r="P15">
        <f t="shared" si="2"/>
        <v>11</v>
      </c>
      <c r="Q15">
        <f t="shared" si="2"/>
        <v>12</v>
      </c>
      <c r="R15">
        <f t="shared" si="2"/>
        <v>13</v>
      </c>
      <c r="S15">
        <f t="shared" si="2"/>
        <v>14</v>
      </c>
      <c r="T15">
        <f t="shared" si="2"/>
        <v>15</v>
      </c>
      <c r="U15">
        <f t="shared" si="2"/>
        <v>16</v>
      </c>
      <c r="V15">
        <f t="shared" si="2"/>
        <v>17</v>
      </c>
      <c r="W15">
        <f t="shared" si="2"/>
        <v>18</v>
      </c>
      <c r="X15">
        <f t="shared" ref="X15" si="3">COLUMN(X14)-COLUMN($F$14)+1</f>
        <v>19</v>
      </c>
      <c r="Y15">
        <f t="shared" ref="Y15" si="4">COLUMN(Y14)-COLUMN($F$14)+1</f>
        <v>20</v>
      </c>
    </row>
    <row r="16" spans="3:25" x14ac:dyDescent="0.25">
      <c r="D16" t="s">
        <v>307</v>
      </c>
      <c r="F16" s="276">
        <f>IF(AND(F19=Fuel1!$AK$7,OR(F19=1,F20=Fuel1!$AM$7)),1,0)</f>
        <v>1</v>
      </c>
      <c r="G16" s="276">
        <f>IF(AND(G19=Fuel1!$AK$7,OR(G19=1,G20=Fuel1!$AM$7)),ABS(F16)+1,-ABS(F16))</f>
        <v>2</v>
      </c>
      <c r="H16" s="276">
        <f>IF(AND(H19=Fuel1!$AK$7,OR(H19=1,H20=Fuel1!$AM$7)),ABS(G16)+1,-ABS(G16))</f>
        <v>3</v>
      </c>
      <c r="I16" s="276">
        <f>IF(AND(I19=Fuel1!$AK$7,OR(I19=1,I20=Fuel1!$AM$7)),ABS(H16)+1,-ABS(H16))</f>
        <v>-3</v>
      </c>
      <c r="J16" s="276">
        <f>IF(AND(J19=Fuel1!$AK$7,OR(J19=1,J20=Fuel1!$AM$7)),ABS(I16)+1,-ABS(I16))</f>
        <v>4</v>
      </c>
      <c r="K16" s="276">
        <f>IF(AND(K19=Fuel1!$AK$7,OR(K19=1,K20=Fuel1!$AM$7)),ABS(J16)+1,-ABS(J16))</f>
        <v>5</v>
      </c>
      <c r="L16" s="276">
        <f>IF(AND(L19=Fuel1!$AK$7,OR(L19=1,L20=Fuel1!$AM$7)),ABS(K16)+1,-ABS(K16))</f>
        <v>-5</v>
      </c>
      <c r="M16" s="276">
        <f>IF(AND(M19=Fuel1!$AK$7,OR(M19=1,M20=Fuel1!$AM$7)),ABS(L16)+1,-ABS(L16))</f>
        <v>-5</v>
      </c>
      <c r="N16" s="276">
        <f>IF(AND(N19=Fuel1!$AK$7,OR(N19=1,N20=Fuel1!$AM$7)),ABS(M16)+1,-ABS(M16))</f>
        <v>-5</v>
      </c>
      <c r="O16" s="276">
        <f>IF(AND(O19=Fuel1!$AK$7,OR(O19=1,O20=Fuel1!$AM$7)),ABS(N16)+1,-ABS(N16))</f>
        <v>-5</v>
      </c>
      <c r="P16" s="276">
        <f>IF(AND(P19=Fuel1!$AK$7,OR(P19=1,P20=Fuel1!$AM$7)),ABS(O16)+1,-ABS(O16))</f>
        <v>-5</v>
      </c>
      <c r="Q16" s="276">
        <f>IF(AND(Q19=Fuel1!$AK$7,OR(Q19=1,Q20=Fuel1!$AM$7)),ABS(P16)+1,-ABS(P16))</f>
        <v>-5</v>
      </c>
      <c r="R16" s="276">
        <f>IF(AND(R19=Fuel1!$AK$7,OR(R19=1,R20=Fuel1!$AM$7)),ABS(Q16)+1,-ABS(Q16))</f>
        <v>-5</v>
      </c>
      <c r="S16" s="276">
        <f>IF(AND(S19=Fuel1!$AK$7,OR(S19=1,S20=Fuel1!$AM$7)),ABS(R16)+1,-ABS(R16))</f>
        <v>-5</v>
      </c>
      <c r="T16" s="276">
        <f>IF(AND(T19=Fuel1!$AK$7,OR(T19=1,T20=Fuel1!$AM$7)),ABS(S16)+1,-ABS(S16))</f>
        <v>-5</v>
      </c>
      <c r="U16" s="276">
        <f>IF(AND(U19=Fuel1!$AK$7,OR(U19=1,U20=Fuel1!$AM$7)),ABS(T16)+1,-ABS(T16))</f>
        <v>-5</v>
      </c>
      <c r="V16" s="276">
        <f>IF(AND(V19=Fuel1!$AK$7,OR(V19=1,V20=Fuel1!$AM$7)),ABS(U16)+1,-ABS(U16))</f>
        <v>-5</v>
      </c>
      <c r="W16" s="276">
        <f>IF(AND(W19=Fuel1!$AK$7,OR(W19=1,W20=Fuel1!$AM$7)),ABS(V16)+1,-ABS(V16))</f>
        <v>-5</v>
      </c>
      <c r="X16" s="276">
        <f>IF(AND(X19=Fuel1!$AK$7,OR(X19=1,X20=Fuel1!$AM$7)),ABS(W16)+1,-ABS(W16))</f>
        <v>-5</v>
      </c>
      <c r="Y16" s="276">
        <f>IF(AND(Y19=Fuel1!$AK$7,OR(Y19=1,Y20=Fuel1!$AM$7)),ABS(X16)+1,-ABS(X16))</f>
        <v>-5</v>
      </c>
    </row>
    <row r="17" spans="1:25" x14ac:dyDescent="0.25">
      <c r="E17" t="s">
        <v>308</v>
      </c>
      <c r="F17" s="276">
        <f>IF(AND(F19=Fuel2!$AK$7,OR(F19=1,F20=Fuel2!$AM$7)),1,0)</f>
        <v>1</v>
      </c>
      <c r="G17" s="276">
        <f>IF(AND(G19=Fuel2!$AK$7,OR(G19=1,G20=Fuel2!$AM$7)),ABS(F17)+1,-ABS(F17))</f>
        <v>2</v>
      </c>
      <c r="H17" s="276">
        <f>IF(AND(H19=Fuel2!$AK$7,OR(H19=1,H20=Fuel2!$AM$7)),ABS(G17)+1,-ABS(G17))</f>
        <v>3</v>
      </c>
      <c r="I17" s="276">
        <f>IF(AND(I19=Fuel2!$AK$7,OR(I19=1,I20=Fuel2!$AM$7)),ABS(H17)+1,-ABS(H17))</f>
        <v>-3</v>
      </c>
      <c r="J17" s="276">
        <f>IF(AND(J19=Fuel2!$AK$7,OR(J19=1,J20=Fuel2!$AM$7)),ABS(I17)+1,-ABS(I17))</f>
        <v>4</v>
      </c>
      <c r="K17" s="276">
        <f>IF(AND(K19=Fuel2!$AK$7,OR(K19=1,K20=Fuel2!$AM$7)),ABS(J17)+1,-ABS(J17))</f>
        <v>5</v>
      </c>
      <c r="L17" s="276">
        <f>IF(AND(L19=Fuel2!$AK$7,OR(L19=1,L20=Fuel2!$AM$7)),ABS(K17)+1,-ABS(K17))</f>
        <v>-5</v>
      </c>
      <c r="M17" s="276">
        <f>IF(AND(M19=Fuel2!$AK$7,OR(M19=1,M20=Fuel2!$AM$7)),ABS(L17)+1,-ABS(L17))</f>
        <v>-5</v>
      </c>
      <c r="N17" s="276">
        <f>IF(AND(N19=Fuel2!$AK$7,OR(N19=1,N20=Fuel2!$AM$7)),ABS(M17)+1,-ABS(M17))</f>
        <v>-5</v>
      </c>
      <c r="O17" s="276">
        <f>IF(AND(O19=Fuel2!$AK$7,OR(O19=1,O20=Fuel2!$AM$7)),ABS(N17)+1,-ABS(N17))</f>
        <v>-5</v>
      </c>
      <c r="P17" s="276">
        <f>IF(AND(P19=Fuel2!$AK$7,OR(P19=1,P20=Fuel2!$AM$7)),ABS(O17)+1,-ABS(O17))</f>
        <v>-5</v>
      </c>
      <c r="Q17" s="276">
        <f>IF(AND(Q19=Fuel2!$AK$7,OR(Q19=1,Q20=Fuel2!$AM$7)),ABS(P17)+1,-ABS(P17))</f>
        <v>-5</v>
      </c>
      <c r="R17" s="276">
        <f>IF(AND(R19=Fuel2!$AK$7,OR(R19=1,R20=Fuel2!$AM$7)),ABS(Q17)+1,-ABS(Q17))</f>
        <v>-5</v>
      </c>
      <c r="S17" s="276">
        <f>IF(AND(S19=Fuel2!$AK$7,OR(S19=1,S20=Fuel2!$AM$7)),ABS(R17)+1,-ABS(R17))</f>
        <v>-5</v>
      </c>
      <c r="T17" s="276">
        <f>IF(AND(T19=Fuel2!$AK$7,OR(T19=1,T20=Fuel2!$AM$7)),ABS(S17)+1,-ABS(S17))</f>
        <v>-5</v>
      </c>
      <c r="U17" s="276">
        <f>IF(AND(U19=Fuel2!$AK$7,OR(U19=1,U20=Fuel2!$AM$7)),ABS(T17)+1,-ABS(T17))</f>
        <v>-5</v>
      </c>
      <c r="V17" s="276">
        <f>IF(AND(V19=Fuel2!$AK$7,OR(V19=1,V20=Fuel2!$AM$7)),ABS(U17)+1,-ABS(U17))</f>
        <v>-5</v>
      </c>
      <c r="W17" s="276">
        <f>IF(AND(W19=Fuel2!$AK$7,OR(W19=1,W20=Fuel2!$AM$7)),ABS(V17)+1,-ABS(V17))</f>
        <v>-5</v>
      </c>
      <c r="X17" s="276">
        <f>IF(AND(X19=Fuel2!$AK$7,OR(X19=1,X20=Fuel2!$AM$7)),ABS(W17)+1,-ABS(W17))</f>
        <v>-5</v>
      </c>
      <c r="Y17" s="276">
        <f>IF(AND(Y19=Fuel2!$AK$7,OR(Y19=1,Y20=Fuel2!$AM$7)),ABS(X17)+1,-ABS(X17))</f>
        <v>-5</v>
      </c>
    </row>
    <row r="18" spans="1:25" x14ac:dyDescent="0.25">
      <c r="C18" t="s">
        <v>310</v>
      </c>
      <c r="D18" t="str">
        <f>IF(OR(F13="",F13=F2,F2=""),"",IF(HLOOKUP(F13,$F$14:$Y$16,3,FALSE)&lt;=0,"",HLOOKUP(F13,$F$14:$Y$15,2,FALSE)))</f>
        <v/>
      </c>
      <c r="E18" t="str">
        <f>IF(OR(G13="",G13=G2,G2=""),"",HLOOKUP(G13,$F$14:$Y$15,2,FALSE))</f>
        <v/>
      </c>
      <c r="F18" s="275" t="str">
        <f>IF('Combustion Emissions'!$J$54=1,"Hoogovengas","Blast furnace gas")</f>
        <v>Hoogovengas</v>
      </c>
      <c r="G18" s="275" t="str">
        <f>IF('Combustion Emissions'!$J$54=1,"Oxygas","Oxygas")</f>
        <v>Oxygas</v>
      </c>
      <c r="H18" s="275" t="str">
        <f>IF('Combustion Emissions'!$J$54=1,"Cokesovengas","Cokesgas")</f>
        <v>Cokesovengas</v>
      </c>
      <c r="I18" s="275" t="str">
        <f>IF('Combustion Emissions'!$J$54=1,"Kolen","Coal")</f>
        <v>Kolen</v>
      </c>
      <c r="J18" s="275" t="str">
        <f>IF('Combustion Emissions'!$J$54=1,"Raffinaderijgas","Refinery gas")</f>
        <v>Raffinaderijgas</v>
      </c>
      <c r="K18" s="275" t="str">
        <f>IF('Combustion Emissions'!$J$54=1,"Raffinaderijgas (hoog H2)","Refinery gas (high H2)")</f>
        <v>Raffinaderijgas (hoog H2)</v>
      </c>
      <c r="L18" s="275" t="str">
        <f>IF('Combustion Emissions'!$J$54=1,"Zware stookolie","HFO")</f>
        <v>Zware stookolie</v>
      </c>
      <c r="M18" s="275"/>
      <c r="N18" s="275"/>
      <c r="O18" s="275"/>
      <c r="P18" s="275"/>
      <c r="Q18" s="275"/>
      <c r="R18" s="275"/>
      <c r="S18" s="275"/>
      <c r="T18" s="275"/>
      <c r="U18" s="275"/>
      <c r="V18" s="275"/>
      <c r="W18" s="275"/>
      <c r="X18" s="275"/>
      <c r="Y18" s="275"/>
    </row>
    <row r="19" spans="1:25" x14ac:dyDescent="0.25">
      <c r="A19" t="s">
        <v>306</v>
      </c>
      <c r="B19">
        <v>1</v>
      </c>
      <c r="F19" s="275">
        <v>1</v>
      </c>
      <c r="G19" s="275">
        <v>1</v>
      </c>
      <c r="H19" s="275">
        <v>1</v>
      </c>
      <c r="I19" s="275">
        <v>3</v>
      </c>
      <c r="J19" s="275">
        <v>1</v>
      </c>
      <c r="K19" s="275">
        <v>1</v>
      </c>
      <c r="L19" s="275">
        <v>2</v>
      </c>
      <c r="M19" s="275"/>
      <c r="N19" s="275"/>
      <c r="O19" s="275"/>
      <c r="P19" s="275"/>
      <c r="Q19" s="275"/>
      <c r="R19" s="275"/>
      <c r="S19" s="275"/>
      <c r="T19" s="275"/>
      <c r="U19" s="275"/>
      <c r="V19" s="275"/>
      <c r="W19" s="275"/>
      <c r="X19" s="275"/>
      <c r="Y19" s="275"/>
    </row>
    <row r="20" spans="1:25" x14ac:dyDescent="0.25">
      <c r="A20" t="s">
        <v>156</v>
      </c>
      <c r="B20">
        <v>1</v>
      </c>
      <c r="F20" s="275">
        <v>1</v>
      </c>
      <c r="G20" s="275">
        <v>1</v>
      </c>
      <c r="H20" s="275">
        <v>1</v>
      </c>
      <c r="I20" s="275">
        <v>2</v>
      </c>
      <c r="J20" s="275">
        <v>1</v>
      </c>
      <c r="K20" s="275">
        <v>1</v>
      </c>
      <c r="L20" s="275">
        <v>2</v>
      </c>
      <c r="M20" s="275"/>
      <c r="N20" s="275"/>
      <c r="O20" s="275"/>
      <c r="P20" s="275"/>
      <c r="Q20" s="275"/>
      <c r="R20" s="275"/>
      <c r="S20" s="275"/>
      <c r="T20" s="275"/>
      <c r="U20" s="275"/>
      <c r="V20" s="275"/>
      <c r="W20" s="275"/>
      <c r="X20" s="275"/>
      <c r="Y20" s="275"/>
    </row>
    <row r="21" spans="1:25" x14ac:dyDescent="0.25">
      <c r="C21" t="s">
        <v>174</v>
      </c>
      <c r="D21" t="str">
        <f>IF(D$18="","",IF(INDEX($F21:$Y21,D$18)="","",INDEX($F21:$Y21,D$18)))</f>
        <v/>
      </c>
      <c r="E21" t="str">
        <f>IF(E$18="","",IF(INDEX($F21:$Y21,E$18)="","",INDEX($F21:$Y21,E$18)))</f>
        <v/>
      </c>
      <c r="F21" s="275"/>
      <c r="G21" s="275"/>
      <c r="H21" s="275"/>
      <c r="I21" s="275">
        <v>25870</v>
      </c>
      <c r="J21" s="275"/>
      <c r="K21" s="275"/>
      <c r="L21" s="275">
        <v>40230</v>
      </c>
      <c r="M21" s="275"/>
      <c r="N21" s="275"/>
      <c r="O21" s="275"/>
      <c r="P21" s="275"/>
      <c r="Q21" s="275"/>
      <c r="R21" s="275"/>
      <c r="S21" s="275"/>
      <c r="T21" s="275"/>
      <c r="U21" s="275"/>
      <c r="V21" s="275"/>
      <c r="W21" s="275"/>
      <c r="X21" s="275"/>
      <c r="Y21" s="275"/>
    </row>
    <row r="22" spans="1:25" x14ac:dyDescent="0.25">
      <c r="B22" t="s">
        <v>74</v>
      </c>
      <c r="C22" s="277" t="s">
        <v>83</v>
      </c>
      <c r="D22" t="str">
        <f t="shared" ref="D22:E57" si="5">IF(D$18="","",IF(INDEX($F22:$Y22,D$18)="","",INDEX($F22:$Y22,D$18)))</f>
        <v/>
      </c>
      <c r="E22" t="str">
        <f t="shared" si="5"/>
        <v/>
      </c>
      <c r="F22" s="275"/>
      <c r="G22" s="275"/>
      <c r="H22" s="275"/>
      <c r="I22" s="275">
        <v>73.8</v>
      </c>
      <c r="J22" s="275"/>
      <c r="K22" s="275"/>
      <c r="L22" s="275">
        <v>85.58</v>
      </c>
      <c r="M22" s="275"/>
      <c r="N22" s="275"/>
      <c r="O22" s="275"/>
      <c r="P22" s="275"/>
      <c r="Q22" s="275"/>
      <c r="R22" s="275"/>
      <c r="S22" s="275"/>
      <c r="T22" s="275"/>
      <c r="U22" s="275"/>
      <c r="V22" s="275"/>
      <c r="W22" s="275"/>
      <c r="X22" s="275"/>
      <c r="Y22" s="275"/>
    </row>
    <row r="23" spans="1:25" x14ac:dyDescent="0.25">
      <c r="B23" t="s">
        <v>77</v>
      </c>
      <c r="C23" s="277" t="s">
        <v>86</v>
      </c>
      <c r="D23" t="str">
        <f t="shared" si="5"/>
        <v/>
      </c>
      <c r="E23" t="str">
        <f t="shared" si="5"/>
        <v/>
      </c>
      <c r="F23" s="275">
        <v>0.5</v>
      </c>
      <c r="G23" s="275">
        <v>0.6</v>
      </c>
      <c r="H23" s="275">
        <v>0.2</v>
      </c>
      <c r="I23" s="275">
        <v>4.7</v>
      </c>
      <c r="J23" s="275"/>
      <c r="K23" s="275"/>
      <c r="L23" s="275">
        <v>10.46</v>
      </c>
      <c r="M23" s="275"/>
      <c r="N23" s="275"/>
      <c r="O23" s="275"/>
      <c r="P23" s="275"/>
      <c r="Q23" s="275"/>
      <c r="R23" s="275"/>
      <c r="S23" s="275"/>
      <c r="T23" s="275"/>
      <c r="U23" s="275"/>
      <c r="V23" s="275"/>
      <c r="W23" s="275"/>
      <c r="X23" s="275"/>
      <c r="Y23" s="275"/>
    </row>
    <row r="24" spans="1:25" x14ac:dyDescent="0.25">
      <c r="B24" t="s">
        <v>147</v>
      </c>
      <c r="C24" s="277" t="s">
        <v>89</v>
      </c>
      <c r="D24" t="str">
        <f t="shared" si="5"/>
        <v/>
      </c>
      <c r="E24" t="str">
        <f t="shared" si="5"/>
        <v/>
      </c>
      <c r="F24" s="275">
        <v>1.225E-5</v>
      </c>
      <c r="G24" s="275">
        <v>1.9250000000000002E-6</v>
      </c>
      <c r="H24" s="275">
        <v>3.5E-4</v>
      </c>
      <c r="I24" s="275">
        <v>1.5</v>
      </c>
      <c r="J24" s="275"/>
      <c r="K24" s="275"/>
      <c r="L24" s="275">
        <v>4.0000000000000001E-3</v>
      </c>
      <c r="M24" s="275"/>
      <c r="N24" s="275"/>
      <c r="O24" s="275"/>
      <c r="P24" s="275"/>
      <c r="Q24" s="275"/>
      <c r="R24" s="275"/>
      <c r="S24" s="275"/>
      <c r="T24" s="275"/>
      <c r="U24" s="275"/>
      <c r="V24" s="275"/>
      <c r="W24" s="275"/>
      <c r="X24" s="275"/>
      <c r="Y24" s="275"/>
    </row>
    <row r="25" spans="1:25" x14ac:dyDescent="0.25">
      <c r="B25" t="s">
        <v>80</v>
      </c>
      <c r="C25" s="277" t="s">
        <v>92</v>
      </c>
      <c r="D25" t="str">
        <f t="shared" si="5"/>
        <v/>
      </c>
      <c r="E25" t="str">
        <f t="shared" si="5"/>
        <v/>
      </c>
      <c r="F25" s="275">
        <v>6.5</v>
      </c>
      <c r="G25" s="275">
        <v>2.5</v>
      </c>
      <c r="H25" s="275">
        <v>60.9</v>
      </c>
      <c r="I25" s="275">
        <v>1</v>
      </c>
      <c r="J25" s="275">
        <v>25</v>
      </c>
      <c r="K25" s="275">
        <v>65</v>
      </c>
      <c r="L25" s="275">
        <v>3.33</v>
      </c>
      <c r="M25" s="275"/>
      <c r="N25" s="275"/>
      <c r="O25" s="275"/>
      <c r="P25" s="275"/>
      <c r="Q25" s="275"/>
      <c r="R25" s="275"/>
      <c r="S25" s="275"/>
      <c r="T25" s="275"/>
      <c r="U25" s="275"/>
      <c r="V25" s="275"/>
      <c r="W25" s="275"/>
      <c r="X25" s="275"/>
      <c r="Y25" s="275"/>
    </row>
    <row r="26" spans="1:25" x14ac:dyDescent="0.25">
      <c r="B26" t="s">
        <v>62</v>
      </c>
      <c r="C26" s="277" t="s">
        <v>95</v>
      </c>
      <c r="D26" t="str">
        <f t="shared" si="5"/>
        <v/>
      </c>
      <c r="E26" t="str">
        <f t="shared" si="5"/>
        <v/>
      </c>
      <c r="F26" s="275"/>
      <c r="G26" s="275"/>
      <c r="H26" s="275"/>
      <c r="I26" s="275">
        <v>6.9</v>
      </c>
      <c r="J26" s="275"/>
      <c r="K26" s="275"/>
      <c r="L26" s="275"/>
      <c r="M26" s="275"/>
      <c r="N26" s="275"/>
      <c r="O26" s="275"/>
      <c r="P26" s="275"/>
      <c r="Q26" s="275"/>
      <c r="R26" s="275"/>
      <c r="S26" s="275"/>
      <c r="T26" s="275"/>
      <c r="U26" s="275"/>
      <c r="V26" s="275"/>
      <c r="W26" s="275"/>
      <c r="X26" s="275"/>
      <c r="Y26" s="275"/>
    </row>
    <row r="27" spans="1:25" x14ac:dyDescent="0.25">
      <c r="B27" t="s">
        <v>84</v>
      </c>
      <c r="C27" s="277" t="s">
        <v>96</v>
      </c>
      <c r="D27" t="str">
        <f t="shared" si="5"/>
        <v/>
      </c>
      <c r="E27" t="str">
        <f t="shared" si="5"/>
        <v/>
      </c>
      <c r="F27" s="275">
        <v>38</v>
      </c>
      <c r="G27" s="275">
        <v>17.399999999999999</v>
      </c>
      <c r="H27" s="275">
        <v>3</v>
      </c>
      <c r="I27" s="275">
        <v>8.1999999999999993</v>
      </c>
      <c r="J27" s="275">
        <v>3</v>
      </c>
      <c r="K27" s="275">
        <v>1</v>
      </c>
      <c r="L27" s="275"/>
      <c r="M27" s="275"/>
      <c r="N27" s="275"/>
      <c r="O27" s="275"/>
      <c r="P27" s="275"/>
      <c r="Q27" s="275"/>
      <c r="R27" s="275"/>
      <c r="S27" s="275"/>
      <c r="T27" s="275"/>
      <c r="U27" s="275"/>
      <c r="V27" s="275"/>
      <c r="W27" s="275"/>
      <c r="X27" s="275"/>
      <c r="Y27" s="275"/>
    </row>
    <row r="28" spans="1:25" x14ac:dyDescent="0.25">
      <c r="B28" t="s">
        <v>87</v>
      </c>
      <c r="D28" t="str">
        <f t="shared" si="5"/>
        <v/>
      </c>
      <c r="E28" t="str">
        <f t="shared" si="5"/>
        <v/>
      </c>
      <c r="F28" s="275"/>
      <c r="G28" s="275"/>
      <c r="H28" s="275"/>
      <c r="I28" s="275"/>
      <c r="J28" s="275"/>
      <c r="K28" s="275"/>
      <c r="L28" s="275"/>
      <c r="M28" s="275"/>
      <c r="N28" s="275"/>
      <c r="O28" s="275"/>
      <c r="P28" s="275"/>
      <c r="Q28" s="275"/>
      <c r="R28" s="275"/>
      <c r="S28" s="275"/>
      <c r="T28" s="275"/>
      <c r="U28" s="275"/>
      <c r="V28" s="275"/>
      <c r="W28" s="275"/>
      <c r="X28" s="275"/>
      <c r="Y28" s="275"/>
    </row>
    <row r="29" spans="1:25" x14ac:dyDescent="0.25">
      <c r="B29" t="s">
        <v>90</v>
      </c>
      <c r="D29" t="str">
        <f t="shared" si="5"/>
        <v/>
      </c>
      <c r="E29" t="str">
        <f t="shared" si="5"/>
        <v/>
      </c>
      <c r="F29" s="275"/>
      <c r="G29" s="275"/>
      <c r="H29" s="275">
        <v>26</v>
      </c>
      <c r="I29" s="275"/>
      <c r="J29" s="275">
        <v>35</v>
      </c>
      <c r="K29" s="275">
        <v>20</v>
      </c>
      <c r="L29" s="275"/>
      <c r="M29" s="275"/>
      <c r="N29" s="275"/>
      <c r="O29" s="275"/>
      <c r="P29" s="275"/>
      <c r="Q29" s="275"/>
      <c r="R29" s="275"/>
      <c r="S29" s="275"/>
      <c r="T29" s="275"/>
      <c r="U29" s="275"/>
      <c r="V29" s="275"/>
      <c r="W29" s="275"/>
      <c r="X29" s="275"/>
      <c r="Y29" s="275"/>
    </row>
    <row r="30" spans="1:25" x14ac:dyDescent="0.25">
      <c r="B30" t="s">
        <v>93</v>
      </c>
      <c r="D30" t="str">
        <f t="shared" si="5"/>
        <v/>
      </c>
      <c r="E30" t="str">
        <f t="shared" si="5"/>
        <v/>
      </c>
      <c r="F30" s="275">
        <v>30.5</v>
      </c>
      <c r="G30" s="275">
        <v>62</v>
      </c>
      <c r="H30" s="275">
        <v>5</v>
      </c>
      <c r="I30" s="275"/>
      <c r="J30" s="275">
        <v>0.5</v>
      </c>
      <c r="K30" s="275"/>
      <c r="L30" s="275"/>
      <c r="M30" s="275"/>
      <c r="N30" s="275"/>
      <c r="O30" s="275"/>
      <c r="P30" s="275"/>
      <c r="Q30" s="275"/>
      <c r="R30" s="275"/>
      <c r="S30" s="275"/>
      <c r="T30" s="275"/>
      <c r="U30" s="275"/>
      <c r="V30" s="275"/>
      <c r="W30" s="275"/>
      <c r="X30" s="275"/>
      <c r="Y30" s="275"/>
    </row>
    <row r="31" spans="1:25" x14ac:dyDescent="0.25">
      <c r="B31" t="s">
        <v>59</v>
      </c>
      <c r="D31" t="str">
        <f t="shared" si="5"/>
        <v/>
      </c>
      <c r="E31" t="str">
        <f t="shared" si="5"/>
        <v/>
      </c>
      <c r="F31" s="275">
        <v>24.5</v>
      </c>
      <c r="G31" s="275">
        <v>17.5</v>
      </c>
      <c r="H31" s="275">
        <v>0.8</v>
      </c>
      <c r="I31" s="275"/>
      <c r="J31" s="275"/>
      <c r="K31" s="275"/>
      <c r="L31" s="275"/>
      <c r="M31" s="275"/>
      <c r="N31" s="275"/>
      <c r="O31" s="275"/>
      <c r="P31" s="275"/>
      <c r="Q31" s="275"/>
      <c r="R31" s="275"/>
      <c r="S31" s="275"/>
      <c r="T31" s="275"/>
      <c r="U31" s="275"/>
      <c r="V31" s="275"/>
      <c r="W31" s="275"/>
      <c r="X31" s="275"/>
      <c r="Y31" s="275"/>
    </row>
    <row r="32" spans="1:25" x14ac:dyDescent="0.25">
      <c r="B32" t="s">
        <v>97</v>
      </c>
      <c r="D32" t="str">
        <f t="shared" si="5"/>
        <v/>
      </c>
      <c r="E32" t="str">
        <f t="shared" si="5"/>
        <v/>
      </c>
      <c r="F32" s="275"/>
      <c r="G32" s="275"/>
      <c r="H32" s="275">
        <v>3.4</v>
      </c>
      <c r="I32" s="275"/>
      <c r="J32" s="275">
        <v>30</v>
      </c>
      <c r="K32" s="275">
        <v>10</v>
      </c>
      <c r="L32" s="275"/>
      <c r="M32" s="275"/>
      <c r="N32" s="275"/>
      <c r="O32" s="275"/>
      <c r="P32" s="275"/>
      <c r="Q32" s="275"/>
      <c r="R32" s="275"/>
      <c r="S32" s="275"/>
      <c r="T32" s="275"/>
      <c r="U32" s="275"/>
      <c r="V32" s="275"/>
      <c r="W32" s="275"/>
      <c r="X32" s="275"/>
      <c r="Y32" s="275"/>
    </row>
    <row r="33" spans="2:25" x14ac:dyDescent="0.25">
      <c r="B33" t="s">
        <v>148</v>
      </c>
      <c r="D33" t="str">
        <f t="shared" si="5"/>
        <v/>
      </c>
      <c r="E33" t="str">
        <f t="shared" si="5"/>
        <v/>
      </c>
      <c r="F33" s="275"/>
      <c r="G33" s="275"/>
      <c r="H33" s="275"/>
      <c r="I33" s="275"/>
      <c r="J33" s="275"/>
      <c r="K33" s="275"/>
      <c r="L33" s="275"/>
      <c r="M33" s="275"/>
      <c r="N33" s="275"/>
      <c r="O33" s="275"/>
      <c r="P33" s="275"/>
      <c r="Q33" s="275"/>
      <c r="R33" s="275"/>
      <c r="S33" s="275"/>
      <c r="T33" s="275"/>
      <c r="U33" s="275"/>
      <c r="V33" s="275"/>
      <c r="W33" s="275"/>
      <c r="X33" s="275"/>
      <c r="Y33" s="275"/>
    </row>
    <row r="34" spans="2:25" x14ac:dyDescent="0.25">
      <c r="B34" t="s">
        <v>149</v>
      </c>
      <c r="D34" t="str">
        <f t="shared" si="5"/>
        <v/>
      </c>
      <c r="E34" t="str">
        <f t="shared" si="5"/>
        <v/>
      </c>
      <c r="F34" s="275"/>
      <c r="G34" s="275"/>
      <c r="H34" s="275"/>
      <c r="I34" s="275"/>
      <c r="J34" s="275"/>
      <c r="K34" s="275"/>
      <c r="L34" s="275"/>
      <c r="M34" s="275"/>
      <c r="N34" s="275"/>
      <c r="O34" s="275"/>
      <c r="P34" s="275"/>
      <c r="Q34" s="275"/>
      <c r="R34" s="275"/>
      <c r="S34" s="275"/>
      <c r="T34" s="275"/>
      <c r="U34" s="275"/>
      <c r="V34" s="275"/>
      <c r="W34" s="275"/>
      <c r="X34" s="275"/>
      <c r="Y34" s="275"/>
    </row>
    <row r="35" spans="2:25" x14ac:dyDescent="0.25">
      <c r="B35" t="s">
        <v>98</v>
      </c>
      <c r="D35" t="str">
        <f t="shared" si="5"/>
        <v/>
      </c>
      <c r="E35" t="str">
        <f t="shared" si="5"/>
        <v/>
      </c>
      <c r="F35" s="275"/>
      <c r="G35" s="275"/>
      <c r="H35" s="275"/>
      <c r="I35" s="275"/>
      <c r="J35" s="275">
        <v>5</v>
      </c>
      <c r="K35" s="275">
        <v>3</v>
      </c>
      <c r="L35" s="275"/>
      <c r="M35" s="275"/>
      <c r="N35" s="275"/>
      <c r="O35" s="275"/>
      <c r="P35" s="275"/>
      <c r="Q35" s="275"/>
      <c r="R35" s="275"/>
      <c r="S35" s="275"/>
      <c r="T35" s="275"/>
      <c r="U35" s="275"/>
      <c r="V35" s="275"/>
      <c r="W35" s="275"/>
      <c r="X35" s="275"/>
      <c r="Y35" s="275"/>
    </row>
    <row r="36" spans="2:25" x14ac:dyDescent="0.25">
      <c r="B36" t="s">
        <v>150</v>
      </c>
      <c r="D36" t="str">
        <f t="shared" si="5"/>
        <v/>
      </c>
      <c r="E36" t="str">
        <f t="shared" si="5"/>
        <v/>
      </c>
      <c r="F36" s="275"/>
      <c r="G36" s="275"/>
      <c r="H36" s="275"/>
      <c r="I36" s="275"/>
      <c r="J36" s="275"/>
      <c r="K36" s="275"/>
      <c r="L36" s="275"/>
      <c r="M36" s="275"/>
      <c r="N36" s="275"/>
      <c r="O36" s="275"/>
      <c r="P36" s="275"/>
      <c r="Q36" s="275"/>
      <c r="R36" s="275"/>
      <c r="S36" s="275"/>
      <c r="T36" s="275"/>
      <c r="U36" s="275"/>
      <c r="V36" s="275"/>
      <c r="W36" s="275"/>
      <c r="X36" s="275"/>
      <c r="Y36" s="275"/>
    </row>
    <row r="37" spans="2:25" x14ac:dyDescent="0.25">
      <c r="B37" t="s">
        <v>99</v>
      </c>
      <c r="D37" t="str">
        <f t="shared" si="5"/>
        <v/>
      </c>
      <c r="E37" t="str">
        <f t="shared" si="5"/>
        <v/>
      </c>
      <c r="F37" s="275"/>
      <c r="G37" s="275"/>
      <c r="H37" s="275"/>
      <c r="I37" s="275"/>
      <c r="J37" s="275"/>
      <c r="K37" s="275"/>
      <c r="L37" s="275"/>
      <c r="M37" s="275"/>
      <c r="N37" s="275"/>
      <c r="O37" s="275"/>
      <c r="P37" s="275"/>
      <c r="Q37" s="275"/>
      <c r="R37" s="275"/>
      <c r="S37" s="275"/>
      <c r="T37" s="275"/>
      <c r="U37" s="275"/>
      <c r="V37" s="275"/>
      <c r="W37" s="275"/>
      <c r="X37" s="275"/>
      <c r="Y37" s="275"/>
    </row>
    <row r="38" spans="2:25" x14ac:dyDescent="0.25">
      <c r="B38" t="s">
        <v>164</v>
      </c>
      <c r="D38" t="str">
        <f t="shared" si="5"/>
        <v/>
      </c>
      <c r="E38" t="str">
        <f t="shared" si="5"/>
        <v/>
      </c>
      <c r="F38" s="275"/>
      <c r="G38" s="275"/>
      <c r="H38" s="275">
        <v>0.3</v>
      </c>
      <c r="I38" s="275"/>
      <c r="J38" s="275">
        <v>1</v>
      </c>
      <c r="K38" s="275"/>
      <c r="L38" s="275"/>
      <c r="M38" s="275"/>
      <c r="N38" s="275"/>
      <c r="O38" s="275"/>
      <c r="P38" s="275"/>
      <c r="Q38" s="275"/>
      <c r="R38" s="275"/>
      <c r="S38" s="275"/>
      <c r="T38" s="275"/>
      <c r="U38" s="275"/>
      <c r="V38" s="275"/>
      <c r="W38" s="275"/>
      <c r="X38" s="275"/>
      <c r="Y38" s="275"/>
    </row>
    <row r="39" spans="2:25" x14ac:dyDescent="0.25">
      <c r="B39" t="s">
        <v>151</v>
      </c>
      <c r="D39" t="str">
        <f t="shared" si="5"/>
        <v/>
      </c>
      <c r="E39" t="str">
        <f t="shared" si="5"/>
        <v/>
      </c>
      <c r="F39" s="275"/>
      <c r="G39" s="275"/>
      <c r="H39" s="275"/>
      <c r="I39" s="275"/>
      <c r="J39" s="275"/>
      <c r="K39" s="275"/>
      <c r="L39" s="275"/>
      <c r="M39" s="275"/>
      <c r="N39" s="275"/>
      <c r="O39" s="275"/>
      <c r="P39" s="275"/>
      <c r="Q39" s="275"/>
      <c r="R39" s="275"/>
      <c r="S39" s="275"/>
      <c r="T39" s="275"/>
      <c r="U39" s="275"/>
      <c r="V39" s="275"/>
      <c r="W39" s="275"/>
      <c r="X39" s="275"/>
      <c r="Y39" s="275"/>
    </row>
    <row r="40" spans="2:25" x14ac:dyDescent="0.25">
      <c r="B40" t="s">
        <v>100</v>
      </c>
      <c r="D40" t="str">
        <f t="shared" si="5"/>
        <v/>
      </c>
      <c r="E40" t="str">
        <f t="shared" si="5"/>
        <v/>
      </c>
      <c r="F40" s="275"/>
      <c r="G40" s="275"/>
      <c r="H40" s="275"/>
      <c r="I40" s="275"/>
      <c r="J40" s="275"/>
      <c r="K40" s="275"/>
      <c r="L40" s="275"/>
      <c r="M40" s="275"/>
      <c r="N40" s="275"/>
      <c r="O40" s="275"/>
      <c r="P40" s="275"/>
      <c r="Q40" s="275"/>
      <c r="R40" s="275"/>
      <c r="S40" s="275"/>
      <c r="T40" s="275"/>
      <c r="U40" s="275"/>
      <c r="V40" s="275"/>
      <c r="W40" s="275"/>
      <c r="X40" s="275"/>
      <c r="Y40" s="275"/>
    </row>
    <row r="41" spans="2:25" x14ac:dyDescent="0.25">
      <c r="B41" t="s">
        <v>101</v>
      </c>
      <c r="D41" t="str">
        <f t="shared" si="5"/>
        <v/>
      </c>
      <c r="E41" t="str">
        <f t="shared" si="5"/>
        <v/>
      </c>
      <c r="F41" s="275"/>
      <c r="G41" s="275"/>
      <c r="H41" s="275"/>
      <c r="I41" s="275"/>
      <c r="J41" s="275"/>
      <c r="K41" s="275"/>
      <c r="L41" s="275"/>
      <c r="M41" s="275"/>
      <c r="N41" s="275"/>
      <c r="O41" s="275"/>
      <c r="P41" s="275"/>
      <c r="Q41" s="275"/>
      <c r="R41" s="275"/>
      <c r="S41" s="275"/>
      <c r="T41" s="275"/>
      <c r="U41" s="275"/>
      <c r="V41" s="275"/>
      <c r="W41" s="275"/>
      <c r="X41" s="275"/>
      <c r="Y41" s="275"/>
    </row>
    <row r="42" spans="2:25" x14ac:dyDescent="0.25">
      <c r="B42" t="s">
        <v>165</v>
      </c>
      <c r="D42" t="str">
        <f t="shared" si="5"/>
        <v/>
      </c>
      <c r="E42" t="str">
        <f t="shared" si="5"/>
        <v/>
      </c>
      <c r="F42" s="275"/>
      <c r="G42" s="275"/>
      <c r="H42" s="275"/>
      <c r="I42" s="275"/>
      <c r="J42" s="275">
        <v>0.5</v>
      </c>
      <c r="K42" s="275">
        <v>1</v>
      </c>
      <c r="L42" s="275"/>
      <c r="M42" s="275"/>
      <c r="N42" s="275"/>
      <c r="O42" s="275"/>
      <c r="P42" s="275"/>
      <c r="Q42" s="275"/>
      <c r="R42" s="275"/>
      <c r="S42" s="275"/>
      <c r="T42" s="275"/>
      <c r="U42" s="275"/>
      <c r="V42" s="275"/>
      <c r="W42" s="275"/>
      <c r="X42" s="275"/>
      <c r="Y42" s="275"/>
    </row>
    <row r="43" spans="2:25" x14ac:dyDescent="0.25">
      <c r="B43" t="s">
        <v>158</v>
      </c>
      <c r="D43" t="str">
        <f t="shared" si="5"/>
        <v/>
      </c>
      <c r="E43" t="str">
        <f t="shared" si="5"/>
        <v/>
      </c>
      <c r="F43" s="275"/>
      <c r="G43" s="275"/>
      <c r="H43" s="275"/>
      <c r="I43" s="275"/>
      <c r="J43" s="275"/>
      <c r="K43" s="275"/>
      <c r="L43" s="275"/>
      <c r="M43" s="275"/>
      <c r="N43" s="275"/>
      <c r="O43" s="275"/>
      <c r="P43" s="275"/>
      <c r="Q43" s="275"/>
      <c r="R43" s="275"/>
      <c r="S43" s="275"/>
      <c r="T43" s="275"/>
      <c r="U43" s="275"/>
      <c r="V43" s="275"/>
      <c r="W43" s="275"/>
      <c r="X43" s="275"/>
      <c r="Y43" s="275"/>
    </row>
    <row r="44" spans="2:25" x14ac:dyDescent="0.25">
      <c r="B44" t="s">
        <v>102</v>
      </c>
      <c r="D44" t="str">
        <f t="shared" si="5"/>
        <v/>
      </c>
      <c r="E44" t="str">
        <f t="shared" si="5"/>
        <v/>
      </c>
      <c r="F44" s="275"/>
      <c r="G44" s="275"/>
      <c r="H44" s="275"/>
      <c r="I44" s="275"/>
      <c r="J44" s="275"/>
      <c r="K44" s="275"/>
      <c r="L44" s="275"/>
      <c r="M44" s="275"/>
      <c r="N44" s="275"/>
      <c r="O44" s="275"/>
      <c r="P44" s="275"/>
      <c r="Q44" s="275"/>
      <c r="R44" s="275"/>
      <c r="S44" s="275"/>
      <c r="T44" s="275"/>
      <c r="U44" s="275"/>
      <c r="V44" s="275"/>
      <c r="W44" s="275"/>
      <c r="X44" s="275"/>
      <c r="Y44" s="275"/>
    </row>
    <row r="45" spans="2:25" x14ac:dyDescent="0.25">
      <c r="B45" t="s">
        <v>103</v>
      </c>
      <c r="D45" t="str">
        <f t="shared" si="5"/>
        <v/>
      </c>
      <c r="E45" t="str">
        <f t="shared" si="5"/>
        <v/>
      </c>
      <c r="F45" s="275"/>
      <c r="G45" s="275"/>
      <c r="H45" s="275"/>
      <c r="I45" s="275"/>
      <c r="J45" s="275"/>
      <c r="K45" s="275"/>
      <c r="L45" s="275"/>
      <c r="M45" s="275"/>
      <c r="N45" s="275"/>
      <c r="O45" s="275"/>
      <c r="P45" s="275"/>
      <c r="Q45" s="275"/>
      <c r="R45" s="275"/>
      <c r="S45" s="275"/>
      <c r="T45" s="275"/>
      <c r="U45" s="275"/>
      <c r="V45" s="275"/>
      <c r="W45" s="275"/>
      <c r="X45" s="275"/>
      <c r="Y45" s="275"/>
    </row>
    <row r="46" spans="2:25" x14ac:dyDescent="0.25">
      <c r="B46" t="s">
        <v>104</v>
      </c>
      <c r="D46" t="str">
        <f t="shared" si="5"/>
        <v/>
      </c>
      <c r="E46" t="str">
        <f t="shared" si="5"/>
        <v/>
      </c>
      <c r="F46" s="275"/>
      <c r="G46" s="275"/>
      <c r="H46" s="275"/>
      <c r="I46" s="275"/>
      <c r="J46" s="275"/>
      <c r="K46" s="275"/>
      <c r="L46" s="275"/>
      <c r="M46" s="275"/>
      <c r="N46" s="275"/>
      <c r="O46" s="275"/>
      <c r="P46" s="275"/>
      <c r="Q46" s="275"/>
      <c r="R46" s="275"/>
      <c r="S46" s="275"/>
      <c r="T46" s="275"/>
      <c r="U46" s="275"/>
      <c r="V46" s="275"/>
      <c r="W46" s="275"/>
      <c r="X46" s="275"/>
      <c r="Y46" s="275"/>
    </row>
    <row r="47" spans="2:25" x14ac:dyDescent="0.25">
      <c r="B47" t="s">
        <v>105</v>
      </c>
      <c r="D47" t="str">
        <f t="shared" si="5"/>
        <v/>
      </c>
      <c r="E47" t="str">
        <f t="shared" si="5"/>
        <v/>
      </c>
      <c r="F47" s="275"/>
      <c r="G47" s="275"/>
      <c r="H47" s="275"/>
      <c r="I47" s="275"/>
      <c r="J47" s="275"/>
      <c r="K47" s="275"/>
      <c r="L47" s="275"/>
      <c r="M47" s="275"/>
      <c r="N47" s="275"/>
      <c r="O47" s="275"/>
      <c r="P47" s="275"/>
      <c r="Q47" s="275"/>
      <c r="R47" s="275"/>
      <c r="S47" s="275"/>
      <c r="T47" s="275"/>
      <c r="U47" s="275"/>
      <c r="V47" s="275"/>
      <c r="W47" s="275"/>
      <c r="X47" s="275"/>
      <c r="Y47" s="275"/>
    </row>
    <row r="48" spans="2:25" x14ac:dyDescent="0.25">
      <c r="B48" t="s">
        <v>166</v>
      </c>
      <c r="D48" t="str">
        <f t="shared" si="5"/>
        <v/>
      </c>
      <c r="E48" t="str">
        <f t="shared" si="5"/>
        <v/>
      </c>
      <c r="F48" s="275"/>
      <c r="G48" s="275"/>
      <c r="H48" s="275">
        <v>0.2</v>
      </c>
      <c r="I48" s="275"/>
      <c r="J48" s="275"/>
      <c r="K48" s="275"/>
      <c r="L48" s="275"/>
      <c r="M48" s="275"/>
      <c r="N48" s="275"/>
      <c r="O48" s="275"/>
      <c r="P48" s="275"/>
      <c r="Q48" s="275"/>
      <c r="R48" s="275"/>
      <c r="S48" s="275"/>
      <c r="T48" s="275"/>
      <c r="U48" s="275"/>
      <c r="V48" s="275"/>
      <c r="W48" s="275"/>
      <c r="X48" s="275"/>
      <c r="Y48" s="275"/>
    </row>
    <row r="49" spans="2:25" x14ac:dyDescent="0.25">
      <c r="B49" t="s">
        <v>106</v>
      </c>
      <c r="D49" t="str">
        <f t="shared" si="5"/>
        <v/>
      </c>
      <c r="E49" t="str">
        <f t="shared" si="5"/>
        <v/>
      </c>
      <c r="F49" s="275"/>
      <c r="G49" s="275"/>
      <c r="H49" s="275"/>
      <c r="I49" s="275"/>
      <c r="J49" s="275"/>
      <c r="K49" s="275"/>
      <c r="L49" s="275"/>
      <c r="M49" s="275"/>
      <c r="N49" s="275"/>
      <c r="O49" s="275"/>
      <c r="P49" s="275"/>
      <c r="Q49" s="275"/>
      <c r="R49" s="275"/>
      <c r="S49" s="275"/>
      <c r="T49" s="275"/>
      <c r="U49" s="275"/>
      <c r="V49" s="275"/>
      <c r="W49" s="275"/>
      <c r="X49" s="275"/>
      <c r="Y49" s="275"/>
    </row>
    <row r="50" spans="2:25" x14ac:dyDescent="0.25">
      <c r="B50" t="s">
        <v>107</v>
      </c>
      <c r="D50" t="str">
        <f t="shared" si="5"/>
        <v/>
      </c>
      <c r="E50" t="str">
        <f t="shared" si="5"/>
        <v/>
      </c>
      <c r="F50" s="275"/>
      <c r="G50" s="275"/>
      <c r="H50" s="275"/>
      <c r="I50" s="275"/>
      <c r="J50" s="275"/>
      <c r="K50" s="275"/>
      <c r="L50" s="275"/>
      <c r="M50" s="275"/>
      <c r="N50" s="275"/>
      <c r="O50" s="275"/>
      <c r="P50" s="275"/>
      <c r="Q50" s="275"/>
      <c r="R50" s="275"/>
      <c r="S50" s="275"/>
      <c r="T50" s="275"/>
      <c r="U50" s="275"/>
      <c r="V50" s="275"/>
      <c r="W50" s="275"/>
      <c r="X50" s="275"/>
      <c r="Y50" s="275"/>
    </row>
    <row r="51" spans="2:25" x14ac:dyDescent="0.25">
      <c r="B51" t="s">
        <v>108</v>
      </c>
      <c r="D51" t="str">
        <f t="shared" si="5"/>
        <v/>
      </c>
      <c r="E51" t="str">
        <f t="shared" si="5"/>
        <v/>
      </c>
      <c r="F51" s="275"/>
      <c r="G51" s="275"/>
      <c r="H51" s="275"/>
      <c r="I51" s="275"/>
      <c r="J51" s="275"/>
      <c r="K51" s="275"/>
      <c r="L51" s="275"/>
      <c r="M51" s="275"/>
      <c r="N51" s="275"/>
      <c r="O51" s="275"/>
      <c r="P51" s="275"/>
      <c r="Q51" s="275"/>
      <c r="R51" s="275"/>
      <c r="S51" s="275"/>
      <c r="T51" s="275"/>
      <c r="U51" s="275"/>
      <c r="V51" s="275"/>
      <c r="W51" s="275"/>
      <c r="X51" s="275"/>
      <c r="Y51" s="275"/>
    </row>
    <row r="52" spans="2:25" x14ac:dyDescent="0.25">
      <c r="B52" t="s">
        <v>167</v>
      </c>
      <c r="D52" t="str">
        <f t="shared" si="5"/>
        <v/>
      </c>
      <c r="E52" t="str">
        <f t="shared" si="5"/>
        <v/>
      </c>
      <c r="F52" s="275"/>
      <c r="G52" s="275"/>
      <c r="H52" s="275"/>
      <c r="I52" s="275"/>
      <c r="J52" s="275"/>
      <c r="K52" s="275"/>
      <c r="L52" s="275"/>
      <c r="M52" s="275"/>
      <c r="N52" s="275"/>
      <c r="O52" s="275"/>
      <c r="P52" s="275"/>
      <c r="Q52" s="275"/>
      <c r="R52" s="275"/>
      <c r="S52" s="275"/>
      <c r="T52" s="275"/>
      <c r="U52" s="275"/>
      <c r="V52" s="275"/>
      <c r="W52" s="275"/>
      <c r="X52" s="275"/>
      <c r="Y52" s="275"/>
    </row>
    <row r="53" spans="2:25" x14ac:dyDescent="0.25">
      <c r="B53" t="s">
        <v>109</v>
      </c>
      <c r="D53" t="str">
        <f t="shared" si="5"/>
        <v/>
      </c>
      <c r="E53" t="str">
        <f t="shared" si="5"/>
        <v/>
      </c>
      <c r="F53" s="275"/>
      <c r="G53" s="275"/>
      <c r="H53" s="275"/>
      <c r="I53" s="275"/>
      <c r="J53" s="275"/>
      <c r="K53" s="275"/>
      <c r="L53" s="275"/>
      <c r="M53" s="275"/>
      <c r="N53" s="275"/>
      <c r="O53" s="275"/>
      <c r="P53" s="275"/>
      <c r="Q53" s="275"/>
      <c r="R53" s="275"/>
      <c r="S53" s="275"/>
      <c r="T53" s="275"/>
      <c r="U53" s="275"/>
      <c r="V53" s="275"/>
      <c r="W53" s="275"/>
      <c r="X53" s="275"/>
      <c r="Y53" s="275"/>
    </row>
    <row r="54" spans="2:25" x14ac:dyDescent="0.25">
      <c r="B54" t="s">
        <v>110</v>
      </c>
      <c r="D54" t="str">
        <f t="shared" si="5"/>
        <v/>
      </c>
      <c r="E54" t="str">
        <f t="shared" si="5"/>
        <v/>
      </c>
      <c r="F54" s="275"/>
      <c r="G54" s="275"/>
      <c r="H54" s="275">
        <v>0.2</v>
      </c>
      <c r="I54" s="275"/>
      <c r="J54" s="275"/>
      <c r="K54" s="275"/>
      <c r="L54" s="275"/>
      <c r="M54" s="275"/>
      <c r="N54" s="275"/>
      <c r="O54" s="275"/>
      <c r="P54" s="275"/>
      <c r="Q54" s="275"/>
      <c r="R54" s="275"/>
      <c r="S54" s="275"/>
      <c r="T54" s="275"/>
      <c r="U54" s="275"/>
      <c r="V54" s="275"/>
      <c r="W54" s="275"/>
      <c r="X54" s="275"/>
      <c r="Y54" s="275"/>
    </row>
    <row r="55" spans="2:25" x14ac:dyDescent="0.25">
      <c r="B55" t="s">
        <v>159</v>
      </c>
      <c r="D55" t="str">
        <f t="shared" si="5"/>
        <v/>
      </c>
      <c r="E55" t="str">
        <f t="shared" si="5"/>
        <v/>
      </c>
      <c r="F55" s="275"/>
      <c r="G55" s="275"/>
      <c r="H55" s="275"/>
      <c r="I55" s="275"/>
      <c r="J55" s="275"/>
      <c r="K55" s="275"/>
      <c r="L55" s="275"/>
      <c r="M55" s="275"/>
      <c r="N55" s="275"/>
      <c r="O55" s="275"/>
      <c r="P55" s="275"/>
      <c r="Q55" s="275"/>
      <c r="R55" s="275"/>
      <c r="S55" s="275"/>
      <c r="T55" s="275"/>
      <c r="U55" s="275"/>
      <c r="V55" s="275"/>
      <c r="W55" s="275"/>
      <c r="X55" s="275"/>
      <c r="Y55" s="275"/>
    </row>
    <row r="56" spans="2:25" x14ac:dyDescent="0.25">
      <c r="B56" t="s">
        <v>111</v>
      </c>
      <c r="D56" t="str">
        <f t="shared" si="5"/>
        <v/>
      </c>
      <c r="E56" t="str">
        <f t="shared" si="5"/>
        <v/>
      </c>
      <c r="F56" s="275"/>
      <c r="G56" s="275"/>
      <c r="H56" s="275"/>
      <c r="I56" s="275"/>
      <c r="J56" s="275"/>
      <c r="K56" s="275"/>
      <c r="L56" s="275"/>
      <c r="M56" s="275"/>
      <c r="N56" s="275"/>
      <c r="O56" s="275"/>
      <c r="P56" s="275"/>
      <c r="Q56" s="275"/>
      <c r="R56" s="275"/>
      <c r="S56" s="275"/>
      <c r="T56" s="275"/>
      <c r="U56" s="275"/>
      <c r="V56" s="275"/>
      <c r="W56" s="275"/>
      <c r="X56" s="275"/>
      <c r="Y56" s="275"/>
    </row>
    <row r="57" spans="2:25" x14ac:dyDescent="0.25">
      <c r="B57" t="s">
        <v>168</v>
      </c>
      <c r="D57" t="str">
        <f t="shared" si="5"/>
        <v/>
      </c>
      <c r="E57" t="str">
        <f t="shared" si="5"/>
        <v/>
      </c>
      <c r="F57" s="275"/>
      <c r="G57" s="275"/>
      <c r="H57" s="275"/>
      <c r="I57" s="275"/>
      <c r="J57" s="275"/>
      <c r="K57" s="275"/>
      <c r="L57" s="275"/>
      <c r="M57" s="275"/>
      <c r="N57" s="275"/>
      <c r="O57" s="275"/>
      <c r="P57" s="275"/>
      <c r="Q57" s="275"/>
      <c r="R57" s="275"/>
      <c r="S57" s="275"/>
      <c r="T57" s="275"/>
      <c r="U57" s="275"/>
      <c r="V57" s="275"/>
      <c r="W57" s="275"/>
      <c r="X57" s="275"/>
      <c r="Y57" s="275"/>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90" r:id="rId3" name="Drop Down 2">
              <controlPr defaultSize="0" autoLine="0" autoPict="0">
                <anchor moveWithCells="1">
                  <from>
                    <xdr:col>2</xdr:col>
                    <xdr:colOff>1038225</xdr:colOff>
                    <xdr:row>21</xdr:row>
                    <xdr:rowOff>9525</xdr:rowOff>
                  </from>
                  <to>
                    <xdr:col>2</xdr:col>
                    <xdr:colOff>1038225</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7</vt:i4>
      </vt:variant>
    </vt:vector>
  </HeadingPairs>
  <TitlesOfParts>
    <vt:vector size="11" baseType="lpstr">
      <vt:lpstr>Combustion Emissions</vt:lpstr>
      <vt:lpstr>Fuel1</vt:lpstr>
      <vt:lpstr>Fuel2</vt:lpstr>
      <vt:lpstr>Examples</vt:lpstr>
      <vt:lpstr>'Combustion Emissions'!Afdrukbereik</vt:lpstr>
      <vt:lpstr>Fuel1!Afdrukbereik</vt:lpstr>
      <vt:lpstr>Fuel2!Afdrukbereik</vt:lpstr>
      <vt:lpstr>'Combustion Emissions'!Afdruktitels</vt:lpstr>
      <vt:lpstr>Fuel1!Afdruktitels</vt:lpstr>
      <vt:lpstr>Fuel2!Afdruktitels</vt:lpstr>
      <vt:lpstr>Modus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dc:creator>
  <cp:lastModifiedBy>Burgers, Wim (WVL)</cp:lastModifiedBy>
  <cp:lastPrinted>2023-01-05T07:24:18Z</cp:lastPrinted>
  <dcterms:created xsi:type="dcterms:W3CDTF">2018-08-01T10:18:34Z</dcterms:created>
  <dcterms:modified xsi:type="dcterms:W3CDTF">2024-02-21T18:37:26Z</dcterms:modified>
</cp:coreProperties>
</file>