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75" windowWidth="19980" windowHeight="7815"/>
  </bookViews>
  <sheets>
    <sheet name="Warmte emissie Stack " sheetId="6" r:id="rId1"/>
    <sheet name="Toelichting" sheetId="13" r:id="rId2"/>
    <sheet name="Cp gem" sheetId="12" state="hidden" r:id="rId3"/>
  </sheets>
  <calcPr calcId="145621"/>
</workbook>
</file>

<file path=xl/calcChain.xml><?xml version="1.0" encoding="utf-8"?>
<calcChain xmlns="http://schemas.openxmlformats.org/spreadsheetml/2006/main">
  <c r="H25" i="6" l="1"/>
  <c r="D15" i="6" s="1"/>
  <c r="H24" i="6"/>
  <c r="D10" i="6" l="1"/>
  <c r="C4" i="12" l="1"/>
  <c r="C9" i="12" l="1"/>
  <c r="C14" i="12" s="1"/>
  <c r="C19" i="12" s="1"/>
  <c r="C3" i="12"/>
  <c r="P19" i="12"/>
  <c r="O19" i="12"/>
  <c r="N19" i="12"/>
  <c r="T19" i="12" s="1"/>
  <c r="M19" i="12"/>
  <c r="S19" i="12" s="1"/>
  <c r="P14" i="12"/>
  <c r="V14" i="12" s="1"/>
  <c r="O14" i="12"/>
  <c r="U14" i="12" s="1"/>
  <c r="N14" i="12"/>
  <c r="M14" i="12"/>
  <c r="P9" i="12"/>
  <c r="V9" i="12" s="1"/>
  <c r="O9" i="12"/>
  <c r="N9" i="12"/>
  <c r="M9" i="12"/>
  <c r="S9" i="12" s="1"/>
  <c r="P4" i="12"/>
  <c r="O4" i="12"/>
  <c r="N4" i="12"/>
  <c r="T4" i="12" s="1"/>
  <c r="M4" i="12"/>
  <c r="O5" i="12" l="1"/>
  <c r="P5" i="12"/>
  <c r="C8" i="12"/>
  <c r="P10" i="12" s="1"/>
  <c r="T5" i="12"/>
  <c r="U15" i="12"/>
  <c r="V10" i="12"/>
  <c r="V15" i="12"/>
  <c r="S10" i="12"/>
  <c r="M5" i="12"/>
  <c r="S20" i="12"/>
  <c r="T20" i="12"/>
  <c r="V4" i="12"/>
  <c r="V5" i="12" s="1"/>
  <c r="S14" i="12"/>
  <c r="S15" i="12" s="1"/>
  <c r="U19" i="12"/>
  <c r="U20" i="12" s="1"/>
  <c r="T14" i="12"/>
  <c r="T15" i="12" s="1"/>
  <c r="V19" i="12"/>
  <c r="V20" i="12" s="1"/>
  <c r="N5" i="12"/>
  <c r="U4" i="12"/>
  <c r="U5" i="12" s="1"/>
  <c r="S4" i="12"/>
  <c r="S5" i="12" s="1"/>
  <c r="T9" i="12"/>
  <c r="T10" i="12" s="1"/>
  <c r="U9" i="12"/>
  <c r="U10" i="12" s="1"/>
  <c r="H29" i="6"/>
  <c r="H30" i="6"/>
  <c r="H31" i="6"/>
  <c r="H28" i="6"/>
  <c r="Q5" i="12" l="1"/>
  <c r="M10" i="12"/>
  <c r="N10" i="12"/>
  <c r="O10" i="12"/>
  <c r="C13" i="12"/>
  <c r="W5" i="12"/>
  <c r="W20" i="12"/>
  <c r="W15" i="12"/>
  <c r="W10" i="12"/>
  <c r="I31" i="6"/>
  <c r="I30" i="6"/>
  <c r="I29" i="6"/>
  <c r="I28" i="6"/>
  <c r="Y3" i="12" l="1"/>
  <c r="Y4" i="12" s="1"/>
  <c r="C18" i="12"/>
  <c r="N15" i="12"/>
  <c r="P15" i="12"/>
  <c r="O15" i="12"/>
  <c r="M15" i="12"/>
  <c r="Q10" i="12"/>
  <c r="Y8" i="12" s="1"/>
  <c r="Y9" i="12" s="1"/>
  <c r="L31" i="6" l="1"/>
  <c r="L30" i="6"/>
  <c r="P20" i="12"/>
  <c r="N20" i="12"/>
  <c r="O20" i="12"/>
  <c r="M20" i="12"/>
  <c r="Q15" i="12"/>
  <c r="Y13" i="12" s="1"/>
  <c r="Y14" i="12" s="1"/>
  <c r="L28" i="6" l="1"/>
  <c r="Q20" i="12"/>
  <c r="Y18" i="12" s="1"/>
  <c r="Y19" i="12" s="1"/>
  <c r="K28" i="6"/>
  <c r="K29" i="6"/>
  <c r="K30" i="6"/>
  <c r="K31" i="6"/>
  <c r="M31" i="6" s="1"/>
  <c r="M30" i="6" l="1"/>
  <c r="K32" i="6"/>
  <c r="D13" i="6" s="1"/>
  <c r="M28" i="6"/>
  <c r="L29" i="6"/>
  <c r="M29" i="6" s="1"/>
  <c r="M32" i="6" l="1"/>
  <c r="D17" i="6" s="1"/>
  <c r="D18" i="6" s="1"/>
</calcChain>
</file>

<file path=xl/comments1.xml><?xml version="1.0" encoding="utf-8"?>
<comments xmlns="http://schemas.openxmlformats.org/spreadsheetml/2006/main">
  <authors>
    <author>Brinkman, Herman</author>
  </authors>
  <commentList>
    <comment ref="E14" authorId="0">
      <text>
        <r>
          <rPr>
            <b/>
            <sz val="8"/>
            <color indexed="81"/>
            <rFont val="Tahoma"/>
            <family val="2"/>
          </rPr>
          <t>H. Brinkman:</t>
        </r>
        <r>
          <rPr>
            <sz val="8"/>
            <color indexed="81"/>
            <rFont val="Tahoma"/>
            <family val="2"/>
          </rPr>
          <t xml:space="preserve">
Gekozen voor een set 
"more accurate values, involving four constants"</t>
        </r>
      </text>
    </comment>
  </commentList>
</comments>
</file>

<file path=xl/sharedStrings.xml><?xml version="1.0" encoding="utf-8"?>
<sst xmlns="http://schemas.openxmlformats.org/spreadsheetml/2006/main" count="168" uniqueCount="63">
  <si>
    <t>M</t>
  </si>
  <si>
    <t>https://archive.org/details/thermodynamicsfo031702mbp</t>
  </si>
  <si>
    <t>O2</t>
  </si>
  <si>
    <t>CO2</t>
  </si>
  <si>
    <t>N2</t>
  </si>
  <si>
    <t>K</t>
  </si>
  <si>
    <t>g/mol</t>
  </si>
  <si>
    <t>MW</t>
  </si>
  <si>
    <t>T Stack</t>
  </si>
  <si>
    <r>
      <t>Rho</t>
    </r>
    <r>
      <rPr>
        <vertAlign val="subscript"/>
        <sz val="10"/>
        <color theme="1"/>
        <rFont val="Arial"/>
        <family val="2"/>
      </rPr>
      <t>(bij 273 K)</t>
    </r>
  </si>
  <si>
    <t>J/(kg.K)</t>
  </si>
  <si>
    <r>
      <t>kg/m</t>
    </r>
    <r>
      <rPr>
        <vertAlign val="superscript"/>
        <sz val="10"/>
        <color theme="1"/>
        <rFont val="Arial"/>
        <family val="2"/>
      </rPr>
      <t>3</t>
    </r>
  </si>
  <si>
    <t>H20</t>
  </si>
  <si>
    <t>α</t>
  </si>
  <si>
    <t>β</t>
  </si>
  <si>
    <t>γ</t>
  </si>
  <si>
    <t>δ</t>
  </si>
  <si>
    <t>Molmassa</t>
  </si>
  <si>
    <r>
      <t>x 10</t>
    </r>
    <r>
      <rPr>
        <vertAlign val="superscript"/>
        <sz val="10"/>
        <color theme="1"/>
        <rFont val="Arial"/>
        <family val="2"/>
      </rPr>
      <t>-3</t>
    </r>
  </si>
  <si>
    <r>
      <t>x 10</t>
    </r>
    <r>
      <rPr>
        <vertAlign val="superscript"/>
        <sz val="10"/>
        <color theme="1"/>
        <rFont val="Arial"/>
        <family val="2"/>
      </rPr>
      <t>-6</t>
    </r>
  </si>
  <si>
    <r>
      <t>x 10</t>
    </r>
    <r>
      <rPr>
        <vertAlign val="superscript"/>
        <sz val="10"/>
        <color theme="1"/>
        <rFont val="Arial"/>
        <family val="2"/>
      </rPr>
      <t>-9</t>
    </r>
  </si>
  <si>
    <t>Ta</t>
  </si>
  <si>
    <t>T</t>
  </si>
  <si>
    <t>%</t>
  </si>
  <si>
    <t>kg/s</t>
  </si>
  <si>
    <t>liter/s</t>
  </si>
  <si>
    <t xml:space="preserve">Cp gem </t>
  </si>
  <si>
    <t>Kooldioxide</t>
  </si>
  <si>
    <t>Waterdamp</t>
  </si>
  <si>
    <t>Stikstof</t>
  </si>
  <si>
    <t>Zuurstof</t>
  </si>
  <si>
    <t>totaal</t>
  </si>
  <si>
    <t>mol/s</t>
  </si>
  <si>
    <t>V per deelstroom</t>
  </si>
  <si>
    <t>Warmte emissie per deelstroom van V0 in Nm3 over delta T      (T - Ta)</t>
  </si>
  <si>
    <r>
      <t>T</t>
    </r>
    <r>
      <rPr>
        <vertAlign val="subscript"/>
        <sz val="10"/>
        <color theme="1"/>
        <rFont val="Arial"/>
        <family val="2"/>
      </rPr>
      <t>0</t>
    </r>
  </si>
  <si>
    <t>stof</t>
  </si>
  <si>
    <t>β/2</t>
  </si>
  <si>
    <t>γ/3</t>
  </si>
  <si>
    <t>δ/4</t>
  </si>
  <si>
    <t>cal/mol</t>
  </si>
  <si>
    <t>Joule/g</t>
  </si>
  <si>
    <t>Integraal beginpunt</t>
  </si>
  <si>
    <t>Integraal eindpunt</t>
  </si>
  <si>
    <t>call--&gt;joule</t>
  </si>
  <si>
    <t>Cp berekening</t>
  </si>
  <si>
    <t>graden</t>
  </si>
  <si>
    <r>
      <t>Massa per deelstroom van V</t>
    </r>
    <r>
      <rPr>
        <vertAlign val="subscript"/>
        <sz val="10"/>
        <color theme="1"/>
        <rFont val="Arial"/>
        <family val="2"/>
      </rPr>
      <t>0</t>
    </r>
    <r>
      <rPr>
        <sz val="10"/>
        <color theme="1"/>
        <rFont val="Arial"/>
        <family val="2"/>
      </rPr>
      <t xml:space="preserve"> </t>
    </r>
    <r>
      <rPr>
        <vertAlign val="subscript"/>
        <sz val="10"/>
        <color theme="1"/>
        <rFont val="Arial"/>
        <family val="2"/>
      </rPr>
      <t>(bij 273 K)</t>
    </r>
  </si>
  <si>
    <t>Polynoom volgens het themodynamicaboek van Glasstone.</t>
  </si>
  <si>
    <t>J/(kg)</t>
  </si>
  <si>
    <t>Cp.dT over       T - Ta</t>
  </si>
  <si>
    <t>Cp.dT</t>
  </si>
  <si>
    <t>Resultaat</t>
  </si>
  <si>
    <t>Warmte-inhoud</t>
  </si>
  <si>
    <t>Berekening  warmte-inhoud en gemiddelde Cp</t>
  </si>
  <si>
    <t>Gassamenstelling</t>
  </si>
  <si>
    <t>Constanten en hulpvariabelen</t>
  </si>
  <si>
    <r>
      <t>m</t>
    </r>
    <r>
      <rPr>
        <vertAlign val="subscript"/>
        <sz val="10"/>
        <color theme="1"/>
        <rFont val="Arial"/>
        <family val="2"/>
      </rPr>
      <t>0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/s</t>
    </r>
  </si>
  <si>
    <t>Gasparameters</t>
  </si>
  <si>
    <t>afvang van nuldelingen</t>
  </si>
  <si>
    <t>T - Ta</t>
  </si>
  <si>
    <r>
      <t>V</t>
    </r>
    <r>
      <rPr>
        <vertAlign val="subscript"/>
        <sz val="10"/>
        <color theme="1"/>
        <rFont val="Arial"/>
        <family val="2"/>
      </rPr>
      <t>(nat, bij 273 K)</t>
    </r>
  </si>
  <si>
    <t xml:space="preserve"> https://archive.org/details/thermodynamicsfo031702mbp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</si>
</sst>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0.000"/>
    <numFmt numFmtId="165" formatCode="0.0000000"/>
    <numFmt numFmtId="166" formatCode="0.0"/>
    <numFmt numFmtId="167" formatCode="_ * #,##0.000_ ;_ * \-#,##0.000_ ;_ * &quot;-&quot;??_ ;_ @_ "/>
    <numFmt numFmtId="168" formatCode="_ * #,##0.0_ ;_ * \-#,##0.0_ ;_ * &quot;-&quot;??_ ;_ @_ "/>
    <numFmt numFmtId="169" formatCode="_ * #,##0_ ;_ * \-#,##0_ ;_ * &quot;-&quot;??_ ;_ @_ "/>
    <numFmt numFmtId="170" formatCode="#,##0.0000"/>
    <numFmt numFmtId="171" formatCode="_ * #,##0.0000_ ;_ * \-#,##0.0000_ ;_ * &quot;-&quot;??_ ;_ @_ 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vertAlign val="sub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u/>
      <sz val="10"/>
      <color theme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 applyBorder="1"/>
    <xf numFmtId="0" fontId="0" fillId="0" borderId="0" xfId="0" applyFill="1" applyBorder="1"/>
    <xf numFmtId="165" fontId="0" fillId="0" borderId="0" xfId="0" applyNumberFormat="1"/>
    <xf numFmtId="11" fontId="0" fillId="0" borderId="0" xfId="0" applyNumberFormat="1"/>
    <xf numFmtId="0" fontId="4" fillId="0" borderId="0" xfId="2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wrapText="1"/>
    </xf>
    <xf numFmtId="43" fontId="0" fillId="0" borderId="1" xfId="1" applyFont="1" applyBorder="1" applyAlignment="1">
      <alignment horizontal="center"/>
    </xf>
    <xf numFmtId="43" fontId="0" fillId="0" borderId="1" xfId="1" applyFont="1" applyFill="1" applyBorder="1" applyAlignment="1">
      <alignment horizontal="center"/>
    </xf>
    <xf numFmtId="168" fontId="0" fillId="0" borderId="1" xfId="1" applyNumberFormat="1" applyFont="1" applyBorder="1" applyAlignment="1">
      <alignment horizontal="center"/>
    </xf>
    <xf numFmtId="169" fontId="0" fillId="0" borderId="1" xfId="1" applyNumberFormat="1" applyFont="1" applyBorder="1" applyAlignment="1">
      <alignment horizontal="center"/>
    </xf>
    <xf numFmtId="169" fontId="0" fillId="0" borderId="0" xfId="1" applyNumberFormat="1" applyFont="1"/>
    <xf numFmtId="167" fontId="0" fillId="0" borderId="1" xfId="1" applyNumberFormat="1" applyFont="1" applyBorder="1" applyAlignment="1"/>
    <xf numFmtId="167" fontId="0" fillId="0" borderId="1" xfId="1" applyNumberFormat="1" applyFont="1" applyFill="1" applyBorder="1" applyAlignment="1"/>
    <xf numFmtId="164" fontId="0" fillId="0" borderId="0" xfId="0" applyNumberFormat="1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1" fontId="0" fillId="0" borderId="0" xfId="0" applyNumberFormat="1" applyBorder="1"/>
    <xf numFmtId="0" fontId="0" fillId="0" borderId="6" xfId="0" applyBorder="1"/>
    <xf numFmtId="0" fontId="0" fillId="0" borderId="7" xfId="0" applyBorder="1"/>
    <xf numFmtId="11" fontId="0" fillId="0" borderId="8" xfId="0" applyNumberFormat="1" applyBorder="1"/>
    <xf numFmtId="0" fontId="0" fillId="0" borderId="9" xfId="0" applyBorder="1"/>
    <xf numFmtId="170" fontId="0" fillId="0" borderId="6" xfId="0" applyNumberFormat="1" applyBorder="1"/>
    <xf numFmtId="0" fontId="0" fillId="0" borderId="8" xfId="0" applyBorder="1"/>
    <xf numFmtId="43" fontId="0" fillId="3" borderId="10" xfId="1" applyFont="1" applyFill="1" applyBorder="1"/>
    <xf numFmtId="43" fontId="0" fillId="3" borderId="11" xfId="1" applyFont="1" applyFill="1" applyBorder="1"/>
    <xf numFmtId="171" fontId="0" fillId="3" borderId="12" xfId="1" applyNumberFormat="1" applyFon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171" fontId="0" fillId="0" borderId="0" xfId="1" applyNumberFormat="1" applyFont="1" applyFill="1" applyBorder="1"/>
    <xf numFmtId="0" fontId="0" fillId="2" borderId="9" xfId="0" applyFill="1" applyBorder="1"/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166" fontId="0" fillId="0" borderId="0" xfId="0" applyNumberFormat="1" applyBorder="1" applyAlignment="1">
      <alignment vertical="center"/>
    </xf>
    <xf numFmtId="43" fontId="0" fillId="7" borderId="15" xfId="1" applyNumberFormat="1" applyFont="1" applyFill="1" applyBorder="1" applyAlignment="1"/>
    <xf numFmtId="0" fontId="0" fillId="7" borderId="0" xfId="0" applyFill="1"/>
    <xf numFmtId="169" fontId="0" fillId="7" borderId="16" xfId="1" applyNumberFormat="1" applyFont="1" applyFill="1" applyBorder="1"/>
    <xf numFmtId="0" fontId="0" fillId="6" borderId="0" xfId="0" applyFill="1" applyProtection="1">
      <protection hidden="1"/>
    </xf>
    <xf numFmtId="0" fontId="0" fillId="4" borderId="1" xfId="0" applyFill="1" applyBorder="1" applyAlignment="1" applyProtection="1">
      <protection hidden="1"/>
    </xf>
    <xf numFmtId="0" fontId="0" fillId="6" borderId="0" xfId="0" applyFill="1" applyBorder="1" applyAlignment="1" applyProtection="1">
      <protection hidden="1"/>
    </xf>
    <xf numFmtId="0" fontId="0" fillId="4" borderId="1" xfId="0" applyFill="1" applyBorder="1" applyProtection="1">
      <protection hidden="1"/>
    </xf>
    <xf numFmtId="0" fontId="0" fillId="6" borderId="0" xfId="0" applyFill="1" applyBorder="1" applyProtection="1">
      <protection hidden="1"/>
    </xf>
    <xf numFmtId="0" fontId="0" fillId="6" borderId="0" xfId="0" applyFill="1" applyBorder="1" applyAlignment="1" applyProtection="1">
      <alignment horizontal="left" vertical="center"/>
      <protection hidden="1"/>
    </xf>
    <xf numFmtId="169" fontId="0" fillId="6" borderId="0" xfId="1" applyNumberFormat="1" applyFont="1" applyFill="1" applyBorder="1" applyProtection="1">
      <protection hidden="1"/>
    </xf>
    <xf numFmtId="43" fontId="0" fillId="4" borderId="1" xfId="1" applyFont="1" applyFill="1" applyBorder="1" applyProtection="1">
      <protection hidden="1"/>
    </xf>
    <xf numFmtId="0" fontId="0" fillId="6" borderId="0" xfId="0" applyFill="1" applyBorder="1" applyAlignment="1" applyProtection="1">
      <alignment horizontal="left" vertical="center" wrapText="1"/>
      <protection hidden="1"/>
    </xf>
    <xf numFmtId="43" fontId="0" fillId="6" borderId="0" xfId="1" applyFont="1" applyFill="1" applyBorder="1" applyProtection="1">
      <protection hidden="1"/>
    </xf>
    <xf numFmtId="169" fontId="0" fillId="4" borderId="1" xfId="1" applyNumberFormat="1" applyFont="1" applyFill="1" applyBorder="1" applyProtection="1">
      <protection hidden="1"/>
    </xf>
    <xf numFmtId="167" fontId="0" fillId="4" borderId="1" xfId="1" applyNumberFormat="1" applyFont="1" applyFill="1" applyBorder="1" applyProtection="1">
      <protection hidden="1"/>
    </xf>
    <xf numFmtId="0" fontId="0" fillId="4" borderId="1" xfId="0" applyFill="1" applyBorder="1" applyAlignment="1" applyProtection="1">
      <alignment vertical="center"/>
      <protection hidden="1"/>
    </xf>
    <xf numFmtId="0" fontId="0" fillId="6" borderId="0" xfId="0" applyFill="1" applyBorder="1" applyAlignment="1" applyProtection="1">
      <alignment vertical="center"/>
      <protection hidden="1"/>
    </xf>
    <xf numFmtId="43" fontId="0" fillId="5" borderId="15" xfId="1" applyNumberFormat="1" applyFont="1" applyFill="1" applyBorder="1" applyAlignment="1" applyProtection="1">
      <protection locked="0"/>
    </xf>
    <xf numFmtId="169" fontId="0" fillId="5" borderId="16" xfId="1" applyNumberFormat="1" applyFont="1" applyFill="1" applyBorder="1" applyProtection="1">
      <protection locked="0"/>
    </xf>
    <xf numFmtId="43" fontId="0" fillId="5" borderId="15" xfId="1" applyFont="1" applyFill="1" applyBorder="1" applyProtection="1">
      <protection locked="0"/>
    </xf>
    <xf numFmtId="43" fontId="0" fillId="5" borderId="17" xfId="1" applyFont="1" applyFill="1" applyBorder="1" applyProtection="1">
      <protection locked="0"/>
    </xf>
    <xf numFmtId="43" fontId="0" fillId="5" borderId="16" xfId="1" applyFont="1" applyFill="1" applyBorder="1" applyProtection="1">
      <protection locked="0"/>
    </xf>
    <xf numFmtId="0" fontId="4" fillId="0" borderId="0" xfId="2" applyAlignment="1">
      <alignment vertical="center"/>
    </xf>
    <xf numFmtId="0" fontId="7" fillId="6" borderId="1" xfId="0" applyFont="1" applyFill="1" applyBorder="1" applyAlignment="1" applyProtection="1">
      <alignment horizontal="center"/>
      <protection hidden="1"/>
    </xf>
    <xf numFmtId="0" fontId="8" fillId="4" borderId="1" xfId="0" applyFont="1" applyFill="1" applyBorder="1" applyAlignment="1" applyProtection="1">
      <alignment horizontal="left" vertical="center"/>
      <protection hidden="1"/>
    </xf>
    <xf numFmtId="0" fontId="8" fillId="4" borderId="1" xfId="0" applyFont="1" applyFill="1" applyBorder="1" applyAlignment="1" applyProtection="1">
      <alignment horizontal="left" vertical="center" wrapText="1"/>
      <protection hidden="1"/>
    </xf>
    <xf numFmtId="0" fontId="8" fillId="4" borderId="13" xfId="0" applyFont="1" applyFill="1" applyBorder="1" applyAlignment="1" applyProtection="1">
      <alignment horizontal="left" vertical="center" wrapText="1"/>
      <protection hidden="1"/>
    </xf>
    <xf numFmtId="0" fontId="8" fillId="4" borderId="14" xfId="0" applyFont="1" applyFill="1" applyBorder="1" applyAlignment="1" applyProtection="1">
      <alignment horizontal="left" vertical="center" wrapText="1"/>
      <protection hidden="1"/>
    </xf>
  </cellXfs>
  <cellStyles count="3">
    <cellStyle name="Hyperlink" xfId="2" builtinId="8"/>
    <cellStyle name="Komma" xfId="1" builtinId="3"/>
    <cellStyle name="Standaard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44</xdr:col>
      <xdr:colOff>80737</xdr:colOff>
      <xdr:row>53</xdr:row>
      <xdr:rowOff>133187</xdr:rowOff>
    </xdr:to>
    <xdr:pic>
      <xdr:nvPicPr>
        <xdr:cNvPr id="16" name="Afbeelding 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2455" y="155864"/>
          <a:ext cx="5276191" cy="82380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25</xdr:row>
      <xdr:rowOff>1</xdr:rowOff>
    </xdr:from>
    <xdr:to>
      <xdr:col>12</xdr:col>
      <xdr:colOff>157370</xdr:colOff>
      <xdr:row>42</xdr:row>
      <xdr:rowOff>16797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1" y="4306958"/>
          <a:ext cx="4613412" cy="283288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12</xdr:col>
      <xdr:colOff>579783</xdr:colOff>
      <xdr:row>24</xdr:row>
      <xdr:rowOff>24013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0" y="3810000"/>
          <a:ext cx="5035826" cy="35531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</xdr:row>
      <xdr:rowOff>48985</xdr:rowOff>
    </xdr:from>
    <xdr:to>
      <xdr:col>12</xdr:col>
      <xdr:colOff>185451</xdr:colOff>
      <xdr:row>75</xdr:row>
      <xdr:rowOff>0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7172028"/>
          <a:ext cx="5022494" cy="54175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archive.org/details/thermodynamicsfo031702mbp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archive.org/details/thermodynamicsfo031702mb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A1:N34"/>
  <sheetViews>
    <sheetView tabSelected="1" zoomScaleNormal="100" workbookViewId="0">
      <selection activeCell="D7" sqref="D7"/>
    </sheetView>
  </sheetViews>
  <sheetFormatPr defaultColWidth="0" defaultRowHeight="12.75" zeroHeight="1" x14ac:dyDescent="0.2"/>
  <cols>
    <col min="1" max="1" width="7.140625" customWidth="1"/>
    <col min="2" max="2" width="33.5703125" customWidth="1"/>
    <col min="3" max="3" width="21.28515625" customWidth="1"/>
    <col min="4" max="4" width="10" customWidth="1"/>
    <col min="5" max="5" width="12.42578125" bestFit="1" customWidth="1"/>
    <col min="6" max="6" width="8.5703125" customWidth="1"/>
    <col min="7" max="8" width="17.42578125" hidden="1" customWidth="1"/>
    <col min="9" max="9" width="10.5703125" hidden="1" customWidth="1"/>
    <col min="10" max="10" width="6.42578125" hidden="1" customWidth="1"/>
    <col min="11" max="11" width="10.140625" hidden="1" customWidth="1"/>
    <col min="12" max="12" width="11" hidden="1" customWidth="1"/>
    <col min="13" max="14" width="10.5703125" hidden="1" customWidth="1"/>
    <col min="15" max="16384" width="9.140625" hidden="1"/>
  </cols>
  <sheetData>
    <row r="1" spans="1:10" ht="18" customHeight="1" x14ac:dyDescent="0.2">
      <c r="A1" s="50"/>
      <c r="B1" s="50"/>
      <c r="C1" s="50"/>
      <c r="D1" s="50"/>
      <c r="E1" s="50"/>
      <c r="F1" s="50"/>
    </row>
    <row r="2" spans="1:10" ht="15.75" x14ac:dyDescent="0.25">
      <c r="A2" s="50"/>
      <c r="B2" s="70" t="s">
        <v>54</v>
      </c>
      <c r="C2" s="70"/>
      <c r="D2" s="70"/>
      <c r="E2" s="70"/>
      <c r="F2" s="50"/>
    </row>
    <row r="3" spans="1:10" ht="7.5" customHeight="1" x14ac:dyDescent="0.2">
      <c r="A3" s="50"/>
      <c r="B3" s="50"/>
      <c r="C3" s="50"/>
      <c r="D3" s="50"/>
      <c r="E3" s="50"/>
      <c r="F3" s="50"/>
    </row>
    <row r="4" spans="1:10" ht="17.25" customHeight="1" x14ac:dyDescent="0.3">
      <c r="A4" s="50"/>
      <c r="B4" s="71" t="s">
        <v>58</v>
      </c>
      <c r="C4" s="51" t="s">
        <v>61</v>
      </c>
      <c r="D4" s="64">
        <v>1.25</v>
      </c>
      <c r="E4" s="51" t="s">
        <v>57</v>
      </c>
      <c r="F4" s="52"/>
    </row>
    <row r="5" spans="1:10" ht="15" customHeight="1" x14ac:dyDescent="0.2">
      <c r="A5" s="50"/>
      <c r="B5" s="71"/>
      <c r="C5" s="53" t="s">
        <v>8</v>
      </c>
      <c r="D5" s="65">
        <v>373</v>
      </c>
      <c r="E5" s="53" t="s">
        <v>5</v>
      </c>
      <c r="F5" s="54"/>
    </row>
    <row r="6" spans="1:10" x14ac:dyDescent="0.2">
      <c r="A6" s="50"/>
      <c r="B6" s="55"/>
      <c r="C6" s="54"/>
      <c r="D6" s="56"/>
      <c r="E6" s="54"/>
      <c r="F6" s="54"/>
    </row>
    <row r="7" spans="1:10" ht="20.25" customHeight="1" x14ac:dyDescent="0.2">
      <c r="A7" s="50"/>
      <c r="B7" s="72" t="s">
        <v>55</v>
      </c>
      <c r="C7" s="53" t="s">
        <v>27</v>
      </c>
      <c r="D7" s="66">
        <v>10</v>
      </c>
      <c r="E7" s="53" t="s">
        <v>23</v>
      </c>
      <c r="F7" s="54"/>
    </row>
    <row r="8" spans="1:10" ht="20.25" customHeight="1" x14ac:dyDescent="0.2">
      <c r="A8" s="50"/>
      <c r="B8" s="72"/>
      <c r="C8" s="53" t="s">
        <v>28</v>
      </c>
      <c r="D8" s="67">
        <v>11</v>
      </c>
      <c r="E8" s="53" t="s">
        <v>23</v>
      </c>
      <c r="F8" s="54"/>
    </row>
    <row r="9" spans="1:10" ht="20.25" customHeight="1" x14ac:dyDescent="0.2">
      <c r="A9" s="50"/>
      <c r="B9" s="72"/>
      <c r="C9" s="53" t="s">
        <v>30</v>
      </c>
      <c r="D9" s="68">
        <v>3</v>
      </c>
      <c r="E9" s="53" t="s">
        <v>23</v>
      </c>
      <c r="F9" s="54"/>
    </row>
    <row r="10" spans="1:10" ht="20.25" customHeight="1" x14ac:dyDescent="0.2">
      <c r="A10" s="50"/>
      <c r="B10" s="72"/>
      <c r="C10" s="53" t="s">
        <v>29</v>
      </c>
      <c r="D10" s="57">
        <f>100-D7-D8-D9</f>
        <v>76</v>
      </c>
      <c r="E10" s="53" t="s">
        <v>23</v>
      </c>
      <c r="F10" s="54"/>
    </row>
    <row r="11" spans="1:10" x14ac:dyDescent="0.2">
      <c r="A11" s="54"/>
      <c r="B11" s="58"/>
      <c r="C11" s="54"/>
      <c r="D11" s="59"/>
      <c r="E11" s="54"/>
      <c r="F11" s="54"/>
    </row>
    <row r="12" spans="1:10" ht="19.5" customHeight="1" x14ac:dyDescent="0.3">
      <c r="A12" s="50"/>
      <c r="B12" s="72" t="s">
        <v>56</v>
      </c>
      <c r="C12" s="53" t="s">
        <v>35</v>
      </c>
      <c r="D12" s="60">
        <v>273</v>
      </c>
      <c r="E12" s="53" t="s">
        <v>5</v>
      </c>
      <c r="F12" s="54"/>
    </row>
    <row r="13" spans="1:10" ht="19.5" customHeight="1" x14ac:dyDescent="0.3">
      <c r="A13" s="50"/>
      <c r="B13" s="72"/>
      <c r="C13" s="53" t="s">
        <v>9</v>
      </c>
      <c r="D13" s="61">
        <f>+K32/H24</f>
        <v>1.2727678571428576</v>
      </c>
      <c r="E13" s="62" t="s">
        <v>11</v>
      </c>
      <c r="F13" s="63"/>
    </row>
    <row r="14" spans="1:10" ht="19.5" customHeight="1" x14ac:dyDescent="0.2">
      <c r="A14" s="50"/>
      <c r="B14" s="72"/>
      <c r="C14" s="53" t="s">
        <v>21</v>
      </c>
      <c r="D14" s="60">
        <v>285</v>
      </c>
      <c r="E14" s="53" t="s">
        <v>5</v>
      </c>
      <c r="F14" s="54"/>
    </row>
    <row r="15" spans="1:10" ht="19.5" customHeight="1" x14ac:dyDescent="0.2">
      <c r="A15" s="50"/>
      <c r="B15" s="72"/>
      <c r="C15" s="53" t="s">
        <v>60</v>
      </c>
      <c r="D15" s="60">
        <f>+H25-D14</f>
        <v>88</v>
      </c>
      <c r="E15" s="53" t="s">
        <v>46</v>
      </c>
      <c r="F15" s="54"/>
      <c r="H15" s="3"/>
      <c r="J15" s="4"/>
    </row>
    <row r="16" spans="1:10" x14ac:dyDescent="0.2">
      <c r="A16" s="50"/>
      <c r="B16" s="50"/>
      <c r="C16" s="50"/>
      <c r="D16" s="50"/>
      <c r="E16" s="50"/>
      <c r="F16" s="50"/>
    </row>
    <row r="17" spans="1:14" x14ac:dyDescent="0.2">
      <c r="A17" s="50"/>
      <c r="B17" s="73" t="s">
        <v>52</v>
      </c>
      <c r="C17" s="53" t="s">
        <v>53</v>
      </c>
      <c r="D17" s="61">
        <f>+M32</f>
        <v>0.14930282122811436</v>
      </c>
      <c r="E17" s="53" t="s">
        <v>7</v>
      </c>
      <c r="F17" s="54"/>
    </row>
    <row r="18" spans="1:14" x14ac:dyDescent="0.2">
      <c r="A18" s="50"/>
      <c r="B18" s="74"/>
      <c r="C18" s="53" t="s">
        <v>26</v>
      </c>
      <c r="D18" s="60">
        <f>+D17/(H24*D13*D15)*1000000</f>
        <v>1066.4147174866112</v>
      </c>
      <c r="E18" s="53" t="s">
        <v>10</v>
      </c>
      <c r="F18" s="54"/>
      <c r="H18" s="4"/>
    </row>
    <row r="19" spans="1:14" ht="24.75" customHeight="1" x14ac:dyDescent="0.2">
      <c r="A19" s="50"/>
      <c r="B19" s="50"/>
      <c r="C19" s="50"/>
      <c r="D19" s="50"/>
      <c r="E19" s="50"/>
      <c r="F19" s="50"/>
    </row>
    <row r="20" spans="1:14" hidden="1" x14ac:dyDescent="0.2"/>
    <row r="21" spans="1:14" hidden="1" x14ac:dyDescent="0.2"/>
    <row r="22" spans="1:14" hidden="1" x14ac:dyDescent="0.2">
      <c r="B22" s="15"/>
      <c r="C22" s="15"/>
      <c r="D22" s="15"/>
    </row>
    <row r="23" spans="1:14" hidden="1" x14ac:dyDescent="0.2">
      <c r="C23" s="15"/>
      <c r="D23" s="15"/>
      <c r="H23" s="48" t="s">
        <v>59</v>
      </c>
    </row>
    <row r="24" spans="1:14" hidden="1" x14ac:dyDescent="0.2">
      <c r="C24" s="15"/>
      <c r="D24" s="15"/>
      <c r="H24" s="47">
        <f>IF(D4&lt;&gt;0,D4,0.0001)</f>
        <v>1.25</v>
      </c>
    </row>
    <row r="25" spans="1:14" hidden="1" x14ac:dyDescent="0.2">
      <c r="B25" s="15"/>
      <c r="C25" s="15"/>
      <c r="D25" s="15"/>
      <c r="H25" s="49">
        <f>IF(D5&lt;&gt;285,D5,285.001)</f>
        <v>373</v>
      </c>
    </row>
    <row r="26" spans="1:14" ht="90.75" hidden="1" x14ac:dyDescent="0.3">
      <c r="B26" s="20"/>
      <c r="H26" s="10" t="s">
        <v>33</v>
      </c>
      <c r="I26" s="6"/>
      <c r="J26" s="8" t="s">
        <v>0</v>
      </c>
      <c r="K26" s="10" t="s">
        <v>47</v>
      </c>
      <c r="L26" s="10" t="s">
        <v>50</v>
      </c>
      <c r="M26" s="10" t="s">
        <v>34</v>
      </c>
    </row>
    <row r="27" spans="1:14" hidden="1" x14ac:dyDescent="0.2">
      <c r="B27" s="20"/>
      <c r="H27" s="7" t="s">
        <v>25</v>
      </c>
      <c r="I27" s="8" t="s">
        <v>32</v>
      </c>
      <c r="J27" s="8" t="s">
        <v>6</v>
      </c>
      <c r="K27" s="8" t="s">
        <v>24</v>
      </c>
      <c r="L27" s="8" t="s">
        <v>49</v>
      </c>
      <c r="M27" s="7" t="s">
        <v>7</v>
      </c>
    </row>
    <row r="28" spans="1:14" hidden="1" x14ac:dyDescent="0.2">
      <c r="B28" s="46"/>
      <c r="H28" s="14">
        <f>+D7*10*$H$24</f>
        <v>125</v>
      </c>
      <c r="I28" s="14">
        <f>+H28/22.4</f>
        <v>5.5803571428571432</v>
      </c>
      <c r="J28" s="14">
        <v>44</v>
      </c>
      <c r="K28" s="11">
        <f>+J28*I28/1000</f>
        <v>0.2455357142857143</v>
      </c>
      <c r="L28" s="13">
        <f>+'Cp gem'!Y14*1000</f>
        <v>76956.813574757514</v>
      </c>
      <c r="M28" s="16">
        <f>+K28*L28/1000000</f>
        <v>1.8895646190230639E-2</v>
      </c>
      <c r="N28" s="9" t="s">
        <v>27</v>
      </c>
    </row>
    <row r="29" spans="1:14" hidden="1" x14ac:dyDescent="0.2">
      <c r="B29" s="46"/>
      <c r="H29" s="14">
        <f>+D8*10*$H$24</f>
        <v>137.5</v>
      </c>
      <c r="I29" s="14">
        <f t="shared" ref="I29:I31" si="0">+H29/22.4</f>
        <v>6.1383928571428577</v>
      </c>
      <c r="J29" s="14">
        <v>17</v>
      </c>
      <c r="K29" s="11">
        <f t="shared" ref="K29:K31" si="1">+J29*I29/1000</f>
        <v>0.10435267857142859</v>
      </c>
      <c r="L29" s="13">
        <f>+'Cp gem'!Y19*1000</f>
        <v>174013.86054027043</v>
      </c>
      <c r="M29" s="16">
        <f>+K29*L29/1000000</f>
        <v>1.8158812455932243E-2</v>
      </c>
      <c r="N29" s="9" t="s">
        <v>28</v>
      </c>
    </row>
    <row r="30" spans="1:14" hidden="1" x14ac:dyDescent="0.2">
      <c r="B30" s="46"/>
      <c r="H30" s="14">
        <f>+D10*10*$H$24</f>
        <v>950</v>
      </c>
      <c r="I30" s="14">
        <f t="shared" si="0"/>
        <v>42.410714285714292</v>
      </c>
      <c r="J30" s="14">
        <v>28</v>
      </c>
      <c r="K30" s="11">
        <f t="shared" si="1"/>
        <v>1.1875000000000002</v>
      </c>
      <c r="L30" s="13">
        <f>+'Cp gem'!Y9*1000</f>
        <v>90860.723736695683</v>
      </c>
      <c r="M30" s="16">
        <f>+K30*L30/1000000</f>
        <v>0.10789710943732614</v>
      </c>
      <c r="N30" s="9" t="s">
        <v>29</v>
      </c>
    </row>
    <row r="31" spans="1:14" hidden="1" x14ac:dyDescent="0.2">
      <c r="B31" s="46"/>
      <c r="H31" s="14">
        <f>+D9*10*$H$24</f>
        <v>37.5</v>
      </c>
      <c r="I31" s="14">
        <f t="shared" si="0"/>
        <v>1.674107142857143</v>
      </c>
      <c r="J31" s="14">
        <v>32</v>
      </c>
      <c r="K31" s="11">
        <f t="shared" si="1"/>
        <v>5.3571428571428575E-2</v>
      </c>
      <c r="L31" s="13">
        <f>+'Cp gem'!Y4*1000</f>
        <v>81223.392033006312</v>
      </c>
      <c r="M31" s="16">
        <f>+K31*L31/1000000</f>
        <v>4.3512531446253389E-3</v>
      </c>
      <c r="N31" s="9" t="s">
        <v>30</v>
      </c>
    </row>
    <row r="32" spans="1:14" hidden="1" x14ac:dyDescent="0.2">
      <c r="B32" s="1"/>
      <c r="H32" s="2"/>
      <c r="I32" s="18"/>
      <c r="J32" s="1"/>
      <c r="K32" s="12">
        <f>SUM(K28:K31)</f>
        <v>1.5909598214285718</v>
      </c>
      <c r="M32" s="17">
        <f>SUM(M28:M31)</f>
        <v>0.14930282122811436</v>
      </c>
      <c r="N32" s="9" t="s">
        <v>31</v>
      </c>
    </row>
    <row r="33" spans="2:9" hidden="1" x14ac:dyDescent="0.2">
      <c r="B33" s="15"/>
      <c r="H33" s="15"/>
      <c r="I33" s="15"/>
    </row>
    <row r="34" spans="2:9" hidden="1" x14ac:dyDescent="0.2">
      <c r="B34" s="15"/>
      <c r="C34" s="15"/>
      <c r="D34" s="15"/>
    </row>
  </sheetData>
  <sheetProtection password="CCE3" sheet="1" objects="1" scenarios="1" selectLockedCells="1"/>
  <protectedRanges>
    <protectedRange sqref="D7:D9" name="Bereik2"/>
    <protectedRange sqref="D4:D5" name="Bereik1"/>
  </protectedRanges>
  <mergeCells count="5">
    <mergeCell ref="B2:E2"/>
    <mergeCell ref="B4:B5"/>
    <mergeCell ref="B7:B10"/>
    <mergeCell ref="B12:B15"/>
    <mergeCell ref="B17:B18"/>
  </mergeCells>
  <conditionalFormatting sqref="D10">
    <cfRule type="cellIs" dxfId="1" priority="2" operator="lessThan">
      <formula>0</formula>
    </cfRule>
  </conditionalFormatting>
  <conditionalFormatting sqref="D9">
    <cfRule type="cellIs" dxfId="0" priority="1" operator="greaterThan">
      <formula>21</formula>
    </cfRule>
  </conditionalFormatting>
  <dataValidations xWindow="618" yWindow="297" count="4">
    <dataValidation type="decimal" allowBlank="1" showInputMessage="1" showErrorMessage="1" sqref="D4">
      <formula1>0</formula1>
      <formula2>9999</formula2>
    </dataValidation>
    <dataValidation type="decimal" allowBlank="1" showInputMessage="1" showErrorMessage="1" sqref="D5">
      <formula1>273</formula1>
      <formula2>2500</formula2>
    </dataValidation>
    <dataValidation type="decimal" allowBlank="1" showErrorMessage="1" promptTitle="Percentage invoeren" prompt="Alle getalswaarden tussen 0 en 100 zijn toegestaan" sqref="D8:D9">
      <formula1>0</formula1>
      <formula2>100</formula2>
    </dataValidation>
    <dataValidation type="decimal" allowBlank="1" showErrorMessage="1" promptTitle="Percentage invoeren" prompt="Alle getalswaarden tussen 0 en 100 zijn toegestaan" sqref="D7">
      <formula1>0</formula1>
      <formula2>100</formula2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C1"/>
  <sheetViews>
    <sheetView zoomScale="115" zoomScaleNormal="115" workbookViewId="0">
      <selection activeCell="BL54" sqref="BL54"/>
    </sheetView>
  </sheetViews>
  <sheetFormatPr defaultColWidth="2.7109375" defaultRowHeight="12.75" x14ac:dyDescent="0.2"/>
  <cols>
    <col min="1" max="42" width="1.7109375" customWidth="1"/>
  </cols>
  <sheetData>
    <row r="1" spans="3:3" x14ac:dyDescent="0.2">
      <c r="C1" s="69" t="s">
        <v>62</v>
      </c>
    </row>
  </sheetData>
  <sheetProtection password="CCE3" sheet="1" objects="1" scenarios="1" selectLockedCells="1" selectUnlockedCells="1"/>
  <hyperlinks>
    <hyperlink ref="C1" r:id="rId1" display="https://archive.org/details/thermodynamicsfo031702mbp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B1:Z22"/>
  <sheetViews>
    <sheetView showGridLines="0" zoomScale="115" zoomScaleNormal="115" workbookViewId="0">
      <selection activeCell="N23" sqref="N23"/>
    </sheetView>
  </sheetViews>
  <sheetFormatPr defaultRowHeight="12.75" x14ac:dyDescent="0.2"/>
  <cols>
    <col min="1" max="1" width="1.85546875" customWidth="1"/>
    <col min="2" max="2" width="3.85546875" customWidth="1"/>
    <col min="3" max="3" width="9.140625" style="19"/>
    <col min="4" max="4" width="2.42578125" customWidth="1"/>
    <col min="5" max="9" width="6.42578125" customWidth="1"/>
    <col min="11" max="11" width="10" bestFit="1" customWidth="1"/>
    <col min="12" max="12" width="3.5703125" customWidth="1"/>
    <col min="15" max="15" width="9.5703125" bestFit="1" customWidth="1"/>
    <col min="18" max="18" width="4.140625" customWidth="1"/>
    <col min="21" max="21" width="9.5703125" bestFit="1" customWidth="1"/>
    <col min="24" max="24" width="6.28515625" customWidth="1"/>
  </cols>
  <sheetData>
    <row r="1" spans="2:26" ht="13.5" thickBot="1" x14ac:dyDescent="0.25">
      <c r="E1" t="s">
        <v>48</v>
      </c>
      <c r="M1" t="s">
        <v>42</v>
      </c>
      <c r="S1" t="s">
        <v>43</v>
      </c>
      <c r="Y1" t="s">
        <v>45</v>
      </c>
    </row>
    <row r="2" spans="2:26" ht="13.5" thickBot="1" x14ac:dyDescent="0.25">
      <c r="B2" s="22" t="s">
        <v>30</v>
      </c>
      <c r="C2" s="44"/>
      <c r="E2" s="22"/>
      <c r="F2" s="37" t="s">
        <v>13</v>
      </c>
      <c r="G2" s="37" t="s">
        <v>14</v>
      </c>
      <c r="H2" s="37" t="s">
        <v>15</v>
      </c>
      <c r="I2" s="37" t="s">
        <v>16</v>
      </c>
      <c r="J2" s="23" t="s">
        <v>17</v>
      </c>
      <c r="K2" s="24" t="s">
        <v>44</v>
      </c>
      <c r="M2" s="36" t="s">
        <v>13</v>
      </c>
      <c r="N2" s="37" t="s">
        <v>37</v>
      </c>
      <c r="O2" s="37" t="s">
        <v>38</v>
      </c>
      <c r="P2" s="37" t="s">
        <v>39</v>
      </c>
      <c r="Q2" s="24" t="s">
        <v>40</v>
      </c>
      <c r="R2" s="1"/>
      <c r="S2" s="36" t="s">
        <v>13</v>
      </c>
      <c r="T2" s="37" t="s">
        <v>37</v>
      </c>
      <c r="U2" s="37" t="s">
        <v>38</v>
      </c>
      <c r="V2" s="37" t="s">
        <v>39</v>
      </c>
      <c r="W2" s="24" t="s">
        <v>40</v>
      </c>
      <c r="Y2" s="21" t="s">
        <v>30</v>
      </c>
    </row>
    <row r="3" spans="2:26" ht="14.25" x14ac:dyDescent="0.2">
      <c r="B3" s="25" t="s">
        <v>21</v>
      </c>
      <c r="C3" s="42">
        <f>+'Warmte emissie Stack '!D14</f>
        <v>285</v>
      </c>
      <c r="E3" s="25" t="s">
        <v>36</v>
      </c>
      <c r="F3" s="1"/>
      <c r="G3" s="1" t="s">
        <v>18</v>
      </c>
      <c r="H3" s="1" t="s">
        <v>19</v>
      </c>
      <c r="I3" s="1" t="s">
        <v>20</v>
      </c>
      <c r="J3" s="1" t="s">
        <v>6</v>
      </c>
      <c r="K3" s="27"/>
      <c r="M3" s="25"/>
      <c r="N3" s="26">
        <v>1E-3</v>
      </c>
      <c r="O3" s="26">
        <v>9.9999999999999995E-7</v>
      </c>
      <c r="P3" s="26">
        <v>1.0000000000000001E-9</v>
      </c>
      <c r="Q3" s="27"/>
      <c r="R3" s="1"/>
      <c r="S3" s="25"/>
      <c r="T3" s="26">
        <v>1E-3</v>
      </c>
      <c r="U3" s="26">
        <v>9.9999999999999995E-7</v>
      </c>
      <c r="V3" s="26">
        <v>1.0000000000000001E-9</v>
      </c>
      <c r="W3" s="27"/>
      <c r="Y3" s="33">
        <f>+W5-Q5</f>
        <v>620.79596471200011</v>
      </c>
      <c r="Z3" t="s">
        <v>40</v>
      </c>
    </row>
    <row r="4" spans="2:26" x14ac:dyDescent="0.2">
      <c r="B4" s="25" t="s">
        <v>22</v>
      </c>
      <c r="C4" s="42">
        <f>+'Warmte emissie Stack '!H25</f>
        <v>373</v>
      </c>
      <c r="E4" s="25" t="s">
        <v>2</v>
      </c>
      <c r="F4" s="1">
        <v>6.0949999999999998</v>
      </c>
      <c r="G4" s="1">
        <v>3.2530000000000001</v>
      </c>
      <c r="H4" s="1">
        <v>-1.0169999999999999</v>
      </c>
      <c r="I4" s="1">
        <v>0</v>
      </c>
      <c r="J4" s="1">
        <v>32</v>
      </c>
      <c r="K4" s="31">
        <v>4.1867999999999999</v>
      </c>
      <c r="M4" s="25">
        <f>+F4</f>
        <v>6.0949999999999998</v>
      </c>
      <c r="N4" s="1">
        <f>+G4/2</f>
        <v>1.6265000000000001</v>
      </c>
      <c r="O4" s="1">
        <f>+H4/3</f>
        <v>-0.33899999999999997</v>
      </c>
      <c r="P4" s="1">
        <f>+I4/4</f>
        <v>0</v>
      </c>
      <c r="Q4" s="27"/>
      <c r="R4" s="1"/>
      <c r="S4" s="25">
        <f>+M4</f>
        <v>6.0949999999999998</v>
      </c>
      <c r="T4" s="1">
        <f t="shared" ref="T4:V4" si="0">+N4</f>
        <v>1.6265000000000001</v>
      </c>
      <c r="U4" s="1">
        <f t="shared" si="0"/>
        <v>-0.33899999999999997</v>
      </c>
      <c r="V4" s="1">
        <f t="shared" si="0"/>
        <v>0</v>
      </c>
      <c r="W4" s="27"/>
      <c r="X4" t="s">
        <v>51</v>
      </c>
      <c r="Y4" s="34">
        <f>+Y3*K4/J4</f>
        <v>81.223392033006306</v>
      </c>
      <c r="Z4" t="s">
        <v>41</v>
      </c>
    </row>
    <row r="5" spans="2:26" ht="13.5" thickBot="1" x14ac:dyDescent="0.25">
      <c r="B5" s="28"/>
      <c r="C5" s="43"/>
      <c r="E5" s="28"/>
      <c r="F5" s="32"/>
      <c r="G5" s="32"/>
      <c r="H5" s="32"/>
      <c r="I5" s="32"/>
      <c r="J5" s="32"/>
      <c r="K5" s="30"/>
      <c r="M5" s="28">
        <f>+M4*$C3</f>
        <v>1737.0749999999998</v>
      </c>
      <c r="N5" s="29">
        <f>+N4*$C3^2*N3</f>
        <v>132.11246249999999</v>
      </c>
      <c r="O5" s="29">
        <f>+O4*$C3^3*O3</f>
        <v>-7.8475533749999986</v>
      </c>
      <c r="P5" s="29">
        <f>+P4*$C3^4*P3</f>
        <v>0</v>
      </c>
      <c r="Q5" s="41">
        <f>SUM(M5:P5)</f>
        <v>1861.3399091249998</v>
      </c>
      <c r="R5" s="1"/>
      <c r="S5" s="28">
        <f>+S4*$C4</f>
        <v>2273.4349999999999</v>
      </c>
      <c r="T5" s="29">
        <f>+T4*C4^2*T3</f>
        <v>226.2933185</v>
      </c>
      <c r="U5" s="29">
        <f>+U4*C4^3*U3</f>
        <v>-17.592444662999998</v>
      </c>
      <c r="V5" s="29">
        <f>+V4*C4^4*V3</f>
        <v>0</v>
      </c>
      <c r="W5" s="41">
        <f>SUM(S5:V5)</f>
        <v>2482.135873837</v>
      </c>
      <c r="Y5" s="35"/>
    </row>
    <row r="6" spans="2:26" ht="13.5" thickBot="1" x14ac:dyDescent="0.25"/>
    <row r="7" spans="2:26" ht="13.5" thickBot="1" x14ac:dyDescent="0.25">
      <c r="B7" s="45" t="s">
        <v>29</v>
      </c>
      <c r="C7" s="38"/>
      <c r="E7" s="22"/>
      <c r="F7" s="37" t="s">
        <v>13</v>
      </c>
      <c r="G7" s="37" t="s">
        <v>14</v>
      </c>
      <c r="H7" s="37" t="s">
        <v>15</v>
      </c>
      <c r="I7" s="37" t="s">
        <v>16</v>
      </c>
      <c r="J7" s="23" t="s">
        <v>17</v>
      </c>
      <c r="K7" s="24" t="s">
        <v>44</v>
      </c>
      <c r="M7" s="39" t="s">
        <v>13</v>
      </c>
      <c r="N7" s="37" t="s">
        <v>37</v>
      </c>
      <c r="O7" s="37" t="s">
        <v>38</v>
      </c>
      <c r="P7" s="37" t="s">
        <v>39</v>
      </c>
      <c r="Q7" s="24" t="s">
        <v>40</v>
      </c>
      <c r="R7" s="1"/>
      <c r="S7" s="36" t="s">
        <v>13</v>
      </c>
      <c r="T7" s="37" t="s">
        <v>37</v>
      </c>
      <c r="U7" s="37" t="s">
        <v>38</v>
      </c>
      <c r="V7" s="37" t="s">
        <v>39</v>
      </c>
      <c r="W7" s="24" t="s">
        <v>40</v>
      </c>
      <c r="Y7" s="21" t="s">
        <v>29</v>
      </c>
    </row>
    <row r="8" spans="2:26" ht="14.25" x14ac:dyDescent="0.2">
      <c r="B8" s="25" t="s">
        <v>21</v>
      </c>
      <c r="C8" s="42">
        <f>+C3</f>
        <v>285</v>
      </c>
      <c r="E8" s="25" t="s">
        <v>36</v>
      </c>
      <c r="F8" s="1"/>
      <c r="G8" s="1" t="s">
        <v>18</v>
      </c>
      <c r="H8" s="1" t="s">
        <v>19</v>
      </c>
      <c r="I8" s="1" t="s">
        <v>20</v>
      </c>
      <c r="J8" s="1" t="s">
        <v>6</v>
      </c>
      <c r="K8" s="27"/>
      <c r="M8" s="25"/>
      <c r="N8" s="26">
        <v>1E-3</v>
      </c>
      <c r="O8" s="26">
        <v>9.9999999999999995E-7</v>
      </c>
      <c r="P8" s="26">
        <v>1.0000000000000001E-9</v>
      </c>
      <c r="Q8" s="27"/>
      <c r="R8" s="1"/>
      <c r="S8" s="25"/>
      <c r="T8" s="26">
        <v>1E-3</v>
      </c>
      <c r="U8" s="26">
        <v>9.9999999999999995E-7</v>
      </c>
      <c r="V8" s="26">
        <v>1.0000000000000001E-9</v>
      </c>
      <c r="W8" s="27"/>
      <c r="Y8" s="33">
        <f>+W10-Q10</f>
        <v>607.64790881520003</v>
      </c>
      <c r="Z8" t="s">
        <v>40</v>
      </c>
    </row>
    <row r="9" spans="2:26" x14ac:dyDescent="0.2">
      <c r="B9" s="25" t="s">
        <v>22</v>
      </c>
      <c r="C9" s="42">
        <f>+C4</f>
        <v>373</v>
      </c>
      <c r="E9" s="25" t="s">
        <v>4</v>
      </c>
      <c r="F9" s="1">
        <v>6.4489999999999998</v>
      </c>
      <c r="G9" s="1">
        <v>1.413</v>
      </c>
      <c r="H9" s="1">
        <v>-8.0699999999999994E-2</v>
      </c>
      <c r="I9" s="1">
        <v>0</v>
      </c>
      <c r="J9" s="1">
        <v>28</v>
      </c>
      <c r="K9" s="31">
        <v>4.1867999999999999</v>
      </c>
      <c r="M9" s="25">
        <f>+F9</f>
        <v>6.4489999999999998</v>
      </c>
      <c r="N9" s="1">
        <f>+G9/2</f>
        <v>0.70650000000000002</v>
      </c>
      <c r="O9" s="1">
        <f>+H9/3</f>
        <v>-2.6899999999999997E-2</v>
      </c>
      <c r="P9" s="1">
        <f>+I9/4</f>
        <v>0</v>
      </c>
      <c r="Q9" s="27"/>
      <c r="R9" s="1"/>
      <c r="S9" s="25">
        <f>+M9</f>
        <v>6.4489999999999998</v>
      </c>
      <c r="T9" s="1">
        <f t="shared" ref="T9" si="1">+N9</f>
        <v>0.70650000000000002</v>
      </c>
      <c r="U9" s="1">
        <f t="shared" ref="U9" si="2">+O9</f>
        <v>-2.6899999999999997E-2</v>
      </c>
      <c r="V9" s="1">
        <f t="shared" ref="V9" si="3">+P9</f>
        <v>0</v>
      </c>
      <c r="W9" s="27"/>
      <c r="X9" t="s">
        <v>51</v>
      </c>
      <c r="Y9" s="34">
        <f>+Y8*K9/J9</f>
        <v>90.860723736695689</v>
      </c>
      <c r="Z9" t="s">
        <v>41</v>
      </c>
    </row>
    <row r="10" spans="2:26" ht="13.5" thickBot="1" x14ac:dyDescent="0.25">
      <c r="B10" s="28"/>
      <c r="C10" s="43"/>
      <c r="E10" s="28"/>
      <c r="F10" s="32"/>
      <c r="G10" s="32"/>
      <c r="H10" s="32"/>
      <c r="I10" s="32"/>
      <c r="J10" s="32"/>
      <c r="K10" s="30"/>
      <c r="M10" s="28">
        <f>+M9*$C8</f>
        <v>1837.9649999999999</v>
      </c>
      <c r="N10" s="29">
        <f>+N9*$C8^2*N8</f>
        <v>57.385462500000003</v>
      </c>
      <c r="O10" s="29">
        <f>+O9*$C8^3*O8</f>
        <v>-0.62271146249999987</v>
      </c>
      <c r="P10" s="29">
        <f>+P9*$C8^4*P8</f>
        <v>0</v>
      </c>
      <c r="Q10" s="41">
        <f>SUM(M10:P10)</f>
        <v>1894.7277510374997</v>
      </c>
      <c r="R10" s="1"/>
      <c r="S10" s="28">
        <f>+S9*$C9</f>
        <v>2405.4769999999999</v>
      </c>
      <c r="T10" s="29">
        <f>+T9*C9^2*T8</f>
        <v>98.294638500000005</v>
      </c>
      <c r="U10" s="29">
        <f>+U9*C9^3*U8</f>
        <v>-1.3959786472999998</v>
      </c>
      <c r="V10" s="29">
        <f>+V9*C9^4*V8</f>
        <v>0</v>
      </c>
      <c r="W10" s="41">
        <f>SUM(S10:V10)</f>
        <v>2502.3756598526998</v>
      </c>
      <c r="Y10" s="35"/>
    </row>
    <row r="11" spans="2:26" ht="13.5" thickBot="1" x14ac:dyDescent="0.25"/>
    <row r="12" spans="2:26" ht="13.5" thickBot="1" x14ac:dyDescent="0.25">
      <c r="B12" s="45" t="s">
        <v>27</v>
      </c>
      <c r="C12" s="38"/>
      <c r="E12" s="22"/>
      <c r="F12" s="37" t="s">
        <v>13</v>
      </c>
      <c r="G12" s="37" t="s">
        <v>14</v>
      </c>
      <c r="H12" s="37" t="s">
        <v>15</v>
      </c>
      <c r="I12" s="37" t="s">
        <v>16</v>
      </c>
      <c r="J12" s="23" t="s">
        <v>17</v>
      </c>
      <c r="K12" s="24" t="s">
        <v>44</v>
      </c>
      <c r="M12" s="36" t="s">
        <v>13</v>
      </c>
      <c r="N12" s="37" t="s">
        <v>37</v>
      </c>
      <c r="O12" s="37" t="s">
        <v>38</v>
      </c>
      <c r="P12" s="37" t="s">
        <v>39</v>
      </c>
      <c r="Q12" s="24" t="s">
        <v>40</v>
      </c>
      <c r="R12" s="1"/>
      <c r="S12" s="36" t="s">
        <v>13</v>
      </c>
      <c r="T12" s="37" t="s">
        <v>37</v>
      </c>
      <c r="U12" s="37" t="s">
        <v>38</v>
      </c>
      <c r="V12" s="37" t="s">
        <v>39</v>
      </c>
      <c r="W12" s="24" t="s">
        <v>40</v>
      </c>
      <c r="Y12" s="21" t="s">
        <v>27</v>
      </c>
    </row>
    <row r="13" spans="2:26" ht="14.25" x14ac:dyDescent="0.2">
      <c r="B13" s="25" t="s">
        <v>21</v>
      </c>
      <c r="C13" s="42">
        <f>+C8</f>
        <v>285</v>
      </c>
      <c r="E13" s="25" t="s">
        <v>36</v>
      </c>
      <c r="F13" s="1"/>
      <c r="G13" s="1" t="s">
        <v>18</v>
      </c>
      <c r="H13" s="1" t="s">
        <v>19</v>
      </c>
      <c r="I13" s="1" t="s">
        <v>20</v>
      </c>
      <c r="J13" s="1" t="s">
        <v>6</v>
      </c>
      <c r="K13" s="27"/>
      <c r="M13" s="25"/>
      <c r="N13" s="26">
        <v>1E-3</v>
      </c>
      <c r="O13" s="26">
        <v>9.9999999999999995E-7</v>
      </c>
      <c r="P13" s="26">
        <v>1.0000000000000001E-9</v>
      </c>
      <c r="Q13" s="27"/>
      <c r="R13" s="1"/>
      <c r="S13" s="25"/>
      <c r="T13" s="26">
        <v>1E-3</v>
      </c>
      <c r="U13" s="26">
        <v>9.9999999999999995E-7</v>
      </c>
      <c r="V13" s="26">
        <v>1.0000000000000001E-9</v>
      </c>
      <c r="W13" s="27"/>
      <c r="Y13" s="33">
        <f>+W15-Q15</f>
        <v>808.75604215375256</v>
      </c>
      <c r="Z13" t="s">
        <v>40</v>
      </c>
    </row>
    <row r="14" spans="2:26" x14ac:dyDescent="0.2">
      <c r="B14" s="25" t="s">
        <v>22</v>
      </c>
      <c r="C14" s="42">
        <f>+C9</f>
        <v>373</v>
      </c>
      <c r="E14" s="25" t="s">
        <v>3</v>
      </c>
      <c r="F14" s="1">
        <v>5.1520000000000001</v>
      </c>
      <c r="G14" s="1">
        <v>15.224</v>
      </c>
      <c r="H14" s="1">
        <v>-9.6809999999999992</v>
      </c>
      <c r="I14" s="1">
        <v>2.3130000000000002</v>
      </c>
      <c r="J14" s="1">
        <v>44</v>
      </c>
      <c r="K14" s="31">
        <v>4.1867999999999999</v>
      </c>
      <c r="M14" s="25">
        <f>+F14</f>
        <v>5.1520000000000001</v>
      </c>
      <c r="N14" s="1">
        <f>+G14/2</f>
        <v>7.6120000000000001</v>
      </c>
      <c r="O14" s="1">
        <f>+H14/3</f>
        <v>-3.2269999999999999</v>
      </c>
      <c r="P14" s="1">
        <f>+I14/4</f>
        <v>0.57825000000000004</v>
      </c>
      <c r="Q14" s="27"/>
      <c r="R14" s="1"/>
      <c r="S14" s="25">
        <f>+M14</f>
        <v>5.1520000000000001</v>
      </c>
      <c r="T14" s="1">
        <f t="shared" ref="T14" si="4">+N14</f>
        <v>7.6120000000000001</v>
      </c>
      <c r="U14" s="1">
        <f t="shared" ref="U14" si="5">+O14</f>
        <v>-3.2269999999999999</v>
      </c>
      <c r="V14" s="1">
        <f t="shared" ref="V14" si="6">+P14</f>
        <v>0.57825000000000004</v>
      </c>
      <c r="W14" s="27"/>
      <c r="X14" t="s">
        <v>51</v>
      </c>
      <c r="Y14" s="34">
        <f>+Y13*K14/J14</f>
        <v>76.956813574757518</v>
      </c>
      <c r="Z14" t="s">
        <v>41</v>
      </c>
    </row>
    <row r="15" spans="2:26" ht="13.5" thickBot="1" x14ac:dyDescent="0.25">
      <c r="B15" s="28"/>
      <c r="C15" s="43"/>
      <c r="E15" s="28"/>
      <c r="F15" s="32"/>
      <c r="G15" s="32"/>
      <c r="H15" s="32"/>
      <c r="I15" s="32"/>
      <c r="J15" s="32"/>
      <c r="K15" s="30"/>
      <c r="M15" s="28">
        <f>+M14*$C13</f>
        <v>1468.32</v>
      </c>
      <c r="N15" s="29">
        <f>+N14*$C13^2*N13</f>
        <v>618.28469999999993</v>
      </c>
      <c r="O15" s="29">
        <f>+O14*$C13^3*O13</f>
        <v>-74.702226374999995</v>
      </c>
      <c r="P15" s="29">
        <f>+P14*$C13^4*P13</f>
        <v>3.8150047364062507</v>
      </c>
      <c r="Q15" s="41">
        <f>SUM(M15:P15)</f>
        <v>2015.7174783614062</v>
      </c>
      <c r="R15" s="1"/>
      <c r="S15" s="28">
        <f>+S14*$C14</f>
        <v>1921.6960000000001</v>
      </c>
      <c r="T15" s="29">
        <f>+T14*C14^2*T13</f>
        <v>1059.0499480000001</v>
      </c>
      <c r="U15" s="29">
        <f>+U14*C14^3*U13</f>
        <v>-167.46554255899997</v>
      </c>
      <c r="V15" s="29">
        <f>+V14*C14^4*V13</f>
        <v>11.193115074158252</v>
      </c>
      <c r="W15" s="41">
        <f>SUM(S15:V15)</f>
        <v>2824.4735205151587</v>
      </c>
      <c r="Y15" s="35"/>
    </row>
    <row r="16" spans="2:26" ht="13.5" thickBot="1" x14ac:dyDescent="0.25"/>
    <row r="17" spans="2:26" ht="13.5" thickBot="1" x14ac:dyDescent="0.25">
      <c r="B17" s="22" t="s">
        <v>28</v>
      </c>
      <c r="C17" s="38"/>
      <c r="E17" s="22"/>
      <c r="F17" s="37" t="s">
        <v>13</v>
      </c>
      <c r="G17" s="37" t="s">
        <v>14</v>
      </c>
      <c r="H17" s="37" t="s">
        <v>15</v>
      </c>
      <c r="I17" s="37" t="s">
        <v>16</v>
      </c>
      <c r="J17" s="23" t="s">
        <v>17</v>
      </c>
      <c r="K17" s="24" t="s">
        <v>44</v>
      </c>
      <c r="M17" s="39" t="s">
        <v>13</v>
      </c>
      <c r="N17" s="37" t="s">
        <v>37</v>
      </c>
      <c r="O17" s="37" t="s">
        <v>38</v>
      </c>
      <c r="P17" s="37" t="s">
        <v>39</v>
      </c>
      <c r="Q17" s="24" t="s">
        <v>40</v>
      </c>
      <c r="R17" s="1"/>
      <c r="S17" s="36" t="s">
        <v>13</v>
      </c>
      <c r="T17" s="37" t="s">
        <v>37</v>
      </c>
      <c r="U17" s="37" t="s">
        <v>38</v>
      </c>
      <c r="V17" s="37" t="s">
        <v>39</v>
      </c>
      <c r="W17" s="24" t="s">
        <v>40</v>
      </c>
      <c r="Y17" s="21" t="s">
        <v>28</v>
      </c>
    </row>
    <row r="18" spans="2:26" ht="14.25" x14ac:dyDescent="0.2">
      <c r="B18" s="25" t="s">
        <v>21</v>
      </c>
      <c r="C18" s="42">
        <f>+C13</f>
        <v>285</v>
      </c>
      <c r="E18" s="25" t="s">
        <v>36</v>
      </c>
      <c r="F18" s="1"/>
      <c r="G18" s="1" t="s">
        <v>18</v>
      </c>
      <c r="H18" s="1" t="s">
        <v>19</v>
      </c>
      <c r="I18" s="1" t="s">
        <v>20</v>
      </c>
      <c r="J18" s="1" t="s">
        <v>6</v>
      </c>
      <c r="K18" s="27"/>
      <c r="M18" s="25"/>
      <c r="N18" s="26">
        <v>1E-3</v>
      </c>
      <c r="O18" s="26">
        <v>9.9999999999999995E-7</v>
      </c>
      <c r="P18" s="26">
        <v>1.0000000000000001E-9</v>
      </c>
      <c r="Q18" s="27"/>
      <c r="R18" s="1"/>
      <c r="S18" s="25"/>
      <c r="T18" s="26">
        <v>1E-3</v>
      </c>
      <c r="U18" s="26">
        <v>9.9999999999999995E-7</v>
      </c>
      <c r="V18" s="26">
        <v>1.0000000000000001E-9</v>
      </c>
      <c r="W18" s="27"/>
      <c r="Y18" s="33">
        <f>+W20-Q20</f>
        <v>706.56244128799972</v>
      </c>
      <c r="Z18" t="s">
        <v>40</v>
      </c>
    </row>
    <row r="19" spans="2:26" x14ac:dyDescent="0.2">
      <c r="B19" s="25" t="s">
        <v>22</v>
      </c>
      <c r="C19" s="42">
        <f>+C14</f>
        <v>373</v>
      </c>
      <c r="E19" s="25" t="s">
        <v>12</v>
      </c>
      <c r="F19" s="1">
        <v>7.2190000000000003</v>
      </c>
      <c r="G19" s="1">
        <v>2.3740000000000001</v>
      </c>
      <c r="H19" s="1">
        <v>0.26700000000000002</v>
      </c>
      <c r="I19" s="1">
        <v>0</v>
      </c>
      <c r="J19" s="1">
        <v>17</v>
      </c>
      <c r="K19" s="31">
        <v>4.1867999999999999</v>
      </c>
      <c r="M19" s="25">
        <f>+F19</f>
        <v>7.2190000000000003</v>
      </c>
      <c r="N19" s="1">
        <f>+G19/2</f>
        <v>1.1870000000000001</v>
      </c>
      <c r="O19" s="1">
        <f>+H19/3</f>
        <v>8.900000000000001E-2</v>
      </c>
      <c r="P19" s="1">
        <f>+I19/4</f>
        <v>0</v>
      </c>
      <c r="Q19" s="27"/>
      <c r="R19" s="1"/>
      <c r="S19" s="25">
        <f>+M19</f>
        <v>7.2190000000000003</v>
      </c>
      <c r="T19" s="1">
        <f t="shared" ref="T19" si="7">+N19</f>
        <v>1.1870000000000001</v>
      </c>
      <c r="U19" s="1">
        <f t="shared" ref="U19" si="8">+O19</f>
        <v>8.900000000000001E-2</v>
      </c>
      <c r="V19" s="1">
        <f t="shared" ref="V19" si="9">+P19</f>
        <v>0</v>
      </c>
      <c r="W19" s="27"/>
      <c r="X19" t="s">
        <v>51</v>
      </c>
      <c r="Y19" s="34">
        <f>+Y18*K19/J19</f>
        <v>174.01386054027043</v>
      </c>
      <c r="Z19" t="s">
        <v>41</v>
      </c>
    </row>
    <row r="20" spans="2:26" ht="13.5" thickBot="1" x14ac:dyDescent="0.25">
      <c r="B20" s="28"/>
      <c r="C20" s="43"/>
      <c r="E20" s="28"/>
      <c r="F20" s="32"/>
      <c r="G20" s="32"/>
      <c r="H20" s="32"/>
      <c r="I20" s="32"/>
      <c r="J20" s="32"/>
      <c r="K20" s="30"/>
      <c r="M20" s="28">
        <f>+M19*$C18</f>
        <v>2057.415</v>
      </c>
      <c r="N20" s="29">
        <f>+N19*$C18^2*N18</f>
        <v>96.414075000000011</v>
      </c>
      <c r="O20" s="29">
        <f>+O19*$C18^3*O18</f>
        <v>2.060272125</v>
      </c>
      <c r="P20" s="29">
        <f>+P19*$C18^4*P18</f>
        <v>0</v>
      </c>
      <c r="Q20" s="41">
        <f>SUM(M20:P20)</f>
        <v>2155.8893471250003</v>
      </c>
      <c r="R20" s="1"/>
      <c r="S20" s="28">
        <f>+S19*$C19</f>
        <v>2692.6869999999999</v>
      </c>
      <c r="T20" s="29">
        <f>+T19*C19^2*T18</f>
        <v>165.14612300000002</v>
      </c>
      <c r="U20" s="29">
        <f>+U19*C19^3*U18</f>
        <v>4.6186654130000004</v>
      </c>
      <c r="V20" s="29">
        <f>+V19*C19^4*V18</f>
        <v>0</v>
      </c>
      <c r="W20" s="41">
        <f>SUM(S20:V20)</f>
        <v>2862.451788413</v>
      </c>
      <c r="Y20" s="35"/>
    </row>
    <row r="21" spans="2:26" x14ac:dyDescent="0.2">
      <c r="C21" s="20"/>
      <c r="E21" s="1"/>
      <c r="F21" s="1"/>
      <c r="G21" s="1"/>
      <c r="H21" s="1"/>
      <c r="I21" s="1"/>
      <c r="J21" s="1"/>
      <c r="K21" s="1"/>
      <c r="M21" s="1"/>
      <c r="N21" s="26"/>
      <c r="O21" s="26"/>
      <c r="P21" s="26"/>
      <c r="Q21" s="1"/>
      <c r="R21" s="1"/>
      <c r="S21" s="1"/>
      <c r="T21" s="26"/>
      <c r="U21" s="26"/>
      <c r="V21" s="26"/>
      <c r="W21" s="1"/>
      <c r="Y21" s="40"/>
    </row>
    <row r="22" spans="2:26" x14ac:dyDescent="0.2">
      <c r="C22" s="5" t="s">
        <v>1</v>
      </c>
    </row>
  </sheetData>
  <sheetProtection password="CCE3" sheet="1" objects="1" scenarios="1" selectLockedCells="1" selectUnlockedCells="1"/>
  <hyperlinks>
    <hyperlink ref="C22" r:id="rId1"/>
  </hyperlinks>
  <pageMargins left="0.7" right="0.7" top="0.75" bottom="0.75" header="0.3" footer="0.3"/>
  <pageSetup paperSize="9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Warmte emissie Stack </vt:lpstr>
      <vt:lpstr>Toelichting</vt:lpstr>
      <vt:lpstr>Cp gem</vt:lpstr>
    </vt:vector>
  </TitlesOfParts>
  <Company>Omgevingsdienst Groningen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Brinkman, H.</dc:creator>
  <cp:lastModifiedBy>Langezaal, Christiaan (WVL)</cp:lastModifiedBy>
  <cp:lastPrinted>2018-06-28T06:53:32Z</cp:lastPrinted>
  <dcterms:created xsi:type="dcterms:W3CDTF">2018-05-23T14:02:09Z</dcterms:created>
  <dcterms:modified xsi:type="dcterms:W3CDTF">2018-10-30T09:11:37Z</dcterms:modified>
</cp:coreProperties>
</file>