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omments1.xml" ContentType="application/vnd.openxmlformats-officedocument.spreadsheetml.comments+xml"/>
  <Override PartName="/xl/tables/table1.xml" ContentType="application/vnd.openxmlformats-officedocument.spreadsheetml.table+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defaultThemeVersion="124226"/>
  <mc:AlternateContent xmlns:mc="http://schemas.openxmlformats.org/markup-compatibility/2006">
    <mc:Choice Requires="x15">
      <x15ac:absPath xmlns:x15ac="http://schemas.microsoft.com/office/spreadsheetml/2010/11/ac" url="https://wageningenur4-my.sharepoint.com/personal/hassan_pishgarkomleh_wur_nl/Documents/75- LVVN Izak model/Models 2026/Veerekn model July 2026/"/>
    </mc:Choice>
  </mc:AlternateContent>
  <xr:revisionPtr revIDLastSave="1475" documentId="13_ncr:1_{07AF0188-B80D-4DB1-BDFA-8777626954BC}" xr6:coauthVersionLast="47" xr6:coauthVersionMax="47" xr10:uidLastSave="{474F407C-2968-4F6E-ACE4-9915B7C23A65}"/>
  <bookViews>
    <workbookView xWindow="28680" yWindow="855" windowWidth="29040" windowHeight="15720" tabRatio="632" xr2:uid="{00000000-000D-0000-FFFF-FFFF00000000}"/>
  </bookViews>
  <sheets>
    <sheet name="LEGPLUIMVEE" sheetId="18" r:id="rId1"/>
    <sheet name="Staltechniek" sheetId="19" state="hidden" r:id="rId2"/>
    <sheet name="legh WW+droogt" sheetId="11" state="hidden" r:id="rId3"/>
    <sheet name="Max waarden" sheetId="15" state="hidden" r:id="rId4"/>
    <sheet name="Reductietechnieken" sheetId="14" state="hidden" r:id="rId5"/>
  </sheets>
  <definedNames>
    <definedName name="_xlnm.Print_Area" localSheetId="0">LEGPLUIMVEE!$E$1:$Q$50</definedName>
    <definedName name="StalTechDropdown">Staltechniek[Staltechniek]</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4" i="11" l="1"/>
  <c r="M19" i="18" l="1"/>
  <c r="M14" i="18"/>
  <c r="J20" i="18"/>
  <c r="J13" i="18"/>
  <c r="M13" i="18"/>
  <c r="L24" i="18"/>
  <c r="E25" i="18" l="1"/>
  <c r="E28" i="18" s="1"/>
  <c r="C7" i="19" l="1"/>
  <c r="T13" i="11"/>
  <c r="H19" i="18"/>
  <c r="H10" i="18"/>
  <c r="U13" i="11" l="1"/>
  <c r="T12" i="11" l="1"/>
  <c r="K19" i="11"/>
  <c r="K20" i="11"/>
  <c r="K21" i="11"/>
  <c r="L4" i="11" l="1"/>
  <c r="K41" i="11" l="1"/>
  <c r="J8" i="11" l="1"/>
  <c r="I3" i="11" l="1"/>
  <c r="B6" i="15" l="1"/>
  <c r="B7" i="15" l="1"/>
  <c r="I2" i="11" s="1"/>
  <c r="J30" i="18" s="1"/>
  <c r="C7" i="15"/>
  <c r="C71" i="11" l="1"/>
  <c r="C67" i="11"/>
  <c r="C63" i="11"/>
  <c r="C59" i="11"/>
  <c r="C70" i="11"/>
  <c r="C66" i="11"/>
  <c r="C62" i="11"/>
  <c r="C69" i="11"/>
  <c r="C65" i="11"/>
  <c r="C61" i="11"/>
  <c r="C57" i="11"/>
  <c r="C68" i="11"/>
  <c r="C64" i="11"/>
  <c r="C60" i="11"/>
  <c r="C56" i="11"/>
  <c r="C58" i="11"/>
  <c r="D41" i="18" l="1"/>
  <c r="D39" i="18"/>
  <c r="G11" i="11" l="1"/>
  <c r="J10" i="11" l="1"/>
  <c r="J9" i="11" l="1"/>
  <c r="D10" i="18" l="1"/>
  <c r="I8" i="11" l="1"/>
  <c r="M47" i="11" s="1"/>
  <c r="M16" i="11" l="1"/>
  <c r="M41" i="11"/>
  <c r="H14" i="11"/>
  <c r="C40" i="11" l="1"/>
  <c r="K40" i="11" l="1"/>
  <c r="M40" i="11"/>
  <c r="E16" i="11"/>
  <c r="AJ3" i="11"/>
  <c r="J73" i="11"/>
  <c r="P16" i="11" l="1"/>
  <c r="E18" i="11"/>
  <c r="E22" i="11"/>
  <c r="E26" i="11"/>
  <c r="E30" i="11"/>
  <c r="E34" i="11"/>
  <c r="E38" i="11"/>
  <c r="E42" i="11"/>
  <c r="E46" i="11"/>
  <c r="E50" i="11"/>
  <c r="E54" i="11"/>
  <c r="E58" i="11"/>
  <c r="E62" i="11"/>
  <c r="E66" i="11"/>
  <c r="E70" i="11"/>
  <c r="E20" i="11"/>
  <c r="E24" i="11"/>
  <c r="E28" i="11"/>
  <c r="E32" i="11"/>
  <c r="E36" i="11"/>
  <c r="E40" i="11"/>
  <c r="E44" i="11"/>
  <c r="E48" i="11"/>
  <c r="E52" i="11"/>
  <c r="E56" i="11"/>
  <c r="E60" i="11"/>
  <c r="E64" i="11"/>
  <c r="E68" i="11"/>
  <c r="E17" i="11"/>
  <c r="E21" i="11"/>
  <c r="E25" i="11"/>
  <c r="E29" i="11"/>
  <c r="E33" i="11"/>
  <c r="E37" i="11"/>
  <c r="E41" i="11"/>
  <c r="E45" i="11"/>
  <c r="E49" i="11"/>
  <c r="E53" i="11"/>
  <c r="E57" i="11"/>
  <c r="E61" i="11"/>
  <c r="E65" i="11"/>
  <c r="E69" i="11"/>
  <c r="E19" i="11"/>
  <c r="E23" i="11"/>
  <c r="E27" i="11"/>
  <c r="E31" i="11"/>
  <c r="E35" i="11"/>
  <c r="E39" i="11"/>
  <c r="E43" i="11"/>
  <c r="E47" i="11"/>
  <c r="E51" i="11"/>
  <c r="E55" i="11"/>
  <c r="E59" i="11"/>
  <c r="E63" i="11"/>
  <c r="E67" i="11"/>
  <c r="E71" i="11"/>
  <c r="D14" i="11"/>
  <c r="P52" i="11" l="1"/>
  <c r="P48" i="11"/>
  <c r="P53" i="11"/>
  <c r="P49" i="11"/>
  <c r="P55" i="11"/>
  <c r="P51" i="11"/>
  <c r="P54" i="11"/>
  <c r="P46" i="11"/>
  <c r="P47" i="11"/>
  <c r="P50" i="11"/>
  <c r="P40" i="11"/>
  <c r="P41" i="11"/>
  <c r="I1" i="11"/>
  <c r="Q41" i="11" l="1"/>
  <c r="Q40" i="11"/>
  <c r="I17" i="18" l="1"/>
  <c r="C54" i="14" l="1"/>
  <c r="E6" i="18" l="1"/>
  <c r="K71" i="11" l="1"/>
  <c r="K70" i="11"/>
  <c r="P70" i="11" s="1"/>
  <c r="K69" i="11"/>
  <c r="P69" i="11" s="1"/>
  <c r="K68" i="11"/>
  <c r="P68" i="11" s="1"/>
  <c r="K67" i="11"/>
  <c r="P67" i="11" s="1"/>
  <c r="K66" i="11"/>
  <c r="P66" i="11" s="1"/>
  <c r="K65" i="11"/>
  <c r="P65" i="11" s="1"/>
  <c r="K64" i="11"/>
  <c r="P64" i="11" s="1"/>
  <c r="K63" i="11"/>
  <c r="K62" i="11"/>
  <c r="P62" i="11" s="1"/>
  <c r="K61" i="11"/>
  <c r="P61" i="11" s="1"/>
  <c r="K60" i="11"/>
  <c r="P60" i="11" s="1"/>
  <c r="K59" i="11"/>
  <c r="P59" i="11" s="1"/>
  <c r="K58" i="11"/>
  <c r="P58" i="11" s="1"/>
  <c r="K57" i="11"/>
  <c r="P57" i="11" s="1"/>
  <c r="K56" i="11"/>
  <c r="P56" i="11" s="1"/>
  <c r="K55" i="11"/>
  <c r="K54" i="11"/>
  <c r="K53" i="11"/>
  <c r="K52" i="11"/>
  <c r="K51" i="11"/>
  <c r="K50" i="11"/>
  <c r="K49" i="11"/>
  <c r="K48" i="11"/>
  <c r="K47" i="11"/>
  <c r="K46" i="11"/>
  <c r="K45" i="11"/>
  <c r="P45" i="11" s="1"/>
  <c r="K44" i="11"/>
  <c r="P44" i="11" s="1"/>
  <c r="K43" i="11"/>
  <c r="P43" i="11" s="1"/>
  <c r="K42" i="11"/>
  <c r="P42" i="11" s="1"/>
  <c r="K39" i="11"/>
  <c r="K38" i="11"/>
  <c r="P38" i="11" s="1"/>
  <c r="K37" i="11"/>
  <c r="P37" i="11" s="1"/>
  <c r="K36" i="11"/>
  <c r="P36" i="11" s="1"/>
  <c r="K35" i="11"/>
  <c r="P35" i="11" s="1"/>
  <c r="K34" i="11"/>
  <c r="P34" i="11" s="1"/>
  <c r="K33" i="11"/>
  <c r="P33" i="11" s="1"/>
  <c r="K32" i="11"/>
  <c r="P32" i="11" s="1"/>
  <c r="K31" i="11"/>
  <c r="P31" i="11" s="1"/>
  <c r="K30" i="11"/>
  <c r="P30" i="11" s="1"/>
  <c r="K29" i="11"/>
  <c r="P29" i="11" s="1"/>
  <c r="K28" i="11"/>
  <c r="P28" i="11" s="1"/>
  <c r="K27" i="11"/>
  <c r="P27" i="11" s="1"/>
  <c r="K26" i="11"/>
  <c r="P26" i="11" s="1"/>
  <c r="K25" i="11"/>
  <c r="P25" i="11" s="1"/>
  <c r="K24" i="11"/>
  <c r="P24" i="11" s="1"/>
  <c r="K23" i="11"/>
  <c r="P23" i="11" s="1"/>
  <c r="K22" i="11"/>
  <c r="P22" i="11" s="1"/>
  <c r="P21" i="11"/>
  <c r="P20" i="11"/>
  <c r="P19" i="11"/>
  <c r="K18" i="11"/>
  <c r="P18" i="11" s="1"/>
  <c r="K17" i="11"/>
  <c r="P17" i="11" s="1"/>
  <c r="K16" i="11"/>
  <c r="K76" i="11" l="1"/>
  <c r="P63" i="11"/>
  <c r="P71" i="11"/>
  <c r="P39" i="11"/>
  <c r="K73" i="11"/>
  <c r="K77" i="11" l="1"/>
  <c r="Q39" i="11"/>
  <c r="L41" i="11"/>
  <c r="L40" i="11"/>
  <c r="K74" i="11"/>
  <c r="L16" i="11"/>
  <c r="L24" i="11"/>
  <c r="L32" i="11"/>
  <c r="L52" i="11"/>
  <c r="L64" i="11"/>
  <c r="L57" i="11"/>
  <c r="L69" i="11"/>
  <c r="L17" i="11"/>
  <c r="L21" i="11"/>
  <c r="L25" i="11"/>
  <c r="L29" i="11"/>
  <c r="L33" i="11"/>
  <c r="L37" i="11"/>
  <c r="L45" i="11"/>
  <c r="L49" i="11"/>
  <c r="L53" i="11"/>
  <c r="L65" i="11"/>
  <c r="L18" i="11"/>
  <c r="L22" i="11"/>
  <c r="L26" i="11"/>
  <c r="L30" i="11"/>
  <c r="L34" i="11"/>
  <c r="L38" i="11"/>
  <c r="L42" i="11"/>
  <c r="L46" i="11"/>
  <c r="L50" i="11"/>
  <c r="L54" i="11"/>
  <c r="L58" i="11"/>
  <c r="L62" i="11"/>
  <c r="L66" i="11"/>
  <c r="L70" i="11"/>
  <c r="L19" i="11"/>
  <c r="L23" i="11"/>
  <c r="L27" i="11"/>
  <c r="L31" i="11"/>
  <c r="L35" i="11"/>
  <c r="L39" i="11"/>
  <c r="L43" i="11"/>
  <c r="L47" i="11"/>
  <c r="L51" i="11"/>
  <c r="L55" i="11"/>
  <c r="L59" i="11"/>
  <c r="L63" i="11"/>
  <c r="L67" i="11"/>
  <c r="L71" i="11"/>
  <c r="L20" i="11"/>
  <c r="L28" i="11"/>
  <c r="L36" i="11"/>
  <c r="L44" i="11"/>
  <c r="L48" i="11"/>
  <c r="L56" i="11"/>
  <c r="L60" i="11"/>
  <c r="L68" i="11"/>
  <c r="L61" i="11"/>
  <c r="M70" i="11" l="1"/>
  <c r="AR68" i="11"/>
  <c r="M66" i="11"/>
  <c r="AR64" i="11"/>
  <c r="M62" i="11"/>
  <c r="AR60" i="11"/>
  <c r="M58" i="11"/>
  <c r="AR56" i="11"/>
  <c r="M54" i="11"/>
  <c r="AR52" i="11"/>
  <c r="M50" i="11"/>
  <c r="AR48" i="11"/>
  <c r="M46" i="11"/>
  <c r="AR44" i="11"/>
  <c r="AR16" i="11"/>
  <c r="M68" i="11"/>
  <c r="AR66" i="11"/>
  <c r="M64" i="11"/>
  <c r="AR62" i="11"/>
  <c r="M60" i="11"/>
  <c r="AR54" i="11"/>
  <c r="AR50" i="11"/>
  <c r="M48" i="11"/>
  <c r="M71" i="11"/>
  <c r="AR69" i="11"/>
  <c r="M63" i="11"/>
  <c r="AR71" i="11"/>
  <c r="M69" i="11"/>
  <c r="AR67" i="11"/>
  <c r="M65" i="11"/>
  <c r="AR63" i="11"/>
  <c r="M61" i="11"/>
  <c r="AR59" i="11"/>
  <c r="M57" i="11"/>
  <c r="AR55" i="11"/>
  <c r="M53" i="11"/>
  <c r="AR51" i="11"/>
  <c r="M49" i="11"/>
  <c r="AR47" i="11"/>
  <c r="M45" i="11"/>
  <c r="AR43" i="11"/>
  <c r="AR42" i="11"/>
  <c r="AR41" i="11"/>
  <c r="AR40" i="11"/>
  <c r="AR39" i="11"/>
  <c r="AR38" i="11"/>
  <c r="AR37" i="11"/>
  <c r="AR36" i="11"/>
  <c r="AR35" i="11"/>
  <c r="AR34" i="11"/>
  <c r="AR33" i="11"/>
  <c r="AR32" i="11"/>
  <c r="AR31" i="11"/>
  <c r="AR30" i="11"/>
  <c r="AR29" i="11"/>
  <c r="AR28" i="11"/>
  <c r="AR27" i="11"/>
  <c r="AR26" i="11"/>
  <c r="AR25" i="11"/>
  <c r="AR24" i="11"/>
  <c r="AR23" i="11"/>
  <c r="AR22" i="11"/>
  <c r="AR21" i="11"/>
  <c r="AR20" i="11"/>
  <c r="AR19" i="11"/>
  <c r="AR18" i="11"/>
  <c r="AR17" i="11"/>
  <c r="AR70" i="11"/>
  <c r="AR58" i="11"/>
  <c r="M56" i="11"/>
  <c r="M52" i="11"/>
  <c r="AR46" i="11"/>
  <c r="M44" i="11"/>
  <c r="M67" i="11"/>
  <c r="AR65" i="11"/>
  <c r="M38" i="11"/>
  <c r="M22" i="11"/>
  <c r="M18" i="11"/>
  <c r="AR61" i="11"/>
  <c r="AR57" i="11"/>
  <c r="AR53" i="11"/>
  <c r="AR49" i="11"/>
  <c r="AR45" i="11"/>
  <c r="M35" i="11"/>
  <c r="M29" i="11"/>
  <c r="M21" i="11"/>
  <c r="M17" i="11"/>
  <c r="M42" i="11"/>
  <c r="M36" i="11"/>
  <c r="M34" i="11"/>
  <c r="M32" i="11"/>
  <c r="M30" i="11"/>
  <c r="M28" i="11"/>
  <c r="M26" i="11"/>
  <c r="M24" i="11"/>
  <c r="M20" i="11"/>
  <c r="M59" i="11"/>
  <c r="M55" i="11"/>
  <c r="M51" i="11"/>
  <c r="M43" i="11"/>
  <c r="M39" i="11"/>
  <c r="M37" i="11"/>
  <c r="M33" i="11"/>
  <c r="M31" i="11"/>
  <c r="M27" i="11"/>
  <c r="M25" i="11"/>
  <c r="M23" i="11"/>
  <c r="M19" i="11"/>
  <c r="M73" i="11" l="1"/>
  <c r="M74" i="11" s="1"/>
  <c r="D25" i="14" l="1"/>
  <c r="D24" i="14"/>
  <c r="D23" i="14"/>
  <c r="D22" i="14"/>
  <c r="D21" i="14"/>
  <c r="D20" i="14"/>
  <c r="D19" i="14"/>
  <c r="D18" i="14"/>
  <c r="S2" i="14" s="1"/>
  <c r="D17" i="14"/>
  <c r="D16" i="14"/>
  <c r="Q2" i="14" s="1"/>
  <c r="D15" i="14"/>
  <c r="D14" i="14"/>
  <c r="D13" i="14"/>
  <c r="D12" i="14"/>
  <c r="D11" i="14"/>
  <c r="D10" i="14"/>
  <c r="D9" i="14"/>
  <c r="D8" i="14"/>
  <c r="I2" i="14" s="1"/>
  <c r="D6" i="14"/>
  <c r="D5" i="14"/>
  <c r="G2" i="14" s="1"/>
  <c r="D4" i="14"/>
  <c r="F2" i="14" s="1"/>
  <c r="D3" i="14"/>
  <c r="Q3" i="14" s="1"/>
  <c r="U2" i="14"/>
  <c r="U20" i="14" s="1"/>
  <c r="O2" i="14"/>
  <c r="J2" i="14"/>
  <c r="P2" i="14" l="1"/>
  <c r="I15" i="14"/>
  <c r="P14" i="14"/>
  <c r="J24" i="14"/>
  <c r="G21" i="14"/>
  <c r="E2" i="14"/>
  <c r="E6" i="14" s="1"/>
  <c r="Q16" i="14"/>
  <c r="Q4" i="14"/>
  <c r="U12" i="14"/>
  <c r="U23" i="14"/>
  <c r="G9" i="14"/>
  <c r="Q24" i="14"/>
  <c r="F3" i="14"/>
  <c r="G5" i="14"/>
  <c r="J4" i="14"/>
  <c r="Q11" i="14"/>
  <c r="F19" i="14"/>
  <c r="Q22" i="14"/>
  <c r="P6" i="14"/>
  <c r="J9" i="14"/>
  <c r="J15" i="14"/>
  <c r="F16" i="14"/>
  <c r="F20" i="14"/>
  <c r="L2" i="14"/>
  <c r="L6" i="14" s="1"/>
  <c r="W2" i="14"/>
  <c r="W6" i="14" s="1"/>
  <c r="U4" i="14"/>
  <c r="G6" i="14"/>
  <c r="Q6" i="14"/>
  <c r="Q9" i="14"/>
  <c r="F11" i="14"/>
  <c r="F12" i="14"/>
  <c r="G13" i="14"/>
  <c r="U14" i="14"/>
  <c r="J20" i="14"/>
  <c r="F24" i="14"/>
  <c r="H2" i="14"/>
  <c r="H4" i="14" s="1"/>
  <c r="M2" i="14"/>
  <c r="M14" i="14" s="1"/>
  <c r="X2" i="14"/>
  <c r="X22" i="14" s="1"/>
  <c r="F4" i="14"/>
  <c r="U6" i="14"/>
  <c r="F9" i="14"/>
  <c r="J12" i="14"/>
  <c r="U15" i="14"/>
  <c r="Q19" i="14"/>
  <c r="P22" i="14"/>
  <c r="J23" i="14"/>
  <c r="G24" i="14"/>
  <c r="T2" i="14"/>
  <c r="T15" i="14" s="1"/>
  <c r="Y2" i="14"/>
  <c r="Y20" i="14" s="1"/>
  <c r="I24" i="14"/>
  <c r="I16" i="14"/>
  <c r="S24" i="14"/>
  <c r="S22" i="14"/>
  <c r="S16" i="14"/>
  <c r="S14" i="14"/>
  <c r="I4" i="14"/>
  <c r="S4" i="14"/>
  <c r="S8" i="14"/>
  <c r="O8" i="14"/>
  <c r="G8" i="14"/>
  <c r="I8" i="14"/>
  <c r="Q10" i="14"/>
  <c r="I10" i="14"/>
  <c r="U10" i="14"/>
  <c r="P10" i="14"/>
  <c r="J10" i="14"/>
  <c r="S10" i="14"/>
  <c r="I12" i="14"/>
  <c r="S12" i="14"/>
  <c r="I18" i="14"/>
  <c r="U25" i="14"/>
  <c r="Q25" i="14"/>
  <c r="I25" i="14"/>
  <c r="S25" i="14"/>
  <c r="Z2" i="14"/>
  <c r="Z8" i="14" s="1"/>
  <c r="G25" i="14"/>
  <c r="O25" i="14"/>
  <c r="O24" i="14"/>
  <c r="O16" i="14"/>
  <c r="O4" i="14"/>
  <c r="S5" i="14"/>
  <c r="J8" i="14"/>
  <c r="P8" i="14"/>
  <c r="U8" i="14"/>
  <c r="F10" i="14"/>
  <c r="U17" i="14"/>
  <c r="Q17" i="14"/>
  <c r="I17" i="14"/>
  <c r="S17" i="14"/>
  <c r="R2" i="14"/>
  <c r="R22" i="14" s="1"/>
  <c r="G17" i="14"/>
  <c r="O17" i="14"/>
  <c r="S21" i="14"/>
  <c r="S23" i="14"/>
  <c r="O23" i="14"/>
  <c r="G23" i="14"/>
  <c r="Q23" i="14"/>
  <c r="F23" i="14"/>
  <c r="F25" i="14"/>
  <c r="P25" i="14"/>
  <c r="G20" i="14"/>
  <c r="G12" i="14"/>
  <c r="K2" i="14"/>
  <c r="K5" i="14" s="1"/>
  <c r="U24" i="14"/>
  <c r="U16" i="14"/>
  <c r="S3" i="14"/>
  <c r="O3" i="14"/>
  <c r="G3" i="14"/>
  <c r="I3" i="14"/>
  <c r="U5" i="14"/>
  <c r="Q5" i="14"/>
  <c r="I5" i="14"/>
  <c r="J5" i="14"/>
  <c r="O5" i="14"/>
  <c r="S6" i="14"/>
  <c r="F8" i="14"/>
  <c r="Q8" i="14"/>
  <c r="I9" i="14"/>
  <c r="S9" i="14"/>
  <c r="G10" i="14"/>
  <c r="S13" i="14"/>
  <c r="S15" i="14"/>
  <c r="O15" i="14"/>
  <c r="G15" i="14"/>
  <c r="Q15" i="14"/>
  <c r="F15" i="14"/>
  <c r="G16" i="14"/>
  <c r="F17" i="14"/>
  <c r="P17" i="14"/>
  <c r="J18" i="14"/>
  <c r="F18" i="14"/>
  <c r="Q18" i="14"/>
  <c r="G18" i="14"/>
  <c r="U18" i="14"/>
  <c r="P18" i="14"/>
  <c r="O18" i="14"/>
  <c r="O20" i="14"/>
  <c r="G22" i="14"/>
  <c r="P23" i="14"/>
  <c r="J25" i="14"/>
  <c r="Q20" i="14"/>
  <c r="Q12" i="14"/>
  <c r="J3" i="14"/>
  <c r="P3" i="14"/>
  <c r="U3" i="14"/>
  <c r="G4" i="14"/>
  <c r="W4" i="14"/>
  <c r="F5" i="14"/>
  <c r="P5" i="14"/>
  <c r="J6" i="14"/>
  <c r="F6" i="14"/>
  <c r="I6" i="14"/>
  <c r="O6" i="14"/>
  <c r="O9" i="14"/>
  <c r="U9" i="14"/>
  <c r="O10" i="14"/>
  <c r="O12" i="14"/>
  <c r="G14" i="14"/>
  <c r="Q14" i="14"/>
  <c r="P15" i="14"/>
  <c r="J17" i="14"/>
  <c r="S18" i="14"/>
  <c r="I20" i="14"/>
  <c r="S20" i="14"/>
  <c r="U22" i="14"/>
  <c r="I23" i="14"/>
  <c r="W24" i="14"/>
  <c r="S11" i="14"/>
  <c r="O11" i="14"/>
  <c r="G11" i="14"/>
  <c r="I11" i="14"/>
  <c r="U13" i="14"/>
  <c r="Q13" i="14"/>
  <c r="I13" i="14"/>
  <c r="J13" i="14"/>
  <c r="O13" i="14"/>
  <c r="S19" i="14"/>
  <c r="O19" i="14"/>
  <c r="G19" i="14"/>
  <c r="I19" i="14"/>
  <c r="U21" i="14"/>
  <c r="Q21" i="14"/>
  <c r="I21" i="14"/>
  <c r="J21" i="14"/>
  <c r="O21" i="14"/>
  <c r="N2" i="14"/>
  <c r="N8" i="14" s="1"/>
  <c r="V2" i="14"/>
  <c r="P4" i="14"/>
  <c r="P9" i="14"/>
  <c r="J11" i="14"/>
  <c r="P11" i="14"/>
  <c r="U11" i="14"/>
  <c r="F13" i="14"/>
  <c r="P13" i="14"/>
  <c r="J14" i="14"/>
  <c r="F14" i="14"/>
  <c r="I14" i="14"/>
  <c r="O14" i="14"/>
  <c r="J16" i="14"/>
  <c r="J19" i="14"/>
  <c r="P19" i="14"/>
  <c r="U19" i="14"/>
  <c r="F21" i="14"/>
  <c r="P21" i="14"/>
  <c r="J22" i="14"/>
  <c r="F22" i="14"/>
  <c r="I22" i="14"/>
  <c r="O22" i="14"/>
  <c r="P12" i="14"/>
  <c r="P16" i="14"/>
  <c r="P20" i="14"/>
  <c r="P24" i="14"/>
  <c r="H15" i="14" l="1"/>
  <c r="H20" i="14"/>
  <c r="H6" i="14"/>
  <c r="E17" i="14"/>
  <c r="W12" i="14"/>
  <c r="E5" i="14"/>
  <c r="E22" i="14"/>
  <c r="W17" i="14"/>
  <c r="E12" i="14"/>
  <c r="Y17" i="14"/>
  <c r="W20" i="14"/>
  <c r="W18" i="14"/>
  <c r="W15" i="14"/>
  <c r="E16" i="14"/>
  <c r="H14" i="14"/>
  <c r="H25" i="14"/>
  <c r="H24" i="14"/>
  <c r="Z3" i="14"/>
  <c r="E11" i="14"/>
  <c r="E13" i="14"/>
  <c r="E19" i="14"/>
  <c r="W10" i="14"/>
  <c r="T9" i="14"/>
  <c r="E21" i="14"/>
  <c r="T13" i="14"/>
  <c r="E15" i="14"/>
  <c r="E9" i="14"/>
  <c r="E14" i="14"/>
  <c r="W3" i="14"/>
  <c r="E20" i="14"/>
  <c r="E4" i="14"/>
  <c r="E25" i="14"/>
  <c r="E10" i="14"/>
  <c r="W8" i="14"/>
  <c r="M22" i="14"/>
  <c r="E24" i="14"/>
  <c r="H12" i="14"/>
  <c r="T14" i="14"/>
  <c r="T21" i="14"/>
  <c r="H18" i="14"/>
  <c r="H10" i="14"/>
  <c r="E3" i="14"/>
  <c r="E23" i="14"/>
  <c r="E18" i="14"/>
  <c r="L18" i="14"/>
  <c r="M5" i="14"/>
  <c r="W23" i="14"/>
  <c r="H17" i="14"/>
  <c r="M9" i="14"/>
  <c r="E8" i="14"/>
  <c r="H11" i="14"/>
  <c r="W22" i="14"/>
  <c r="L16" i="14"/>
  <c r="R14" i="14"/>
  <c r="L4" i="14"/>
  <c r="L11" i="14"/>
  <c r="R18" i="14"/>
  <c r="Y15" i="14"/>
  <c r="L8" i="14"/>
  <c r="L23" i="14"/>
  <c r="L22" i="14"/>
  <c r="L20" i="14"/>
  <c r="L9" i="14"/>
  <c r="T17" i="14"/>
  <c r="L17" i="14"/>
  <c r="Y16" i="14"/>
  <c r="X13" i="14"/>
  <c r="L24" i="14"/>
  <c r="L12" i="14"/>
  <c r="T4" i="14"/>
  <c r="Y21" i="14"/>
  <c r="T6" i="14"/>
  <c r="L15" i="14"/>
  <c r="T3" i="14"/>
  <c r="X23" i="14"/>
  <c r="X18" i="14"/>
  <c r="X17" i="14"/>
  <c r="L25" i="14"/>
  <c r="X20" i="14"/>
  <c r="L10" i="14"/>
  <c r="X5" i="14"/>
  <c r="X3" i="14"/>
  <c r="X4" i="14"/>
  <c r="X24" i="14"/>
  <c r="X19" i="14"/>
  <c r="X8" i="14"/>
  <c r="X15" i="14"/>
  <c r="X10" i="14"/>
  <c r="X9" i="14"/>
  <c r="X6" i="14"/>
  <c r="X12" i="14"/>
  <c r="M16" i="14"/>
  <c r="X14" i="14"/>
  <c r="W5" i="14"/>
  <c r="H16" i="14"/>
  <c r="Y14" i="14"/>
  <c r="H9" i="14"/>
  <c r="X16" i="14"/>
  <c r="W11" i="14"/>
  <c r="X21" i="14"/>
  <c r="Y3" i="14"/>
  <c r="X25" i="14"/>
  <c r="X11" i="14"/>
  <c r="W9" i="14"/>
  <c r="M21" i="14"/>
  <c r="Y19" i="14"/>
  <c r="Y13" i="14"/>
  <c r="M8" i="14"/>
  <c r="Z6" i="14"/>
  <c r="Y18" i="14"/>
  <c r="M15" i="14"/>
  <c r="Y12" i="14"/>
  <c r="Y9" i="14"/>
  <c r="M17" i="14"/>
  <c r="Y24" i="14"/>
  <c r="Y25" i="14"/>
  <c r="Y8" i="14"/>
  <c r="M12" i="14"/>
  <c r="Y4" i="14"/>
  <c r="H3" i="14"/>
  <c r="H21" i="14"/>
  <c r="H5" i="14"/>
  <c r="H19" i="14"/>
  <c r="T18" i="14"/>
  <c r="T24" i="14"/>
  <c r="T20" i="14"/>
  <c r="T16" i="14"/>
  <c r="T12" i="14"/>
  <c r="Y22" i="14"/>
  <c r="T19" i="14"/>
  <c r="M13" i="14"/>
  <c r="Y11" i="14"/>
  <c r="M24" i="14"/>
  <c r="M19" i="14"/>
  <c r="Y10" i="14"/>
  <c r="H8" i="14"/>
  <c r="M4" i="14"/>
  <c r="H22" i="14"/>
  <c r="M6" i="14"/>
  <c r="Y23" i="14"/>
  <c r="H23" i="14"/>
  <c r="M18" i="14"/>
  <c r="T10" i="14"/>
  <c r="M25" i="14"/>
  <c r="M11" i="14"/>
  <c r="M10" i="14"/>
  <c r="T8" i="14"/>
  <c r="M20" i="14"/>
  <c r="W16" i="14"/>
  <c r="W14" i="14"/>
  <c r="W21" i="14"/>
  <c r="T22" i="14"/>
  <c r="W19" i="14"/>
  <c r="T11" i="14"/>
  <c r="T23" i="14"/>
  <c r="W13" i="14"/>
  <c r="Y6" i="14"/>
  <c r="T25" i="14"/>
  <c r="T5" i="14"/>
  <c r="Y5" i="14"/>
  <c r="M23" i="14"/>
  <c r="M3" i="14"/>
  <c r="W25" i="14"/>
  <c r="L13" i="14"/>
  <c r="L3" i="14"/>
  <c r="L21" i="14"/>
  <c r="L5" i="14"/>
  <c r="L19" i="14"/>
  <c r="L14" i="14"/>
  <c r="H13" i="14"/>
  <c r="V20" i="14"/>
  <c r="V12" i="14"/>
  <c r="V16" i="14"/>
  <c r="V11" i="14"/>
  <c r="V24" i="14"/>
  <c r="V19" i="14"/>
  <c r="V4" i="14"/>
  <c r="V17" i="14"/>
  <c r="V9" i="14"/>
  <c r="V3" i="14"/>
  <c r="V6" i="14"/>
  <c r="V8" i="14"/>
  <c r="K20" i="14"/>
  <c r="K12" i="14"/>
  <c r="K22" i="14"/>
  <c r="K16" i="14"/>
  <c r="K24" i="14"/>
  <c r="K4" i="14"/>
  <c r="K17" i="14"/>
  <c r="K14" i="14"/>
  <c r="K9" i="14"/>
  <c r="K6" i="14"/>
  <c r="K23" i="14"/>
  <c r="R20" i="14"/>
  <c r="R12" i="14"/>
  <c r="R4" i="14"/>
  <c r="R16" i="14"/>
  <c r="R11" i="14"/>
  <c r="R24" i="14"/>
  <c r="R19" i="14"/>
  <c r="R13" i="14"/>
  <c r="R9" i="14"/>
  <c r="R3" i="14"/>
  <c r="R21" i="14"/>
  <c r="R5" i="14"/>
  <c r="V10" i="14"/>
  <c r="V22" i="14"/>
  <c r="K21" i="14"/>
  <c r="V14" i="14"/>
  <c r="K13" i="14"/>
  <c r="N24" i="14"/>
  <c r="N16" i="14"/>
  <c r="N21" i="14"/>
  <c r="N12" i="14"/>
  <c r="N9" i="14"/>
  <c r="N20" i="14"/>
  <c r="N5" i="14"/>
  <c r="N13" i="14"/>
  <c r="N4" i="14"/>
  <c r="R8" i="14"/>
  <c r="V18" i="14"/>
  <c r="K15" i="14"/>
  <c r="R23" i="14"/>
  <c r="K10" i="14"/>
  <c r="Z24" i="14"/>
  <c r="Z16" i="14"/>
  <c r="Z12" i="14"/>
  <c r="Z9" i="14"/>
  <c r="Z20" i="14"/>
  <c r="Z4" i="14"/>
  <c r="Z10" i="14"/>
  <c r="Z22" i="14"/>
  <c r="Z14" i="14"/>
  <c r="K19" i="14"/>
  <c r="K11" i="14"/>
  <c r="V25" i="14"/>
  <c r="Z15" i="14"/>
  <c r="N6" i="14"/>
  <c r="V5" i="14"/>
  <c r="Z23" i="14"/>
  <c r="K18" i="14"/>
  <c r="Z18" i="14"/>
  <c r="R15" i="14"/>
  <c r="N10" i="14"/>
  <c r="K3" i="14"/>
  <c r="N23" i="14"/>
  <c r="V23" i="14"/>
  <c r="Z17" i="14"/>
  <c r="R17" i="14"/>
  <c r="N17" i="14"/>
  <c r="N22" i="14"/>
  <c r="V21" i="14"/>
  <c r="Z19" i="14"/>
  <c r="N14" i="14"/>
  <c r="V13" i="14"/>
  <c r="Z11" i="14"/>
  <c r="Z21" i="14"/>
  <c r="N19" i="14"/>
  <c r="Z13" i="14"/>
  <c r="N11" i="14"/>
  <c r="K25" i="14"/>
  <c r="R6" i="14"/>
  <c r="N18" i="14"/>
  <c r="N15" i="14"/>
  <c r="V15" i="14"/>
  <c r="Z5" i="14"/>
  <c r="N3" i="14"/>
  <c r="Z25" i="14"/>
  <c r="R25" i="14"/>
  <c r="N25" i="14"/>
  <c r="R10" i="14"/>
  <c r="K8" i="14"/>
  <c r="AT63" i="11" l="1"/>
  <c r="AT23" i="11"/>
  <c r="AT67" i="11"/>
  <c r="AT45" i="11"/>
  <c r="AT61" i="11"/>
  <c r="AT22" i="11"/>
  <c r="AT29" i="11"/>
  <c r="AT41" i="11"/>
  <c r="AT54" i="11"/>
  <c r="AT39" i="11"/>
  <c r="AT21" i="11"/>
  <c r="AT50" i="11"/>
  <c r="AT47" i="11"/>
  <c r="AT19" i="11"/>
  <c r="AT55" i="11"/>
  <c r="AT51" i="11"/>
  <c r="AT43" i="11"/>
  <c r="AT17" i="11"/>
  <c r="AT70" i="11"/>
  <c r="AT34" i="11"/>
  <c r="AT30" i="11"/>
  <c r="AT59" i="11"/>
  <c r="AT69" i="11"/>
  <c r="AT24" i="11"/>
  <c r="AT64" i="11"/>
  <c r="AT27" i="11"/>
  <c r="AT58" i="11"/>
  <c r="AT56" i="11"/>
  <c r="AT25" i="11"/>
  <c r="AT60" i="11"/>
  <c r="AT71" i="11"/>
  <c r="AT46" i="11"/>
  <c r="AT28" i="11"/>
  <c r="AT35" i="11"/>
  <c r="AT52" i="11"/>
  <c r="AT53" i="11"/>
  <c r="AT62" i="11"/>
  <c r="AT44" i="11"/>
  <c r="AT38" i="11"/>
  <c r="AT66" i="11"/>
  <c r="AT65" i="11"/>
  <c r="AT48" i="11"/>
  <c r="AT26" i="11"/>
  <c r="AT40" i="11"/>
  <c r="AT57" i="11"/>
  <c r="AT37" i="11"/>
  <c r="AT20" i="11"/>
  <c r="AT42" i="11"/>
  <c r="AT49" i="11"/>
  <c r="AT33" i="11"/>
  <c r="AT68" i="11"/>
  <c r="AT31" i="11"/>
  <c r="AT18" i="11"/>
  <c r="AT32" i="11"/>
  <c r="AT16" i="11"/>
  <c r="AT36" i="11"/>
  <c r="AI56" i="11"/>
  <c r="AI58" i="11" l="1"/>
  <c r="AI62" i="11"/>
  <c r="AI48" i="11"/>
  <c r="AI65" i="11"/>
  <c r="AI36" i="11"/>
  <c r="AI29" i="11"/>
  <c r="AI16" i="11"/>
  <c r="AI61" i="11"/>
  <c r="AI28" i="11"/>
  <c r="AI32" i="11"/>
  <c r="AI60" i="11"/>
  <c r="AI49" i="11"/>
  <c r="AI68" i="11"/>
  <c r="AI70" i="11"/>
  <c r="AI46" i="11"/>
  <c r="AI59" i="11"/>
  <c r="AI30" i="11"/>
  <c r="AI37" i="11"/>
  <c r="AI42" i="11"/>
  <c r="AI18" i="11"/>
  <c r="AI17" i="11"/>
  <c r="AI45" i="11"/>
  <c r="AI55" i="11"/>
  <c r="AI24" i="11"/>
  <c r="AI34" i="11"/>
  <c r="AI57" i="11"/>
  <c r="AI31" i="11"/>
  <c r="AI25" i="11"/>
  <c r="AI50" i="11"/>
  <c r="AI63" i="11"/>
  <c r="AI53" i="11"/>
  <c r="AI41" i="11"/>
  <c r="AI51" i="11"/>
  <c r="AI52" i="11"/>
  <c r="AI43" i="11"/>
  <c r="AI26" i="11"/>
  <c r="AI33" i="11"/>
  <c r="AI19" i="11"/>
  <c r="AI71" i="11"/>
  <c r="AI27" i="11"/>
  <c r="AI40" i="11"/>
  <c r="AI67" i="11"/>
  <c r="AI21" i="11"/>
  <c r="AI35" i="11"/>
  <c r="AI66" i="11"/>
  <c r="AI47" i="11"/>
  <c r="AI22" i="11"/>
  <c r="AI38" i="11"/>
  <c r="AI54" i="11"/>
  <c r="AI69" i="11"/>
  <c r="AI23" i="11"/>
  <c r="AI64" i="11"/>
  <c r="AI44" i="11"/>
  <c r="AI20" i="11"/>
  <c r="AI39" i="11"/>
  <c r="AT73" i="11"/>
  <c r="AT74" i="11" s="1"/>
  <c r="AI73" i="11" l="1"/>
  <c r="AI74" i="11" s="1"/>
  <c r="Q57" i="11" l="1"/>
  <c r="Q30" i="11"/>
  <c r="Q46" i="11"/>
  <c r="Q28" i="11"/>
  <c r="Q25" i="11"/>
  <c r="Q65" i="11"/>
  <c r="Q31" i="11"/>
  <c r="Q32" i="11"/>
  <c r="Q68" i="11"/>
  <c r="Q45" i="11"/>
  <c r="Q54" i="11"/>
  <c r="Q61" i="11"/>
  <c r="Q58" i="11"/>
  <c r="Q17" i="11"/>
  <c r="Q27" i="11"/>
  <c r="Q37" i="11"/>
  <c r="Q18" i="11"/>
  <c r="Q34" i="11"/>
  <c r="Q50" i="11"/>
  <c r="Q66" i="11"/>
  <c r="Q36" i="11"/>
  <c r="Q33" i="11"/>
  <c r="Q19" i="11"/>
  <c r="Q35" i="11"/>
  <c r="Q51" i="11"/>
  <c r="Q67" i="11"/>
  <c r="Q21" i="11"/>
  <c r="Q22" i="11"/>
  <c r="Q38" i="11"/>
  <c r="Q23" i="11"/>
  <c r="Q55" i="11"/>
  <c r="Q48" i="11"/>
  <c r="Q29" i="11"/>
  <c r="Q26" i="11"/>
  <c r="Q42" i="11"/>
  <c r="Q20" i="11"/>
  <c r="Q49" i="11"/>
  <c r="Q56" i="11"/>
  <c r="Q69" i="11"/>
  <c r="Q16" i="11" l="1"/>
  <c r="Q52" i="11"/>
  <c r="Q63" i="11"/>
  <c r="Q24" i="11"/>
  <c r="Q44" i="11"/>
  <c r="Q53" i="11"/>
  <c r="Q64" i="11"/>
  <c r="Q71" i="11"/>
  <c r="Q47" i="11"/>
  <c r="Q60" i="11"/>
  <c r="Q62" i="11"/>
  <c r="Q59" i="11"/>
  <c r="Q43" i="11"/>
  <c r="Q70" i="11"/>
  <c r="P73" i="11" l="1"/>
  <c r="P74" i="11" s="1"/>
  <c r="I15" i="18" l="1"/>
  <c r="M26" i="18" l="1"/>
  <c r="G10" i="11" s="1"/>
  <c r="J19" i="18" l="1"/>
  <c r="AH105" i="11" l="1"/>
  <c r="AH107" i="11" l="1"/>
  <c r="AH94" i="11"/>
  <c r="AH98" i="11"/>
  <c r="AH102" i="11"/>
  <c r="AH106" i="11"/>
  <c r="AH110" i="11"/>
  <c r="AH114" i="11"/>
  <c r="AH108" i="11"/>
  <c r="AH113" i="11"/>
  <c r="AH99" i="11"/>
  <c r="AH115" i="11"/>
  <c r="AH96" i="11"/>
  <c r="AH101" i="11"/>
  <c r="AH116" i="11"/>
  <c r="AH100" i="11"/>
  <c r="AH111" i="11"/>
  <c r="AH97" i="11"/>
  <c r="AH117" i="11"/>
  <c r="AH93" i="11"/>
  <c r="AH95" i="11"/>
  <c r="AH103" i="11"/>
  <c r="AH109" i="11"/>
  <c r="AH104" i="11" l="1"/>
  <c r="AH112" i="11"/>
  <c r="J26" i="18"/>
  <c r="F32" i="11" l="1"/>
  <c r="S32" i="11" s="1"/>
  <c r="AG32" i="11" s="1"/>
  <c r="F20" i="11" l="1"/>
  <c r="S20" i="11" s="1"/>
  <c r="AG20" i="11" s="1"/>
  <c r="F54" i="11"/>
  <c r="S54" i="11" s="1"/>
  <c r="F41" i="11"/>
  <c r="S41" i="11" s="1"/>
  <c r="F56" i="11"/>
  <c r="S56" i="11" s="1"/>
  <c r="F30" i="11"/>
  <c r="S30" i="11" s="1"/>
  <c r="AG30" i="11" s="1"/>
  <c r="F39" i="11"/>
  <c r="S39" i="11" s="1"/>
  <c r="AG39" i="11" s="1"/>
  <c r="F48" i="11"/>
  <c r="S48" i="11" s="1"/>
  <c r="F25" i="11"/>
  <c r="S25" i="11" s="1"/>
  <c r="AG25" i="11" s="1"/>
  <c r="F35" i="11"/>
  <c r="S35" i="11" s="1"/>
  <c r="AG35" i="11" s="1"/>
  <c r="F24" i="11"/>
  <c r="S24" i="11" s="1"/>
  <c r="AG24" i="11" s="1"/>
  <c r="F50" i="11"/>
  <c r="S50" i="11" s="1"/>
  <c r="F69" i="11"/>
  <c r="S69" i="11" s="1"/>
  <c r="F21" i="11"/>
  <c r="S21" i="11" s="1"/>
  <c r="AG21" i="11" s="1"/>
  <c r="F31" i="11"/>
  <c r="S31" i="11" s="1"/>
  <c r="AG31" i="11" s="1"/>
  <c r="F16" i="11"/>
  <c r="S16" i="11" s="1"/>
  <c r="F42" i="11"/>
  <c r="S42" i="11" s="1"/>
  <c r="F65" i="11"/>
  <c r="S65" i="11" s="1"/>
  <c r="F17" i="11"/>
  <c r="S17" i="11" s="1"/>
  <c r="AG17" i="11" s="1"/>
  <c r="F27" i="11"/>
  <c r="S27" i="11" s="1"/>
  <c r="AG27" i="11" s="1"/>
  <c r="F64" i="11"/>
  <c r="S64" i="11" s="1"/>
  <c r="F34" i="11"/>
  <c r="S34" i="11" s="1"/>
  <c r="AG34" i="11" s="1"/>
  <c r="F61" i="11"/>
  <c r="S61" i="11" s="1"/>
  <c r="F71" i="11"/>
  <c r="S71" i="11" s="1"/>
  <c r="F23" i="11"/>
  <c r="S23" i="11" s="1"/>
  <c r="AG23" i="11" s="1"/>
  <c r="F68" i="11"/>
  <c r="S68" i="11" s="1"/>
  <c r="F26" i="11"/>
  <c r="S26" i="11" s="1"/>
  <c r="AG26" i="11" s="1"/>
  <c r="F57" i="11"/>
  <c r="S57" i="11" s="1"/>
  <c r="F67" i="11"/>
  <c r="S67" i="11" s="1"/>
  <c r="F19" i="11"/>
  <c r="S19" i="11" s="1"/>
  <c r="AG19" i="11" s="1"/>
  <c r="F46" i="11"/>
  <c r="S46" i="11" s="1"/>
  <c r="F47" i="11"/>
  <c r="S47" i="11" s="1"/>
  <c r="F28" i="11"/>
  <c r="S28" i="11" s="1"/>
  <c r="AG28" i="11" s="1"/>
  <c r="F33" i="11"/>
  <c r="S33" i="11" s="1"/>
  <c r="AG33" i="11" s="1"/>
  <c r="F43" i="11"/>
  <c r="S43" i="11" s="1"/>
  <c r="F66" i="11"/>
  <c r="S66" i="11" s="1"/>
  <c r="F29" i="11"/>
  <c r="S29" i="11" s="1"/>
  <c r="AG29" i="11" s="1"/>
  <c r="F22" i="11"/>
  <c r="S22" i="11" s="1"/>
  <c r="AG22" i="11" s="1"/>
  <c r="F52" i="11"/>
  <c r="S52" i="11" s="1"/>
  <c r="F18" i="11"/>
  <c r="S18" i="11" s="1"/>
  <c r="AG18" i="11" s="1"/>
  <c r="F53" i="11"/>
  <c r="S53" i="11" s="1"/>
  <c r="F63" i="11"/>
  <c r="S63" i="11" s="1"/>
  <c r="F40" i="11"/>
  <c r="S40" i="11" s="1"/>
  <c r="AG40" i="11" s="1"/>
  <c r="F62" i="11"/>
  <c r="S62" i="11" s="1"/>
  <c r="F45" i="11"/>
  <c r="S45" i="11" s="1"/>
  <c r="F55" i="11"/>
  <c r="S55" i="11" s="1"/>
  <c r="F60" i="11"/>
  <c r="S60" i="11" s="1"/>
  <c r="F51" i="11"/>
  <c r="S51" i="11" s="1"/>
  <c r="F44" i="11"/>
  <c r="S44" i="11" s="1"/>
  <c r="F37" i="11"/>
  <c r="S37" i="11" s="1"/>
  <c r="AG37" i="11" s="1"/>
  <c r="F38" i="11"/>
  <c r="S38" i="11" s="1"/>
  <c r="AG38" i="11" s="1"/>
  <c r="F58" i="11"/>
  <c r="S58" i="11" s="1"/>
  <c r="F36" i="11"/>
  <c r="S36" i="11" s="1"/>
  <c r="AG36" i="11" s="1"/>
  <c r="F70" i="11"/>
  <c r="S70" i="11" s="1"/>
  <c r="F49" i="11"/>
  <c r="S49" i="11" s="1"/>
  <c r="F59" i="11"/>
  <c r="S59" i="11" s="1"/>
  <c r="AG59" i="11" l="1"/>
  <c r="V59" i="11"/>
  <c r="V41" i="11"/>
  <c r="AG41" i="11"/>
  <c r="AG58" i="11"/>
  <c r="V58" i="11"/>
  <c r="V64" i="11"/>
  <c r="AG64" i="11"/>
  <c r="V60" i="11"/>
  <c r="AG60" i="11"/>
  <c r="AG55" i="11"/>
  <c r="V55" i="11"/>
  <c r="V46" i="11"/>
  <c r="AG46" i="11"/>
  <c r="V54" i="11"/>
  <c r="AG54" i="11"/>
  <c r="V52" i="11"/>
  <c r="AG52" i="11"/>
  <c r="AG44" i="11"/>
  <c r="V44" i="11"/>
  <c r="AG67" i="11"/>
  <c r="V67" i="11"/>
  <c r="AG66" i="11"/>
  <c r="V66" i="11"/>
  <c r="V68" i="11"/>
  <c r="AG68" i="11"/>
  <c r="AG65" i="11"/>
  <c r="V65" i="11"/>
  <c r="V63" i="11"/>
  <c r="AG63" i="11"/>
  <c r="V47" i="11"/>
  <c r="AG47" i="11"/>
  <c r="AG61" i="11"/>
  <c r="V61" i="11"/>
  <c r="V49" i="11"/>
  <c r="AG49" i="11"/>
  <c r="AG45" i="11"/>
  <c r="V45" i="11"/>
  <c r="V43" i="11"/>
  <c r="AG43" i="11"/>
  <c r="V56" i="11"/>
  <c r="AG56" i="11"/>
  <c r="AG70" i="11"/>
  <c r="V70" i="11"/>
  <c r="AG50" i="11"/>
  <c r="V50" i="11"/>
  <c r="AG51" i="11"/>
  <c r="V51" i="11"/>
  <c r="S73" i="11"/>
  <c r="S74" i="11" s="1"/>
  <c r="H12" i="18" s="1"/>
  <c r="AG16" i="11"/>
  <c r="AG71" i="11"/>
  <c r="V71" i="11"/>
  <c r="AG48" i="11"/>
  <c r="V48" i="11"/>
  <c r="AG62" i="11"/>
  <c r="V62" i="11"/>
  <c r="AG57" i="11"/>
  <c r="V57" i="11"/>
  <c r="V53" i="11"/>
  <c r="AG53" i="11"/>
  <c r="V42" i="11"/>
  <c r="AG42" i="11"/>
  <c r="AG69" i="11"/>
  <c r="V69" i="11"/>
  <c r="AG74" i="11" l="1"/>
  <c r="F13" i="18"/>
  <c r="H14" i="18" s="1"/>
  <c r="D20" i="18" l="1"/>
  <c r="F25" i="18" s="1"/>
  <c r="J11" i="18"/>
  <c r="F19" i="18" l="1"/>
  <c r="I5" i="11" s="1"/>
  <c r="I7" i="11"/>
  <c r="I24" i="18"/>
  <c r="H24" i="18"/>
  <c r="F22" i="18"/>
  <c r="M22" i="18" l="1"/>
  <c r="F26" i="18"/>
  <c r="J28" i="18" s="1"/>
  <c r="J16" i="18"/>
  <c r="I21" i="18" s="1"/>
  <c r="F21" i="18"/>
  <c r="E22" i="18"/>
  <c r="H15" i="18"/>
  <c r="I6" i="11" s="1"/>
  <c r="D8" i="18"/>
  <c r="D40" i="18"/>
  <c r="G36" i="14"/>
  <c r="G35" i="14"/>
  <c r="J14" i="18" l="1"/>
  <c r="J5" i="11"/>
  <c r="F14" i="18"/>
  <c r="E52" i="14"/>
  <c r="H16" i="18"/>
  <c r="AL43" i="11"/>
  <c r="AL63" i="11"/>
  <c r="AL68" i="11"/>
  <c r="AL59" i="11"/>
  <c r="AL34" i="11"/>
  <c r="AL27" i="11"/>
  <c r="AL65" i="11"/>
  <c r="AL70" i="11"/>
  <c r="AL54" i="11"/>
  <c r="AL32" i="11"/>
  <c r="AL53" i="11"/>
  <c r="AL71" i="11"/>
  <c r="AL46" i="11"/>
  <c r="AL45" i="11"/>
  <c r="AL60" i="11"/>
  <c r="AL19" i="11"/>
  <c r="AL25" i="11"/>
  <c r="AL58" i="11"/>
  <c r="AL31" i="11"/>
  <c r="AL56" i="11"/>
  <c r="AL39" i="11"/>
  <c r="AL17" i="11"/>
  <c r="AL37" i="11"/>
  <c r="AL57" i="11"/>
  <c r="AL16" i="11"/>
  <c r="AL23" i="11"/>
  <c r="AL30" i="11"/>
  <c r="AL62" i="11"/>
  <c r="AL50" i="11"/>
  <c r="AL22" i="11"/>
  <c r="G28" i="18"/>
  <c r="K29" i="18" s="1"/>
  <c r="AL38" i="11"/>
  <c r="AL44" i="11"/>
  <c r="AL36" i="11"/>
  <c r="AL48" i="11"/>
  <c r="AL41" i="11"/>
  <c r="AL20" i="11"/>
  <c r="AL21" i="11"/>
  <c r="AL28" i="11"/>
  <c r="AL40" i="11"/>
  <c r="AL61" i="11"/>
  <c r="AL47" i="11"/>
  <c r="AL33" i="11"/>
  <c r="AL64" i="11"/>
  <c r="AL26" i="11"/>
  <c r="AL69" i="11"/>
  <c r="AL29" i="11"/>
  <c r="AL66" i="11"/>
  <c r="AL42" i="11"/>
  <c r="AL55" i="11"/>
  <c r="AL67" i="11"/>
  <c r="AL49" i="11"/>
  <c r="AL35" i="11"/>
  <c r="AL51" i="11"/>
  <c r="AL52" i="11"/>
  <c r="AL24" i="11"/>
  <c r="AL18" i="11"/>
  <c r="AS16" i="11"/>
  <c r="AS21" i="11"/>
  <c r="AS27" i="11"/>
  <c r="AS33" i="11"/>
  <c r="AS39" i="11"/>
  <c r="AS45" i="11"/>
  <c r="AS51" i="11"/>
  <c r="AS57" i="11"/>
  <c r="AS63" i="11"/>
  <c r="AS69" i="11"/>
  <c r="AS28" i="11"/>
  <c r="AS40" i="11"/>
  <c r="AS52" i="11"/>
  <c r="AS64" i="11"/>
  <c r="AS22" i="11"/>
  <c r="AS34" i="11"/>
  <c r="AS46" i="11"/>
  <c r="AS58" i="11"/>
  <c r="AS70" i="11"/>
  <c r="AS24" i="11"/>
  <c r="AS36" i="11"/>
  <c r="AS48" i="11"/>
  <c r="AS60" i="11"/>
  <c r="AS18" i="11"/>
  <c r="AS30" i="11"/>
  <c r="AS42" i="11"/>
  <c r="AS54" i="11"/>
  <c r="AS66" i="11"/>
  <c r="AS20" i="11"/>
  <c r="AS32" i="11"/>
  <c r="AS44" i="11"/>
  <c r="AS56" i="11"/>
  <c r="AS68" i="11"/>
  <c r="AS25" i="11"/>
  <c r="AS37" i="11"/>
  <c r="AS49" i="11"/>
  <c r="AS61" i="11"/>
  <c r="AS26" i="11"/>
  <c r="AS38" i="11"/>
  <c r="AS50" i="11"/>
  <c r="AS62" i="11"/>
  <c r="AS41" i="11"/>
  <c r="AS43" i="11"/>
  <c r="AS47" i="11"/>
  <c r="AS29" i="11"/>
  <c r="AS31" i="11"/>
  <c r="AS71" i="11"/>
  <c r="AS53" i="11"/>
  <c r="AS17" i="11"/>
  <c r="AS55" i="11"/>
  <c r="AS19" i="11"/>
  <c r="AS23" i="11"/>
  <c r="AS65" i="11"/>
  <c r="AS67" i="11"/>
  <c r="AS35" i="11"/>
  <c r="AS59" i="11"/>
  <c r="D32" i="11" l="1"/>
  <c r="D47" i="11"/>
  <c r="D37" i="11"/>
  <c r="D46" i="11"/>
  <c r="D44" i="11"/>
  <c r="O44" i="11" s="1"/>
  <c r="D51" i="11"/>
  <c r="D41" i="11"/>
  <c r="D54" i="11"/>
  <c r="D55" i="11"/>
  <c r="D45" i="11"/>
  <c r="D62" i="11"/>
  <c r="D59" i="11"/>
  <c r="D49" i="11"/>
  <c r="D70" i="11"/>
  <c r="D36" i="11"/>
  <c r="D40" i="11"/>
  <c r="D63" i="11"/>
  <c r="D53" i="11"/>
  <c r="D18" i="11"/>
  <c r="D52" i="11"/>
  <c r="D67" i="11"/>
  <c r="D57" i="11"/>
  <c r="D26" i="11"/>
  <c r="D68" i="11"/>
  <c r="D23" i="11"/>
  <c r="D34" i="11"/>
  <c r="D27" i="11"/>
  <c r="D17" i="11"/>
  <c r="D65" i="11"/>
  <c r="D16" i="11"/>
  <c r="D21" i="11"/>
  <c r="D50" i="11"/>
  <c r="D24" i="11"/>
  <c r="D35" i="11"/>
  <c r="D22" i="11"/>
  <c r="D48" i="11"/>
  <c r="D29" i="11"/>
  <c r="D33" i="11"/>
  <c r="D60" i="11"/>
  <c r="D31" i="11"/>
  <c r="D58" i="11"/>
  <c r="D56" i="11"/>
  <c r="D28" i="11"/>
  <c r="D20" i="11"/>
  <c r="D42" i="11"/>
  <c r="D69" i="11"/>
  <c r="D25" i="11"/>
  <c r="D66" i="11"/>
  <c r="D38" i="11"/>
  <c r="D61" i="11"/>
  <c r="D64" i="11"/>
  <c r="D30" i="11"/>
  <c r="D19" i="11"/>
  <c r="D39" i="11"/>
  <c r="D71" i="11"/>
  <c r="D43" i="11"/>
  <c r="J6" i="11"/>
  <c r="AL73" i="11"/>
  <c r="AL74" i="11" s="1"/>
  <c r="AS73" i="11"/>
  <c r="AS74" i="11" s="1"/>
  <c r="AK69" i="11" l="1"/>
  <c r="I69" i="11"/>
  <c r="X69" i="11" s="1"/>
  <c r="AH69" i="11"/>
  <c r="AJ69" i="11" s="1"/>
  <c r="G69" i="11"/>
  <c r="H69" i="11" s="1"/>
  <c r="Y69" i="11"/>
  <c r="O69" i="11"/>
  <c r="R69" i="11" s="1"/>
  <c r="N69" i="11"/>
  <c r="AH42" i="11"/>
  <c r="AJ42" i="11" s="1"/>
  <c r="I42" i="11"/>
  <c r="X42" i="11" s="1"/>
  <c r="AK42" i="11"/>
  <c r="G42" i="11"/>
  <c r="O42" i="11"/>
  <c r="N42" i="11"/>
  <c r="Y42" i="11"/>
  <c r="I67" i="11"/>
  <c r="X67" i="11" s="1"/>
  <c r="AH67" i="11"/>
  <c r="AJ67" i="11" s="1"/>
  <c r="AK67" i="11"/>
  <c r="G67" i="11"/>
  <c r="H67" i="11" s="1"/>
  <c r="N67" i="11"/>
  <c r="O67" i="11"/>
  <c r="R67" i="11" s="1"/>
  <c r="Y67" i="11"/>
  <c r="I50" i="11"/>
  <c r="X50" i="11" s="1"/>
  <c r="AK50" i="11"/>
  <c r="AH50" i="11"/>
  <c r="AJ50" i="11" s="1"/>
  <c r="G50" i="11"/>
  <c r="H50" i="11" s="1"/>
  <c r="Y50" i="11"/>
  <c r="N50" i="11"/>
  <c r="O50" i="11"/>
  <c r="R50" i="11" s="1"/>
  <c r="I21" i="11"/>
  <c r="X21" i="11" s="1"/>
  <c r="AH21" i="11"/>
  <c r="AJ21" i="11" s="1"/>
  <c r="AK21" i="11"/>
  <c r="G21" i="11"/>
  <c r="O21" i="11"/>
  <c r="Y21" i="11"/>
  <c r="N21" i="11"/>
  <c r="AK39" i="11"/>
  <c r="I39" i="11"/>
  <c r="X39" i="11" s="1"/>
  <c r="AH39" i="11"/>
  <c r="AJ39" i="11" s="1"/>
  <c r="G39" i="11"/>
  <c r="H39" i="11" s="1"/>
  <c r="O39" i="11"/>
  <c r="N39" i="11"/>
  <c r="Y39" i="11"/>
  <c r="AH56" i="11"/>
  <c r="AJ56" i="11" s="1"/>
  <c r="I56" i="11"/>
  <c r="X56" i="11" s="1"/>
  <c r="AK56" i="11"/>
  <c r="G56" i="11"/>
  <c r="H56" i="11" s="1"/>
  <c r="O56" i="11"/>
  <c r="R56" i="11" s="1"/>
  <c r="Y56" i="11"/>
  <c r="N56" i="11"/>
  <c r="I16" i="11"/>
  <c r="X16" i="11" s="1"/>
  <c r="AH16" i="11"/>
  <c r="AJ16" i="11" s="1"/>
  <c r="AK16" i="11"/>
  <c r="G16" i="11"/>
  <c r="O16" i="11"/>
  <c r="Y16" i="11"/>
  <c r="N16" i="11"/>
  <c r="AK19" i="11"/>
  <c r="I19" i="11"/>
  <c r="X19" i="11" s="1"/>
  <c r="AH19" i="11"/>
  <c r="AJ19" i="11" s="1"/>
  <c r="G19" i="11"/>
  <c r="H19" i="11" s="1"/>
  <c r="N19" i="11"/>
  <c r="Y19" i="11"/>
  <c r="O19" i="11"/>
  <c r="AH58" i="11"/>
  <c r="AJ58" i="11" s="1"/>
  <c r="I58" i="11"/>
  <c r="X58" i="11" s="1"/>
  <c r="AK58" i="11"/>
  <c r="G58" i="11"/>
  <c r="H58" i="11" s="1"/>
  <c r="Y58" i="11"/>
  <c r="O58" i="11"/>
  <c r="R58" i="11" s="1"/>
  <c r="N58" i="11"/>
  <c r="AH65" i="11"/>
  <c r="AJ65" i="11" s="1"/>
  <c r="I65" i="11"/>
  <c r="X65" i="11" s="1"/>
  <c r="AK65" i="11"/>
  <c r="G65" i="11"/>
  <c r="H65" i="11" s="1"/>
  <c r="Y65" i="11"/>
  <c r="O65" i="11"/>
  <c r="R65" i="11" s="1"/>
  <c r="N65" i="11"/>
  <c r="I63" i="11"/>
  <c r="X63" i="11" s="1"/>
  <c r="AH63" i="11"/>
  <c r="AJ63" i="11" s="1"/>
  <c r="AK63" i="11"/>
  <c r="G63" i="11"/>
  <c r="H63" i="11" s="1"/>
  <c r="Y63" i="11"/>
  <c r="N63" i="11"/>
  <c r="O63" i="11"/>
  <c r="R63" i="11" s="1"/>
  <c r="AK44" i="11"/>
  <c r="AH44" i="11"/>
  <c r="AJ44" i="11" s="1"/>
  <c r="I44" i="11"/>
  <c r="X44" i="11" s="1"/>
  <c r="G44" i="11"/>
  <c r="H44" i="11" s="1"/>
  <c r="Y44" i="11"/>
  <c r="N44" i="11"/>
  <c r="AH30" i="11"/>
  <c r="AJ30" i="11" s="1"/>
  <c r="I30" i="11"/>
  <c r="X30" i="11" s="1"/>
  <c r="AK30" i="11"/>
  <c r="G30" i="11"/>
  <c r="N30" i="11"/>
  <c r="O30" i="11"/>
  <c r="Y30" i="11"/>
  <c r="AK31" i="11"/>
  <c r="I31" i="11"/>
  <c r="X31" i="11" s="1"/>
  <c r="AH31" i="11"/>
  <c r="AJ31" i="11" s="1"/>
  <c r="G31" i="11"/>
  <c r="H31" i="11" s="1"/>
  <c r="O31" i="11"/>
  <c r="Y31" i="11"/>
  <c r="N31" i="11"/>
  <c r="AK17" i="11"/>
  <c r="I17" i="11"/>
  <c r="X17" i="11" s="1"/>
  <c r="AH17" i="11"/>
  <c r="AJ17" i="11" s="1"/>
  <c r="G17" i="11"/>
  <c r="H17" i="11" s="1"/>
  <c r="N17" i="11"/>
  <c r="Y17" i="11"/>
  <c r="O17" i="11"/>
  <c r="I40" i="11"/>
  <c r="X40" i="11" s="1"/>
  <c r="AK40" i="11"/>
  <c r="AH40" i="11"/>
  <c r="AJ40" i="11" s="1"/>
  <c r="G40" i="11"/>
  <c r="Y40" i="11"/>
  <c r="N40" i="11"/>
  <c r="O40" i="11"/>
  <c r="AH46" i="11"/>
  <c r="AJ46" i="11" s="1"/>
  <c r="I46" i="11"/>
  <c r="X46" i="11" s="1"/>
  <c r="AK46" i="11"/>
  <c r="G46" i="11"/>
  <c r="H46" i="11" s="1"/>
  <c r="N46" i="11"/>
  <c r="Y46" i="11"/>
  <c r="O46" i="11"/>
  <c r="AK57" i="11"/>
  <c r="I57" i="11"/>
  <c r="X57" i="11" s="1"/>
  <c r="AH57" i="11"/>
  <c r="AJ57" i="11" s="1"/>
  <c r="G57" i="11"/>
  <c r="H57" i="11" s="1"/>
  <c r="Y57" i="11"/>
  <c r="N57" i="11"/>
  <c r="O57" i="11"/>
  <c r="R57" i="11" s="1"/>
  <c r="AK52" i="11"/>
  <c r="I52" i="11"/>
  <c r="X52" i="11" s="1"/>
  <c r="AH52" i="11"/>
  <c r="AJ52" i="11" s="1"/>
  <c r="G52" i="11"/>
  <c r="N52" i="11"/>
  <c r="Y52" i="11"/>
  <c r="O52" i="11"/>
  <c r="R52" i="11" s="1"/>
  <c r="I27" i="11"/>
  <c r="X27" i="11" s="1"/>
  <c r="AK27" i="11"/>
  <c r="AH27" i="11"/>
  <c r="AJ27" i="11" s="1"/>
  <c r="G27" i="11"/>
  <c r="H27" i="11" s="1"/>
  <c r="Y27" i="11"/>
  <c r="N27" i="11"/>
  <c r="O27" i="11"/>
  <c r="AH35" i="11"/>
  <c r="AJ35" i="11" s="1"/>
  <c r="I35" i="11"/>
  <c r="X35" i="11" s="1"/>
  <c r="AK35" i="11"/>
  <c r="G35" i="11"/>
  <c r="H35" i="11" s="1"/>
  <c r="Y35" i="11"/>
  <c r="N35" i="11"/>
  <c r="O35" i="11"/>
  <c r="I43" i="11"/>
  <c r="X43" i="11" s="1"/>
  <c r="AH43" i="11"/>
  <c r="AJ43" i="11" s="1"/>
  <c r="AK43" i="11"/>
  <c r="G43" i="11"/>
  <c r="N43" i="11"/>
  <c r="Y43" i="11"/>
  <c r="O43" i="11"/>
  <c r="AH53" i="11"/>
  <c r="AJ53" i="11" s="1"/>
  <c r="AK53" i="11"/>
  <c r="I53" i="11"/>
  <c r="X53" i="11" s="1"/>
  <c r="G53" i="11"/>
  <c r="H53" i="11" s="1"/>
  <c r="Y53" i="11"/>
  <c r="N53" i="11"/>
  <c r="O53" i="11"/>
  <c r="R53" i="11" s="1"/>
  <c r="AH61" i="11"/>
  <c r="AJ61" i="11" s="1"/>
  <c r="I61" i="11"/>
  <c r="X61" i="11" s="1"/>
  <c r="AK61" i="11"/>
  <c r="G61" i="11"/>
  <c r="H61" i="11" s="1"/>
  <c r="O61" i="11"/>
  <c r="R61" i="11" s="1"/>
  <c r="N61" i="11"/>
  <c r="Y61" i="11"/>
  <c r="AH33" i="11"/>
  <c r="AJ33" i="11" s="1"/>
  <c r="AK33" i="11"/>
  <c r="I33" i="11"/>
  <c r="X33" i="11" s="1"/>
  <c r="G33" i="11"/>
  <c r="O33" i="11"/>
  <c r="Y33" i="11"/>
  <c r="N33" i="11"/>
  <c r="I34" i="11"/>
  <c r="X34" i="11" s="1"/>
  <c r="AK34" i="11"/>
  <c r="AH34" i="11"/>
  <c r="AJ34" i="11" s="1"/>
  <c r="G34" i="11"/>
  <c r="H34" i="11" s="1"/>
  <c r="N34" i="11"/>
  <c r="Y34" i="11"/>
  <c r="O34" i="11"/>
  <c r="AK70" i="11"/>
  <c r="AH70" i="11"/>
  <c r="AJ70" i="11" s="1"/>
  <c r="I70" i="11"/>
  <c r="X70" i="11" s="1"/>
  <c r="G70" i="11"/>
  <c r="H70" i="11" s="1"/>
  <c r="N70" i="11"/>
  <c r="Y70" i="11"/>
  <c r="O70" i="11"/>
  <c r="R70" i="11" s="1"/>
  <c r="I47" i="11"/>
  <c r="X47" i="11" s="1"/>
  <c r="AH47" i="11"/>
  <c r="AJ47" i="11" s="1"/>
  <c r="AK47" i="11"/>
  <c r="G47" i="11"/>
  <c r="O47" i="11"/>
  <c r="N47" i="11"/>
  <c r="Y47" i="11"/>
  <c r="I24" i="11"/>
  <c r="X24" i="11" s="1"/>
  <c r="AH24" i="11"/>
  <c r="AJ24" i="11" s="1"/>
  <c r="AK24" i="11"/>
  <c r="G24" i="11"/>
  <c r="H24" i="11" s="1"/>
  <c r="O24" i="11"/>
  <c r="Y24" i="11"/>
  <c r="N24" i="11"/>
  <c r="AH54" i="11"/>
  <c r="AJ54" i="11" s="1"/>
  <c r="I54" i="11"/>
  <c r="X54" i="11" s="1"/>
  <c r="AK54" i="11"/>
  <c r="G54" i="11"/>
  <c r="H54" i="11" s="1"/>
  <c r="N54" i="11"/>
  <c r="Y54" i="11"/>
  <c r="O54" i="11"/>
  <c r="R54" i="11" s="1"/>
  <c r="O79" i="11"/>
  <c r="AK71" i="11"/>
  <c r="I71" i="11"/>
  <c r="X71" i="11" s="1"/>
  <c r="AH71" i="11"/>
  <c r="AJ71" i="11" s="1"/>
  <c r="G71" i="11"/>
  <c r="H71" i="11" s="1"/>
  <c r="O78" i="11"/>
  <c r="O71" i="11"/>
  <c r="R71" i="11" s="1"/>
  <c r="Y71" i="11"/>
  <c r="N71" i="11"/>
  <c r="I18" i="11"/>
  <c r="X18" i="11" s="1"/>
  <c r="AK18" i="11"/>
  <c r="AH18" i="11"/>
  <c r="AJ18" i="11" s="1"/>
  <c r="G18" i="11"/>
  <c r="N18" i="11"/>
  <c r="H18" i="11"/>
  <c r="O18" i="11"/>
  <c r="Y18" i="11"/>
  <c r="AH51" i="11"/>
  <c r="AJ51" i="11" s="1"/>
  <c r="I51" i="11"/>
  <c r="X51" i="11" s="1"/>
  <c r="AK51" i="11"/>
  <c r="G51" i="11"/>
  <c r="H51" i="11"/>
  <c r="N51" i="11"/>
  <c r="O51" i="11"/>
  <c r="R51" i="11" s="1"/>
  <c r="Y51" i="11"/>
  <c r="I36" i="11"/>
  <c r="X36" i="11" s="1"/>
  <c r="AK36" i="11"/>
  <c r="AH36" i="11"/>
  <c r="AJ36" i="11" s="1"/>
  <c r="G36" i="11"/>
  <c r="H36" i="11" s="1"/>
  <c r="N36" i="11"/>
  <c r="O36" i="11"/>
  <c r="Y36" i="11"/>
  <c r="I38" i="11"/>
  <c r="X38" i="11" s="1"/>
  <c r="AH38" i="11"/>
  <c r="AJ38" i="11" s="1"/>
  <c r="AK38" i="11"/>
  <c r="G38" i="11"/>
  <c r="H38" i="11" s="1"/>
  <c r="Y38" i="11"/>
  <c r="N38" i="11"/>
  <c r="O38" i="11"/>
  <c r="AH29" i="11"/>
  <c r="AJ29" i="11" s="1"/>
  <c r="AK29" i="11"/>
  <c r="I29" i="11"/>
  <c r="X29" i="11" s="1"/>
  <c r="G29" i="11"/>
  <c r="H29" i="11" s="1"/>
  <c r="O29" i="11"/>
  <c r="N29" i="11"/>
  <c r="Y29" i="11"/>
  <c r="AK23" i="11"/>
  <c r="AH23" i="11"/>
  <c r="AJ23" i="11" s="1"/>
  <c r="I23" i="11"/>
  <c r="X23" i="11" s="1"/>
  <c r="G23" i="11"/>
  <c r="H23" i="11" s="1"/>
  <c r="N23" i="11"/>
  <c r="O23" i="11"/>
  <c r="Y23" i="11"/>
  <c r="AK49" i="11"/>
  <c r="I49" i="11"/>
  <c r="X49" i="11" s="1"/>
  <c r="AH49" i="11"/>
  <c r="AJ49" i="11" s="1"/>
  <c r="G49" i="11"/>
  <c r="Y49" i="11"/>
  <c r="N49" i="11"/>
  <c r="O49" i="11"/>
  <c r="R49" i="11" s="1"/>
  <c r="AH32" i="11"/>
  <c r="AJ32" i="11" s="1"/>
  <c r="AK32" i="11"/>
  <c r="I32" i="11"/>
  <c r="X32" i="11" s="1"/>
  <c r="G32" i="11"/>
  <c r="H32" i="11" s="1"/>
  <c r="N32" i="11"/>
  <c r="O32" i="11"/>
  <c r="Y32" i="11"/>
  <c r="I45" i="11"/>
  <c r="X45" i="11" s="1"/>
  <c r="AH45" i="11"/>
  <c r="AJ45" i="11" s="1"/>
  <c r="AK45" i="11"/>
  <c r="G45" i="11"/>
  <c r="H45" i="11" s="1"/>
  <c r="O45" i="11"/>
  <c r="N45" i="11"/>
  <c r="Y45" i="11"/>
  <c r="AK55" i="11"/>
  <c r="I55" i="11"/>
  <c r="X55" i="11" s="1"/>
  <c r="AH55" i="11"/>
  <c r="AJ55" i="11" s="1"/>
  <c r="G55" i="11"/>
  <c r="N55" i="11"/>
  <c r="O55" i="11"/>
  <c r="R55" i="11" s="1"/>
  <c r="Y55" i="11"/>
  <c r="AH20" i="11"/>
  <c r="AJ20" i="11" s="1"/>
  <c r="I20" i="11"/>
  <c r="X20" i="11" s="1"/>
  <c r="AK20" i="11"/>
  <c r="G20" i="11"/>
  <c r="H20" i="11" s="1"/>
  <c r="O20" i="11"/>
  <c r="Y20" i="11"/>
  <c r="N20" i="11"/>
  <c r="AH28" i="11"/>
  <c r="AJ28" i="11" s="1"/>
  <c r="AK28" i="11"/>
  <c r="I28" i="11"/>
  <c r="X28" i="11" s="1"/>
  <c r="G28" i="11"/>
  <c r="H28" i="11" s="1"/>
  <c r="Y28" i="11"/>
  <c r="O28" i="11"/>
  <c r="N28" i="11"/>
  <c r="AK64" i="11"/>
  <c r="I64" i="11"/>
  <c r="X64" i="11" s="1"/>
  <c r="AH64" i="11"/>
  <c r="AJ64" i="11" s="1"/>
  <c r="G64" i="11"/>
  <c r="Y64" i="11"/>
  <c r="O64" i="11"/>
  <c r="R64" i="11" s="1"/>
  <c r="N64" i="11"/>
  <c r="AH66" i="11"/>
  <c r="AJ66" i="11" s="1"/>
  <c r="I66" i="11"/>
  <c r="X66" i="11" s="1"/>
  <c r="AK66" i="11"/>
  <c r="G66" i="11"/>
  <c r="H66" i="11" s="1"/>
  <c r="O66" i="11"/>
  <c r="R66" i="11" s="1"/>
  <c r="N66" i="11"/>
  <c r="Y66" i="11"/>
  <c r="AH48" i="11"/>
  <c r="AJ48" i="11" s="1"/>
  <c r="AK48" i="11"/>
  <c r="I48" i="11"/>
  <c r="X48" i="11" s="1"/>
  <c r="G48" i="11"/>
  <c r="H48" i="11" s="1"/>
  <c r="O48" i="11"/>
  <c r="R48" i="11" s="1"/>
  <c r="N48" i="11"/>
  <c r="Y48" i="11"/>
  <c r="AH68" i="11"/>
  <c r="AJ68" i="11" s="1"/>
  <c r="I68" i="11"/>
  <c r="X68" i="11" s="1"/>
  <c r="AK68" i="11"/>
  <c r="G68" i="11"/>
  <c r="O68" i="11"/>
  <c r="R68" i="11" s="1"/>
  <c r="Y68" i="11"/>
  <c r="N68" i="11"/>
  <c r="I59" i="11"/>
  <c r="X59" i="11" s="1"/>
  <c r="AH59" i="11"/>
  <c r="AJ59" i="11" s="1"/>
  <c r="AK59" i="11"/>
  <c r="G59" i="11"/>
  <c r="H59" i="11" s="1"/>
  <c r="Y59" i="11"/>
  <c r="O59" i="11"/>
  <c r="R59" i="11" s="1"/>
  <c r="N59" i="11"/>
  <c r="AK41" i="11"/>
  <c r="AH41" i="11"/>
  <c r="AJ41" i="11" s="1"/>
  <c r="I41" i="11"/>
  <c r="X41" i="11" s="1"/>
  <c r="G41" i="11"/>
  <c r="H41" i="11" s="1"/>
  <c r="O41" i="11"/>
  <c r="N41" i="11"/>
  <c r="Y41" i="11"/>
  <c r="AH60" i="11"/>
  <c r="AJ60" i="11" s="1"/>
  <c r="I60" i="11"/>
  <c r="X60" i="11" s="1"/>
  <c r="AK60" i="11"/>
  <c r="G60" i="11"/>
  <c r="H60" i="11" s="1"/>
  <c r="N60" i="11"/>
  <c r="O60" i="11"/>
  <c r="R60" i="11" s="1"/>
  <c r="Y60" i="11"/>
  <c r="I37" i="11"/>
  <c r="X37" i="11" s="1"/>
  <c r="AH37" i="11"/>
  <c r="AJ37" i="11" s="1"/>
  <c r="AK37" i="11"/>
  <c r="G37" i="11"/>
  <c r="N37" i="11"/>
  <c r="O37" i="11"/>
  <c r="Y37" i="11"/>
  <c r="H37" i="11"/>
  <c r="AK25" i="11"/>
  <c r="AH25" i="11"/>
  <c r="AJ25" i="11" s="1"/>
  <c r="I25" i="11"/>
  <c r="X25" i="11" s="1"/>
  <c r="G25" i="11"/>
  <c r="H25" i="11" s="1"/>
  <c r="Y25" i="11"/>
  <c r="O25" i="11"/>
  <c r="N25" i="11"/>
  <c r="I22" i="11"/>
  <c r="X22" i="11" s="1"/>
  <c r="AK22" i="11"/>
  <c r="AH22" i="11"/>
  <c r="AJ22" i="11" s="1"/>
  <c r="G22" i="11"/>
  <c r="H22" i="11" s="1"/>
  <c r="O22" i="11"/>
  <c r="N22" i="11"/>
  <c r="Y22" i="11"/>
  <c r="I26" i="11"/>
  <c r="X26" i="11" s="1"/>
  <c r="AK26" i="11"/>
  <c r="AH26" i="11"/>
  <c r="AJ26" i="11" s="1"/>
  <c r="G26" i="11"/>
  <c r="H26" i="11" s="1"/>
  <c r="Y26" i="11"/>
  <c r="N26" i="11"/>
  <c r="O26" i="11"/>
  <c r="AH62" i="11"/>
  <c r="AJ62" i="11" s="1"/>
  <c r="AK62" i="11"/>
  <c r="I62" i="11"/>
  <c r="X62" i="11" s="1"/>
  <c r="G62" i="11"/>
  <c r="H62" i="11" s="1"/>
  <c r="N62" i="11"/>
  <c r="O62" i="11"/>
  <c r="R62" i="11" s="1"/>
  <c r="Y62" i="11"/>
  <c r="H17" i="18"/>
  <c r="U30" i="11" l="1"/>
  <c r="V30" i="11" s="1"/>
  <c r="T30" i="11"/>
  <c r="AN62" i="11"/>
  <c r="AO62" i="11" s="1"/>
  <c r="AM62" i="11"/>
  <c r="AN28" i="11"/>
  <c r="AO28" i="11" s="1"/>
  <c r="AM28" i="11"/>
  <c r="U33" i="11"/>
  <c r="V33" i="11" s="1"/>
  <c r="T33" i="11"/>
  <c r="T40" i="11"/>
  <c r="U40" i="11"/>
  <c r="V40" i="11" s="1"/>
  <c r="AN42" i="11"/>
  <c r="AO42" i="11" s="1"/>
  <c r="AM42" i="11"/>
  <c r="AN38" i="11"/>
  <c r="AO38" i="11" s="1"/>
  <c r="AM38" i="11"/>
  <c r="AN52" i="11"/>
  <c r="AO52" i="11" s="1"/>
  <c r="AM52" i="11"/>
  <c r="X73" i="11"/>
  <c r="X74" i="11" s="1"/>
  <c r="AN22" i="11"/>
  <c r="AO22" i="11" s="1"/>
  <c r="AM22" i="11"/>
  <c r="R37" i="11"/>
  <c r="W37" i="11"/>
  <c r="AN18" i="11"/>
  <c r="AO18" i="11" s="1"/>
  <c r="AM18" i="11"/>
  <c r="T24" i="11"/>
  <c r="AD24" i="11" s="1"/>
  <c r="U24" i="11"/>
  <c r="V24" i="11" s="1"/>
  <c r="T34" i="11"/>
  <c r="AD34" i="11" s="1"/>
  <c r="U34" i="11"/>
  <c r="V34" i="11" s="1"/>
  <c r="T53" i="11"/>
  <c r="AE53" i="11" s="1"/>
  <c r="U53" i="11"/>
  <c r="W53" i="11" s="1"/>
  <c r="W35" i="11"/>
  <c r="R35" i="11"/>
  <c r="U27" i="11"/>
  <c r="V27" i="11" s="1"/>
  <c r="T27" i="11"/>
  <c r="AD27" i="11" s="1"/>
  <c r="T46" i="11"/>
  <c r="AD46" i="11" s="1"/>
  <c r="U46" i="11"/>
  <c r="R17" i="11"/>
  <c r="W17" i="11"/>
  <c r="T31" i="11"/>
  <c r="AE31" i="11" s="1"/>
  <c r="U31" i="11"/>
  <c r="V31" i="11" s="1"/>
  <c r="U63" i="11"/>
  <c r="W63" i="11" s="1"/>
  <c r="T63" i="11"/>
  <c r="AD63" i="11" s="1"/>
  <c r="U19" i="11"/>
  <c r="V19" i="11" s="1"/>
  <c r="T19" i="11"/>
  <c r="AD19" i="11" s="1"/>
  <c r="U39" i="11"/>
  <c r="V39" i="11" s="1"/>
  <c r="T39" i="11"/>
  <c r="AE39" i="11" s="1"/>
  <c r="T67" i="11"/>
  <c r="AE67" i="11" s="1"/>
  <c r="U67" i="11"/>
  <c r="W67" i="11" s="1"/>
  <c r="R34" i="11"/>
  <c r="W34" i="11"/>
  <c r="T16" i="11"/>
  <c r="U16" i="11"/>
  <c r="AN65" i="11"/>
  <c r="AO65" i="11" s="1"/>
  <c r="AM65" i="11"/>
  <c r="T38" i="11"/>
  <c r="AE38" i="11" s="1"/>
  <c r="U38" i="11"/>
  <c r="V38" i="11" s="1"/>
  <c r="W31" i="11"/>
  <c r="R31" i="11"/>
  <c r="R32" i="11"/>
  <c r="W32" i="11"/>
  <c r="AN55" i="11"/>
  <c r="AO55" i="11" s="1"/>
  <c r="AM55" i="11"/>
  <c r="AN46" i="11"/>
  <c r="AO46" i="11" s="1"/>
  <c r="AM46" i="11"/>
  <c r="AN63" i="11"/>
  <c r="AO63" i="11" s="1"/>
  <c r="AM63" i="11"/>
  <c r="AN67" i="11"/>
  <c r="AO67" i="11" s="1"/>
  <c r="AM67" i="11"/>
  <c r="AN48" i="11"/>
  <c r="AO48" i="11" s="1"/>
  <c r="AM48" i="11"/>
  <c r="AN23" i="11"/>
  <c r="AO23" i="11" s="1"/>
  <c r="AM23" i="11"/>
  <c r="AN21" i="11"/>
  <c r="AO21" i="11" s="1"/>
  <c r="AM21" i="11"/>
  <c r="U55" i="11"/>
  <c r="W55" i="11" s="1"/>
  <c r="T55" i="11"/>
  <c r="AN64" i="11"/>
  <c r="AO64" i="11" s="1"/>
  <c r="AM64" i="11"/>
  <c r="AN24" i="11"/>
  <c r="AO24" i="11" s="1"/>
  <c r="AM24" i="11"/>
  <c r="T59" i="11"/>
  <c r="AD59" i="11" s="1"/>
  <c r="U59" i="11"/>
  <c r="W59" i="11" s="1"/>
  <c r="R22" i="11"/>
  <c r="W22" i="11"/>
  <c r="U47" i="11"/>
  <c r="T47" i="11"/>
  <c r="U52" i="11"/>
  <c r="W52" i="11" s="1"/>
  <c r="T52" i="11"/>
  <c r="U42" i="11"/>
  <c r="T42" i="11"/>
  <c r="AN41" i="11"/>
  <c r="AO41" i="11" s="1"/>
  <c r="AM41" i="11"/>
  <c r="U60" i="11"/>
  <c r="W60" i="11" s="1"/>
  <c r="T60" i="11"/>
  <c r="AD60" i="11" s="1"/>
  <c r="U64" i="11"/>
  <c r="W64" i="11" s="1"/>
  <c r="T64" i="11"/>
  <c r="U49" i="11"/>
  <c r="W49" i="11" s="1"/>
  <c r="T49" i="11"/>
  <c r="T18" i="11"/>
  <c r="AD18" i="11" s="1"/>
  <c r="U18" i="11"/>
  <c r="V18" i="11" s="1"/>
  <c r="AN33" i="11"/>
  <c r="AO33" i="11" s="1"/>
  <c r="AM33" i="11"/>
  <c r="AN40" i="11"/>
  <c r="AO40" i="11" s="1"/>
  <c r="AM40" i="11"/>
  <c r="AN60" i="11"/>
  <c r="AO60" i="11" s="1"/>
  <c r="AM60" i="11"/>
  <c r="AN68" i="11"/>
  <c r="AO68" i="11" s="1"/>
  <c r="AM68" i="11"/>
  <c r="W24" i="11"/>
  <c r="R24" i="11"/>
  <c r="R20" i="11"/>
  <c r="W20" i="11"/>
  <c r="AN49" i="11"/>
  <c r="AO49" i="11" s="1"/>
  <c r="AM49" i="11"/>
  <c r="W29" i="11"/>
  <c r="R29" i="11"/>
  <c r="T26" i="11"/>
  <c r="AE26" i="11" s="1"/>
  <c r="U26" i="11"/>
  <c r="V26" i="11" s="1"/>
  <c r="U37" i="11"/>
  <c r="V37" i="11" s="1"/>
  <c r="T37" i="11"/>
  <c r="AE37" i="11" s="1"/>
  <c r="U66" i="11"/>
  <c r="W66" i="11" s="1"/>
  <c r="T66" i="11"/>
  <c r="AE66" i="11" s="1"/>
  <c r="U20" i="11"/>
  <c r="V20" i="11" s="1"/>
  <c r="T20" i="11"/>
  <c r="AD20" i="11" s="1"/>
  <c r="U32" i="11"/>
  <c r="V32" i="11" s="1"/>
  <c r="T32" i="11"/>
  <c r="AE32" i="11" s="1"/>
  <c r="U29" i="11"/>
  <c r="V29" i="11" s="1"/>
  <c r="T29" i="11"/>
  <c r="AE29" i="11" s="1"/>
  <c r="U51" i="11"/>
  <c r="W51" i="11" s="1"/>
  <c r="T51" i="11"/>
  <c r="AE51" i="11" s="1"/>
  <c r="N76" i="11"/>
  <c r="N72" i="11"/>
  <c r="AE72" i="11" s="1"/>
  <c r="AN34" i="11"/>
  <c r="AO34" i="11" s="1"/>
  <c r="AM34" i="11"/>
  <c r="AN53" i="11"/>
  <c r="AO53" i="11" s="1"/>
  <c r="AM53" i="11"/>
  <c r="AN27" i="11"/>
  <c r="AO27" i="11" s="1"/>
  <c r="AM27" i="11"/>
  <c r="R25" i="11"/>
  <c r="W25" i="11"/>
  <c r="AN37" i="11"/>
  <c r="AO37" i="11" s="1"/>
  <c r="AM37" i="11"/>
  <c r="AN59" i="11"/>
  <c r="AO59" i="11" s="1"/>
  <c r="AM59" i="11"/>
  <c r="AN66" i="11"/>
  <c r="AO66" i="11" s="1"/>
  <c r="AM66" i="11"/>
  <c r="W28" i="11"/>
  <c r="R28" i="11"/>
  <c r="AN20" i="11"/>
  <c r="AO20" i="11" s="1"/>
  <c r="AM20" i="11"/>
  <c r="R23" i="11"/>
  <c r="W23" i="11"/>
  <c r="W36" i="11"/>
  <c r="R36" i="11"/>
  <c r="AN51" i="11"/>
  <c r="AO51" i="11" s="1"/>
  <c r="AM51" i="11"/>
  <c r="AN31" i="11"/>
  <c r="AO31" i="11" s="1"/>
  <c r="AM31" i="11"/>
  <c r="W44" i="11"/>
  <c r="R44" i="11"/>
  <c r="AN19" i="11"/>
  <c r="AO19" i="11" s="1"/>
  <c r="AM19" i="11"/>
  <c r="AN39" i="11"/>
  <c r="AO39" i="11" s="1"/>
  <c r="AM39" i="11"/>
  <c r="T21" i="11"/>
  <c r="U21" i="11"/>
  <c r="V21" i="11" s="1"/>
  <c r="AN25" i="11"/>
  <c r="AO25" i="11" s="1"/>
  <c r="AM25" i="11"/>
  <c r="AN47" i="11"/>
  <c r="AO47" i="11" s="1"/>
  <c r="AM47" i="11"/>
  <c r="AN30" i="11"/>
  <c r="AO30" i="11" s="1"/>
  <c r="AM30" i="11"/>
  <c r="R26" i="11"/>
  <c r="W26" i="11"/>
  <c r="AJ73" i="11"/>
  <c r="AJ74" i="11" s="1"/>
  <c r="AN32" i="11"/>
  <c r="AO32" i="11" s="1"/>
  <c r="AM32" i="11"/>
  <c r="AN29" i="11"/>
  <c r="AO29" i="11" s="1"/>
  <c r="AM29" i="11"/>
  <c r="U54" i="11"/>
  <c r="W54" i="11" s="1"/>
  <c r="T54" i="11"/>
  <c r="AE54" i="11" s="1"/>
  <c r="U70" i="11"/>
  <c r="W70" i="11" s="1"/>
  <c r="T70" i="11"/>
  <c r="AD70" i="11" s="1"/>
  <c r="U61" i="11"/>
  <c r="W61" i="11" s="1"/>
  <c r="T61" i="11"/>
  <c r="AE61" i="11" s="1"/>
  <c r="W43" i="11"/>
  <c r="R43" i="11"/>
  <c r="U35" i="11"/>
  <c r="V35" i="11" s="1"/>
  <c r="T35" i="11"/>
  <c r="AD35" i="11" s="1"/>
  <c r="T57" i="11"/>
  <c r="AD57" i="11" s="1"/>
  <c r="U57" i="11"/>
  <c r="W57" i="11" s="1"/>
  <c r="R40" i="11"/>
  <c r="W40" i="11"/>
  <c r="U17" i="11"/>
  <c r="V17" i="11" s="1"/>
  <c r="T17" i="11"/>
  <c r="AE17" i="11" s="1"/>
  <c r="U44" i="11"/>
  <c r="T44" i="11"/>
  <c r="AE44" i="11" s="1"/>
  <c r="T58" i="11"/>
  <c r="AE58" i="11" s="1"/>
  <c r="U58" i="11"/>
  <c r="W58" i="11" s="1"/>
  <c r="N73" i="11"/>
  <c r="N74" i="11" s="1"/>
  <c r="U56" i="11"/>
  <c r="W56" i="11" s="1"/>
  <c r="T56" i="11"/>
  <c r="AD56" i="11" s="1"/>
  <c r="H21" i="11"/>
  <c r="U50" i="11"/>
  <c r="W50" i="11" s="1"/>
  <c r="T50" i="11"/>
  <c r="AE50" i="11" s="1"/>
  <c r="T69" i="11"/>
  <c r="AE69" i="11" s="1"/>
  <c r="U69" i="11"/>
  <c r="W69" i="11" s="1"/>
  <c r="T43" i="11"/>
  <c r="U43" i="11"/>
  <c r="R19" i="11"/>
  <c r="W19" i="11"/>
  <c r="AN43" i="11"/>
  <c r="AO43" i="11" s="1"/>
  <c r="AM43" i="11"/>
  <c r="R41" i="11"/>
  <c r="W41" i="11"/>
  <c r="R45" i="11"/>
  <c r="W45" i="11"/>
  <c r="AN54" i="11"/>
  <c r="AO54" i="11" s="1"/>
  <c r="AM54" i="11"/>
  <c r="H47" i="11"/>
  <c r="AN61" i="11"/>
  <c r="AO61" i="11" s="1"/>
  <c r="AM61" i="11"/>
  <c r="AN35" i="11"/>
  <c r="AO35" i="11" s="1"/>
  <c r="AM35" i="11"/>
  <c r="H40" i="11"/>
  <c r="H30" i="11"/>
  <c r="AN58" i="11"/>
  <c r="AO58" i="11" s="1"/>
  <c r="AM58" i="11"/>
  <c r="Y73" i="11"/>
  <c r="Y74" i="11" s="1"/>
  <c r="AN56" i="11"/>
  <c r="AO56" i="11" s="1"/>
  <c r="AM56" i="11"/>
  <c r="AN36" i="11"/>
  <c r="AO36" i="11" s="1"/>
  <c r="AM36" i="11"/>
  <c r="W46" i="11"/>
  <c r="R46" i="11"/>
  <c r="AN16" i="11"/>
  <c r="AO16" i="11" s="1"/>
  <c r="AM16" i="11"/>
  <c r="U68" i="11"/>
  <c r="W68" i="11" s="1"/>
  <c r="T68" i="11"/>
  <c r="AN71" i="11"/>
  <c r="AO71" i="11" s="1"/>
  <c r="AM71" i="11"/>
  <c r="U48" i="11"/>
  <c r="W48" i="11" s="1"/>
  <c r="T48" i="11"/>
  <c r="AE48" i="11" s="1"/>
  <c r="U45" i="11"/>
  <c r="T45" i="11"/>
  <c r="AE45" i="11" s="1"/>
  <c r="U36" i="11"/>
  <c r="V36" i="11" s="1"/>
  <c r="T36" i="11"/>
  <c r="AD36" i="11" s="1"/>
  <c r="H33" i="11"/>
  <c r="H52" i="11"/>
  <c r="R30" i="11"/>
  <c r="W30" i="11"/>
  <c r="W16" i="11"/>
  <c r="O73" i="11"/>
  <c r="O74" i="11" s="1"/>
  <c r="R16" i="11"/>
  <c r="AN50" i="11"/>
  <c r="AO50" i="11" s="1"/>
  <c r="AM50" i="11"/>
  <c r="H42" i="11"/>
  <c r="W27" i="11"/>
  <c r="R27" i="11"/>
  <c r="T65" i="11"/>
  <c r="AE65" i="11" s="1"/>
  <c r="U65" i="11"/>
  <c r="W65" i="11" s="1"/>
  <c r="U22" i="11"/>
  <c r="V22" i="11" s="1"/>
  <c r="T22" i="11"/>
  <c r="AD22" i="11" s="1"/>
  <c r="R39" i="11"/>
  <c r="W39" i="11"/>
  <c r="AN26" i="11"/>
  <c r="AO26" i="11" s="1"/>
  <c r="AM26" i="11"/>
  <c r="U62" i="11"/>
  <c r="W62" i="11" s="1"/>
  <c r="T62" i="11"/>
  <c r="AD62" i="11" s="1"/>
  <c r="U25" i="11"/>
  <c r="V25" i="11" s="1"/>
  <c r="T25" i="11"/>
  <c r="AD25" i="11" s="1"/>
  <c r="U41" i="11"/>
  <c r="T41" i="11"/>
  <c r="AD41" i="11" s="1"/>
  <c r="H64" i="11"/>
  <c r="T28" i="11"/>
  <c r="AE28" i="11" s="1"/>
  <c r="U28" i="11"/>
  <c r="V28" i="11" s="1"/>
  <c r="H49" i="11"/>
  <c r="T23" i="11"/>
  <c r="AD23" i="11" s="1"/>
  <c r="U23" i="11"/>
  <c r="V23" i="11" s="1"/>
  <c r="W38" i="11"/>
  <c r="R38" i="11"/>
  <c r="H68" i="11"/>
  <c r="H55" i="11"/>
  <c r="AN45" i="11"/>
  <c r="AO45" i="11" s="1"/>
  <c r="AM45" i="11"/>
  <c r="R18" i="11"/>
  <c r="W18" i="11"/>
  <c r="U71" i="11"/>
  <c r="W71" i="11" s="1"/>
  <c r="T71" i="11"/>
  <c r="AE71" i="11" s="1"/>
  <c r="R47" i="11"/>
  <c r="W47" i="11"/>
  <c r="AN70" i="11"/>
  <c r="AO70" i="11" s="1"/>
  <c r="AM70" i="11"/>
  <c r="R33" i="11"/>
  <c r="W33" i="11"/>
  <c r="H43" i="11"/>
  <c r="AN57" i="11"/>
  <c r="AO57" i="11" s="1"/>
  <c r="AM57" i="11"/>
  <c r="AN17" i="11"/>
  <c r="AO17" i="11" s="1"/>
  <c r="AM17" i="11"/>
  <c r="AN44" i="11"/>
  <c r="AO44" i="11" s="1"/>
  <c r="AM44" i="11"/>
  <c r="H16" i="11"/>
  <c r="R21" i="11"/>
  <c r="W21" i="11"/>
  <c r="W42" i="11"/>
  <c r="R42" i="11"/>
  <c r="AN69" i="11"/>
  <c r="AO69" i="11" s="1"/>
  <c r="AM69" i="11"/>
  <c r="E10" i="18"/>
  <c r="AE46" i="11" l="1"/>
  <c r="AD67" i="11"/>
  <c r="AE27" i="11"/>
  <c r="AE62" i="11"/>
  <c r="AE24" i="11"/>
  <c r="AD39" i="11"/>
  <c r="AD69" i="11"/>
  <c r="AE34" i="11"/>
  <c r="AD48" i="11"/>
  <c r="AE60" i="11"/>
  <c r="AD51" i="11"/>
  <c r="AD38" i="11"/>
  <c r="AE36" i="11"/>
  <c r="AD50" i="11"/>
  <c r="AD26" i="11"/>
  <c r="AE57" i="11"/>
  <c r="AE20" i="11"/>
  <c r="AD54" i="11"/>
  <c r="AE56" i="11"/>
  <c r="AE23" i="11"/>
  <c r="AE63" i="11"/>
  <c r="AE19" i="11"/>
  <c r="AD17" i="11"/>
  <c r="AE59" i="11"/>
  <c r="AE35" i="11"/>
  <c r="AE22" i="11"/>
  <c r="AD53" i="11"/>
  <c r="AD29" i="11"/>
  <c r="V16" i="11"/>
  <c r="U73" i="11"/>
  <c r="U74" i="11" s="1"/>
  <c r="U14" i="11" s="1"/>
  <c r="AD61" i="11"/>
  <c r="AE55" i="11"/>
  <c r="AD55" i="11"/>
  <c r="AE64" i="11"/>
  <c r="AD64" i="11"/>
  <c r="T73" i="11"/>
  <c r="T74" i="11" s="1"/>
  <c r="H25" i="18" s="1"/>
  <c r="AE52" i="11"/>
  <c r="AD52" i="11"/>
  <c r="AE68" i="11"/>
  <c r="AD68" i="11"/>
  <c r="AE33" i="11"/>
  <c r="AD33" i="11"/>
  <c r="AE30" i="11"/>
  <c r="AD30" i="11"/>
  <c r="AD58" i="11"/>
  <c r="AM73" i="11"/>
  <c r="AM74" i="11" s="1"/>
  <c r="AE40" i="11"/>
  <c r="AD40" i="11"/>
  <c r="AD28" i="11"/>
  <c r="AE41" i="11"/>
  <c r="AD65" i="11"/>
  <c r="AD66" i="11"/>
  <c r="AE43" i="11"/>
  <c r="AD43" i="11"/>
  <c r="AD31" i="11"/>
  <c r="AD37" i="11"/>
  <c r="AE70" i="11"/>
  <c r="AD71" i="11"/>
  <c r="AE16" i="11"/>
  <c r="AD16" i="11"/>
  <c r="AE25" i="11"/>
  <c r="AE21" i="11"/>
  <c r="AD21" i="11"/>
  <c r="AE18" i="11"/>
  <c r="AD44" i="11"/>
  <c r="AO73" i="11"/>
  <c r="AO74" i="11" s="1"/>
  <c r="AD42" i="11"/>
  <c r="AE42" i="11"/>
  <c r="AE49" i="11"/>
  <c r="AD49" i="11"/>
  <c r="AD45" i="11"/>
  <c r="AD32" i="11"/>
  <c r="R74" i="11"/>
  <c r="AD47" i="11"/>
  <c r="AE47" i="11"/>
  <c r="AE73" i="11" l="1"/>
  <c r="AE74" i="11" s="1"/>
  <c r="AD73" i="11"/>
  <c r="AD74" i="11" s="1"/>
  <c r="I10" i="11" s="1"/>
  <c r="AP25" i="11" l="1"/>
  <c r="Z18" i="11"/>
  <c r="AP38" i="11"/>
  <c r="Z62" i="11"/>
  <c r="AP43" i="11"/>
  <c r="Z33" i="11"/>
  <c r="Z39" i="11"/>
  <c r="Z31" i="11"/>
  <c r="AP71" i="11"/>
  <c r="AU51" i="11"/>
  <c r="AU55" i="11"/>
  <c r="Z16" i="11"/>
  <c r="Z53" i="11"/>
  <c r="Z20" i="11"/>
  <c r="Z67" i="11"/>
  <c r="AP26" i="11"/>
  <c r="AP17" i="11"/>
  <c r="Z71" i="11"/>
  <c r="AP68" i="11"/>
  <c r="AP69" i="11"/>
  <c r="Z60" i="11"/>
  <c r="AP66" i="11"/>
  <c r="AU64" i="11"/>
  <c r="AU49" i="11"/>
  <c r="Z63" i="11"/>
  <c r="AP32" i="11"/>
  <c r="AP63" i="11"/>
  <c r="AU22" i="11"/>
  <c r="AU48" i="11"/>
  <c r="AU62" i="11"/>
  <c r="AU47" i="11"/>
  <c r="Z54" i="11"/>
  <c r="AU16" i="11"/>
  <c r="Z44" i="11"/>
  <c r="AP46" i="11"/>
  <c r="AP58" i="11"/>
  <c r="AU38" i="11"/>
  <c r="AP16" i="11"/>
  <c r="AU31" i="11"/>
  <c r="Z48" i="11"/>
  <c r="AP30" i="11"/>
  <c r="AU43" i="11"/>
  <c r="AU35" i="11"/>
  <c r="Z52" i="11"/>
  <c r="Z58" i="11"/>
  <c r="AU18" i="11"/>
  <c r="AP55" i="11"/>
  <c r="Z55" i="11"/>
  <c r="AP54" i="11"/>
  <c r="AP62" i="11"/>
  <c r="AU30" i="11"/>
  <c r="AU45" i="11"/>
  <c r="AP49" i="11"/>
  <c r="Z49" i="11"/>
  <c r="AP40" i="11"/>
  <c r="AP60" i="11"/>
  <c r="AU21" i="11"/>
  <c r="Z46" i="11"/>
  <c r="AP42" i="11"/>
  <c r="AU57" i="11"/>
  <c r="AU23" i="11"/>
  <c r="AP31" i="11"/>
  <c r="AU19" i="11"/>
  <c r="Z36" i="11"/>
  <c r="AP57" i="11"/>
  <c r="Z40" i="11"/>
  <c r="AU32" i="11"/>
  <c r="AU70" i="11"/>
  <c r="Z51" i="11"/>
  <c r="AU67" i="11"/>
  <c r="Z35" i="11"/>
  <c r="Z17" i="11"/>
  <c r="Z28" i="11"/>
  <c r="AP41" i="11"/>
  <c r="AP36" i="11"/>
  <c r="AP53" i="11"/>
  <c r="AP50" i="11"/>
  <c r="Z57" i="11"/>
  <c r="AU65" i="11"/>
  <c r="AU33" i="11"/>
  <c r="AP65" i="11"/>
  <c r="AP29" i="11"/>
  <c r="AP21" i="11"/>
  <c r="AU53" i="11"/>
  <c r="AU69" i="11"/>
  <c r="AP22" i="11"/>
  <c r="Z43" i="11"/>
  <c r="Z69" i="11"/>
  <c r="AP52" i="11"/>
  <c r="AU41" i="11"/>
  <c r="AP48" i="11"/>
  <c r="AU56" i="11"/>
  <c r="AP51" i="11"/>
  <c r="Z70" i="11"/>
  <c r="AP23" i="11"/>
  <c r="AP61" i="11"/>
  <c r="AU28" i="11"/>
  <c r="AU40" i="11"/>
  <c r="Z65" i="11"/>
  <c r="Z45" i="11"/>
  <c r="Z24" i="11"/>
  <c r="AU39" i="11"/>
  <c r="AU44" i="11"/>
  <c r="Z56" i="11"/>
  <c r="AP59" i="11"/>
  <c r="AU24" i="11"/>
  <c r="AP20" i="11"/>
  <c r="Z23" i="11"/>
  <c r="AU34" i="11"/>
  <c r="AU20" i="11"/>
  <c r="AP45" i="11"/>
  <c r="Z32" i="11"/>
  <c r="AP27" i="11"/>
  <c r="L27" i="18"/>
  <c r="Q27" i="18" s="1"/>
  <c r="AP64" i="11"/>
  <c r="AP33" i="11"/>
  <c r="Z19" i="11"/>
  <c r="Z61" i="11"/>
  <c r="Z30" i="11"/>
  <c r="AP19" i="11"/>
  <c r="AU71" i="11"/>
  <c r="Z25" i="11"/>
  <c r="AU36" i="11"/>
  <c r="AU17" i="11"/>
  <c r="AU58" i="11"/>
  <c r="AU66" i="11"/>
  <c r="AU59" i="11"/>
  <c r="AU25" i="11"/>
  <c r="Z64" i="11"/>
  <c r="AU61" i="11"/>
  <c r="Z26" i="11"/>
  <c r="Z42" i="11"/>
  <c r="Z22" i="11"/>
  <c r="AP70" i="11"/>
  <c r="AP18" i="11"/>
  <c r="AU68" i="11"/>
  <c r="AU50" i="11"/>
  <c r="AU29" i="11"/>
  <c r="Z41" i="11"/>
  <c r="Z38" i="11"/>
  <c r="AP56" i="11"/>
  <c r="AP35" i="11"/>
  <c r="AU52" i="11"/>
  <c r="AP24" i="11"/>
  <c r="AU27" i="11"/>
  <c r="Z21" i="11"/>
  <c r="Z59" i="11"/>
  <c r="AU26" i="11"/>
  <c r="Z29" i="11"/>
  <c r="AP67" i="11"/>
  <c r="AP44" i="11"/>
  <c r="AU63" i="11"/>
  <c r="AP39" i="11"/>
  <c r="Z68" i="11"/>
  <c r="AU37" i="11"/>
  <c r="AP28" i="11"/>
  <c r="Z47" i="11"/>
  <c r="Z34" i="11"/>
  <c r="Z27" i="11"/>
  <c r="AU42" i="11"/>
  <c r="AP34" i="11"/>
  <c r="AU46" i="11"/>
  <c r="AP47" i="11"/>
  <c r="Z50" i="11"/>
  <c r="AU60" i="11"/>
  <c r="Z66" i="11"/>
  <c r="AU54" i="11"/>
  <c r="AP37" i="11"/>
  <c r="Z37" i="11"/>
  <c r="Z73" i="11" l="1"/>
  <c r="Z74" i="11" s="1"/>
  <c r="I12" i="11" s="1"/>
  <c r="AU73" i="11"/>
  <c r="AU74" i="11" s="1"/>
  <c r="AP73" i="11"/>
  <c r="AP74" i="11" s="1"/>
  <c r="I13" i="1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Vermeij, Izak</author>
  </authors>
  <commentList>
    <comment ref="H19" authorId="0" shapeId="0" xr:uid="{06345C8E-D5B8-4B71-87C1-6898E6CBB9BF}">
      <text>
        <r>
          <rPr>
            <sz val="12"/>
            <color indexed="81"/>
            <rFont val="Calibri"/>
            <family val="2"/>
          </rPr>
          <t xml:space="preserve">Vanwege leklucht is maximaal haalbare reductie 95%
</t>
        </r>
      </text>
    </comment>
    <comment ref="H24" authorId="0" shapeId="0" xr:uid="{E957FDF1-5D5A-4EA9-9F34-2D55A92EB816}">
      <text>
        <r>
          <rPr>
            <sz val="12"/>
            <color indexed="81"/>
            <rFont val="Calibri"/>
            <family val="2"/>
          </rPr>
          <t xml:space="preserve">Vanwege leklucht zal de gerealiseerde reductie bij stoffilter maximaal 95% zijn en wordt 99% niet gerealiseerd.
</t>
        </r>
      </text>
    </comment>
    <comment ref="L24" authorId="0" shapeId="0" xr:uid="{0FD5AAD6-FCD3-4E1C-93E1-6D17F763E023}">
      <text>
        <r>
          <rPr>
            <sz val="12"/>
            <color indexed="81"/>
            <rFont val="Calibri"/>
            <family val="2"/>
          </rPr>
          <t>Hier staat reductiepercentage van techniek zelf. Door de combinatie met andere technieken, zal het hieronder vermelde gerealiseerde percentage lager uitvallen.</t>
        </r>
        <r>
          <rPr>
            <sz val="9"/>
            <color indexed="81"/>
            <rFont val="Tahoma"/>
            <family val="2"/>
          </rPr>
          <t xml:space="preserve">
</t>
        </r>
      </text>
    </comment>
    <comment ref="L27" authorId="0" shapeId="0" xr:uid="{A4706FC1-8EC3-4004-97A3-17D17E52E887}">
      <text>
        <r>
          <rPr>
            <sz val="12"/>
            <color indexed="81"/>
            <rFont val="Calibri"/>
            <family val="2"/>
          </rPr>
          <t xml:space="preserve">Dit reductiepercentage is gebaseerd op het deel van de lucht dat door de overige techniek gaat en wordt beinvloed door de voorgaande technieken.
Enkele regels hierboven staat het reductiepercentage van de techniek 'an sich'.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tc={BE94CF76-D57C-4769-84FB-DD625402E5F8}</author>
    <author>Vermeij, Izak</author>
  </authors>
  <commentList>
    <comment ref="I4" authorId="0" shapeId="0" xr:uid="{BE94CF76-D57C-4769-84FB-DD625402E5F8}">
      <text>
        <t>[Threaded comment]
Your version of Excel allows you to read this threaded comment; however, any edits to it will get removed if the file is opened in a newer version of Excel. Learn more: https://go.microsoft.com/fwlink/?linkid=870924
Comment:
    In the original file is 77.1%</t>
      </text>
    </comment>
    <comment ref="I5" authorId="1" shapeId="0" xr:uid="{00000000-0006-0000-0500-000001000000}">
      <text>
        <r>
          <rPr>
            <b/>
            <sz val="9"/>
            <color indexed="81"/>
            <rFont val="Tahoma"/>
            <family val="2"/>
          </rPr>
          <t>Vermeij, Izak:
van 1,369 1,3696 gemaakt ivm naar boven afronden reductiepercentage</t>
        </r>
        <r>
          <rPr>
            <sz val="9"/>
            <color indexed="81"/>
            <rFont val="Tahoma"/>
            <family val="2"/>
          </rPr>
          <t xml:space="preserve">
</t>
        </r>
      </text>
    </comment>
  </commentList>
</comments>
</file>

<file path=xl/sharedStrings.xml><?xml version="1.0" encoding="utf-8"?>
<sst xmlns="http://schemas.openxmlformats.org/spreadsheetml/2006/main" count="366" uniqueCount="222">
  <si>
    <t>datum</t>
  </si>
  <si>
    <t>Graad-uren</t>
  </si>
  <si>
    <t>WW</t>
  </si>
  <si>
    <t>Berekend totale debiet (m3/dier/uur)</t>
  </si>
  <si>
    <t>PM10 concentratie (mg/m3)</t>
  </si>
  <si>
    <t>Verwijderingsrendement warmtewisselaar:</t>
  </si>
  <si>
    <t>Debiet hoofdventilatie (m3/dier/uur)</t>
  </si>
  <si>
    <t>Maximale debiet door warmtewisselaar:</t>
  </si>
  <si>
    <t>m3/dier/uur</t>
  </si>
  <si>
    <t>Buiten Temperatuur (gC)</t>
  </si>
  <si>
    <t>Totale gemiddelde reductiepercentage op stalniveau:</t>
  </si>
  <si>
    <t>Debiet door WWlaar (m3/dier/uur)</t>
  </si>
  <si>
    <t>Eventueel reductie op PM10 concentratie in de stal:</t>
  </si>
  <si>
    <t>Berekening reductie PM10 op stalniveau leghennen</t>
  </si>
  <si>
    <t>Maximale debiet door droogtunnel</t>
  </si>
  <si>
    <t>Verwijderingsrendement droogtunnel</t>
  </si>
  <si>
    <t>PM10 conc. na droogtunnel (mg/m3)</t>
  </si>
  <si>
    <t>PM10 conc. na wwlaar (mg/m3)</t>
  </si>
  <si>
    <t>droogt. en wwlaar serie geschakeld (lucht eerst door droogt.)</t>
  </si>
  <si>
    <t>droogt. en wwlaar parallel geschakeld (wwlaar als basis voor ventilatie, daarna droogt.)</t>
  </si>
  <si>
    <t>Debiet door droogtunnel (m3/dier/ uur)</t>
  </si>
  <si>
    <t>Debiet door WWlaar (m3/dier/ uur)</t>
  </si>
  <si>
    <t>Debiet hoofd-ventilatie (m3/dier/uur)</t>
  </si>
  <si>
    <t>PM10 emissie zonder reductie (gr/d/jaar)</t>
  </si>
  <si>
    <t>PM10 emissie na droogtunnel (gr/d/jaar)</t>
  </si>
  <si>
    <t>PM10 emissie uit wwlaar (gr/d/jaar)</t>
  </si>
  <si>
    <t>PM10 emissie hoofddebiet (gr/d/jaar)</t>
  </si>
  <si>
    <t>Totale PM10 emissie (gr/d/jaar)</t>
  </si>
  <si>
    <t>maximale ventilatiebehoefte</t>
  </si>
  <si>
    <t>platendroger: 80% verwijdering</t>
  </si>
  <si>
    <t>bandendroger: 45% verwijdering</t>
  </si>
  <si>
    <t>bij toepassen filters: 99% verwijdering</t>
  </si>
  <si>
    <t>standaard: 80% verwijdering</t>
  </si>
  <si>
    <t>ionisatiefilter</t>
  </si>
  <si>
    <t xml:space="preserve"> </t>
  </si>
  <si>
    <t>A</t>
  </si>
  <si>
    <t>B</t>
  </si>
  <si>
    <t>C</t>
  </si>
  <si>
    <t>D</t>
  </si>
  <si>
    <t>E</t>
  </si>
  <si>
    <t>G</t>
  </si>
  <si>
    <t>H</t>
  </si>
  <si>
    <t>I</t>
  </si>
  <si>
    <t>J</t>
  </si>
  <si>
    <t>L</t>
  </si>
  <si>
    <t>serie alles
voetnoot 2</t>
  </si>
  <si>
    <t>F</t>
  </si>
  <si>
    <t>K</t>
  </si>
  <si>
    <t>M</t>
  </si>
  <si>
    <t>N</t>
  </si>
  <si>
    <t>O</t>
  </si>
  <si>
    <t>P</t>
  </si>
  <si>
    <t>Q</t>
  </si>
  <si>
    <t>R</t>
  </si>
  <si>
    <t>S</t>
  </si>
  <si>
    <t>T</t>
  </si>
  <si>
    <t>U</t>
  </si>
  <si>
    <t>V</t>
  </si>
  <si>
    <t>W</t>
  </si>
  <si>
    <t>X</t>
  </si>
  <si>
    <t>Y</t>
  </si>
  <si>
    <t>bio wasser 60%</t>
  </si>
  <si>
    <t>bio wasser 75%</t>
  </si>
  <si>
    <t>biofilter</t>
  </si>
  <si>
    <t>oliefilm</t>
  </si>
  <si>
    <t>negatieve ionisatie</t>
  </si>
  <si>
    <t>water wasser</t>
  </si>
  <si>
    <t>droogfilter</t>
  </si>
  <si>
    <t>oliefim</t>
  </si>
  <si>
    <t>strooiselschuif</t>
  </si>
  <si>
    <t>percentages berekend door 1 x (1-%)x(1-%)</t>
  </si>
  <si>
    <t>rood</t>
  </si>
  <si>
    <t>afwijkend</t>
  </si>
  <si>
    <t>paars</t>
  </si>
  <si>
    <t xml:space="preserve"> 1% afwijkend</t>
  </si>
  <si>
    <t>blauw</t>
  </si>
  <si>
    <t>kan niet gecombineerd</t>
  </si>
  <si>
    <t>chemische wasser</t>
  </si>
  <si>
    <t>warmtewisselaar zonder stof 31%</t>
  </si>
  <si>
    <t>warmtewisselaar met stof 31%</t>
  </si>
  <si>
    <t>warmtewisselaar zonder stof 13%</t>
  </si>
  <si>
    <t>warmtewisselaar met stof 13%</t>
  </si>
  <si>
    <t>warmtewisselaar zonder stof 37%</t>
  </si>
  <si>
    <t>warmtewisselaar met stof 37%</t>
  </si>
  <si>
    <t>warmtewisselaar zonder stof 50%</t>
  </si>
  <si>
    <t>warmtewisselaar met stof 50%</t>
  </si>
  <si>
    <r>
      <t>m</t>
    </r>
    <r>
      <rPr>
        <vertAlign val="superscript"/>
        <sz val="12"/>
        <color theme="1"/>
        <rFont val="Calibri"/>
        <family val="2"/>
        <scheme val="minor"/>
      </rPr>
      <t>3</t>
    </r>
  </si>
  <si>
    <t>Overzicht maximale waarden rekenmodel reducties fijnstof</t>
  </si>
  <si>
    <t>waarden in m3/dier/uur</t>
  </si>
  <si>
    <t>Maximale ventilatie:</t>
  </si>
  <si>
    <t>Opfok leghennen</t>
  </si>
  <si>
    <t>Leghennen</t>
  </si>
  <si>
    <t>Opfok vleeskuikenouderdieren</t>
  </si>
  <si>
    <t>Vleeskuikenouderdieren</t>
  </si>
  <si>
    <t>Vleeskuikens</t>
  </si>
  <si>
    <t>Vleeskalkoenen hennen</t>
  </si>
  <si>
    <t>Vleeskalkoenen hanen</t>
  </si>
  <si>
    <t>Vleeseenden</t>
  </si>
  <si>
    <t>Debiet door droogtunnel</t>
  </si>
  <si>
    <t>rekenwaarde</t>
  </si>
  <si>
    <t>in overzicht</t>
  </si>
  <si>
    <t>bandendroger (30%)</t>
  </si>
  <si>
    <t>Deze waarden staan (nog) niet genoemd in de beschrijvingen.</t>
  </si>
  <si>
    <t>platendroger (55%)</t>
  </si>
  <si>
    <t>Debiet door warmtewisselaar</t>
  </si>
  <si>
    <t>ZONDER FILTERS</t>
  </si>
  <si>
    <t>Reductiepercentage op stalniveau:</t>
  </si>
  <si>
    <t>MET FILTERS</t>
  </si>
  <si>
    <t>Staltechniek</t>
  </si>
  <si>
    <t>GEEN DROOGTUNNEL</t>
  </si>
  <si>
    <t>DROOGTUNNEL (PLATEN) 55%</t>
  </si>
  <si>
    <t>DROOGTUNNEL (BANDEN) 30%</t>
  </si>
  <si>
    <t>OLIEFILM</t>
  </si>
  <si>
    <t>JA</t>
  </si>
  <si>
    <t>NEE</t>
  </si>
  <si>
    <t>BIO WASSER 60%</t>
  </si>
  <si>
    <t>BIO WASSER 75%</t>
  </si>
  <si>
    <t>BIOFILTER</t>
  </si>
  <si>
    <t>DROOGFILTERWAND</t>
  </si>
  <si>
    <t>IONISATIEFILTER</t>
  </si>
  <si>
    <t>WARMTEWISSELAAR 31%</t>
  </si>
  <si>
    <t>WARMTEWISSELAAR 13%</t>
  </si>
  <si>
    <t>WARMTEWISSELAAR 37%</t>
  </si>
  <si>
    <t>WARMTEWISSELAAR 50%</t>
  </si>
  <si>
    <t>ZONDER STOFFILTER</t>
  </si>
  <si>
    <t>MET STOFFILTER</t>
  </si>
  <si>
    <t>GEEN STALTECHNIEK</t>
  </si>
  <si>
    <t>STROOISELSCHUIF</t>
  </si>
  <si>
    <r>
      <t>Max. ventilatiedebiet m</t>
    </r>
    <r>
      <rPr>
        <vertAlign val="superscript"/>
        <sz val="12"/>
        <color theme="0"/>
        <rFont val="Calibri"/>
        <family val="2"/>
        <scheme val="minor"/>
      </rPr>
      <t>3</t>
    </r>
    <r>
      <rPr>
        <sz val="12"/>
        <color theme="0"/>
        <rFont val="Calibri"/>
        <family val="2"/>
        <scheme val="minor"/>
      </rPr>
      <t>/d/uur</t>
    </r>
  </si>
  <si>
    <t>GEEN TECHNIEK</t>
  </si>
  <si>
    <t>OPFOK LEGHENNEN GRONDHUISVESTING</t>
  </si>
  <si>
    <t>̌</t>
  </si>
  <si>
    <t>WATERLUCHTWASSYSTEEM</t>
  </si>
  <si>
    <t>ALLE VENTILATIELUCHT</t>
  </si>
  <si>
    <t>DEEL VENTILATIELUCHT</t>
  </si>
  <si>
    <r>
      <t>Kies ALLE VENTILATIELUCHT ivm vereiste NH</t>
    </r>
    <r>
      <rPr>
        <vertAlign val="subscript"/>
        <sz val="12"/>
        <color theme="0"/>
        <rFont val="Calibri"/>
        <family val="2"/>
        <scheme val="minor"/>
      </rPr>
      <t xml:space="preserve">3 </t>
    </r>
    <r>
      <rPr>
        <sz val="12"/>
        <color theme="0"/>
        <rFont val="Calibri"/>
        <family val="2"/>
        <scheme val="minor"/>
      </rPr>
      <t>reductie</t>
    </r>
  </si>
  <si>
    <t>75% VENTILATIE</t>
  </si>
  <si>
    <t>50% VENTILATIE</t>
  </si>
  <si>
    <t>25% VENTILATIE</t>
  </si>
  <si>
    <t>PARALLEL GESCHAKELD MET WARMTEWISSELAAR</t>
  </si>
  <si>
    <t>SERIE GESCHAKELD MET WARMTEWISSELAAR</t>
  </si>
  <si>
    <t>Overige technieken</t>
  </si>
  <si>
    <t>Maximale ventilatie in de stal</t>
  </si>
  <si>
    <t>OPFOK LEGHENNEN KOOI/KOLONIE</t>
  </si>
  <si>
    <t>naam</t>
  </si>
  <si>
    <t>adres</t>
  </si>
  <si>
    <r>
      <t>m</t>
    </r>
    <r>
      <rPr>
        <b/>
        <vertAlign val="superscript"/>
        <sz val="14"/>
        <color theme="0" tint="-0.499984740745262"/>
        <rFont val="Calibri"/>
        <family val="2"/>
        <scheme val="minor"/>
      </rPr>
      <t>3</t>
    </r>
  </si>
  <si>
    <t>KIES EEN CATEGORIE</t>
  </si>
  <si>
    <r>
      <t>Reductiepercentage PM</t>
    </r>
    <r>
      <rPr>
        <b/>
        <vertAlign val="subscript"/>
        <sz val="24"/>
        <rFont val="Calibri"/>
        <family val="2"/>
        <scheme val="minor"/>
      </rPr>
      <t>10</t>
    </r>
  </si>
  <si>
    <t>Reductiepercentage in stal</t>
  </si>
  <si>
    <t>Reductiepercentage overige techniek</t>
  </si>
  <si>
    <t>Berekenen van het reductiepercentage van combinaties van fijnstof reducerende technieken</t>
  </si>
  <si>
    <t>Eventueel verwijderingsrendement hoofdventilatie (lucht NIET door andere technieken):</t>
  </si>
  <si>
    <t>Berekening droogt. en wwlaar in serie geschakeld. Lucht eerst door droogtunnel</t>
  </si>
  <si>
    <t>Emissie bij toepassing luchtwasser: wwlaar en droogtunnel parallel</t>
  </si>
  <si>
    <t>PM10 emissie met reductie staltechniek (gr/d/jaar)</t>
  </si>
  <si>
    <t>PM10 conc. na eventuele staltchniek (mg/m3)</t>
  </si>
  <si>
    <t>% t.o.v. maximum</t>
  </si>
  <si>
    <t>Warmtewisselaar met stoffilter?</t>
  </si>
  <si>
    <t>Gemaakt in opdracht van het ministerie van Infrastructuur en Waterstaat</t>
  </si>
  <si>
    <t>Debiet door droogtunnel (m3/dier/uur) serie geschakeld</t>
  </si>
  <si>
    <t>Debiet door droogtunnel (m3/dier/uur) parallel geschakeld</t>
  </si>
  <si>
    <t>PM10 emissie droogtunnel  (gr/d/jaar) serie</t>
  </si>
  <si>
    <t>PM10 emissie wwlaar  parallel</t>
  </si>
  <si>
    <t>PM10 emissie wwlaar serie</t>
  </si>
  <si>
    <t>100% minus reductie</t>
  </si>
  <si>
    <t>Maximale debiet door stoffilter:</t>
  </si>
  <si>
    <t>Emissie alleen Stoffilter</t>
  </si>
  <si>
    <t>Eventueel reductie door overige techniek(op ALLE lucht)</t>
  </si>
  <si>
    <t>Debiet door overige techniek</t>
  </si>
  <si>
    <t>Cumulatief aandeel emissie</t>
  </si>
  <si>
    <t>PM10 emissie wwlaar en drtunnel serie  (gr/d/jaar)</t>
  </si>
  <si>
    <t>CHEMISCHE WASSER NIET TOEGESTAAN</t>
  </si>
  <si>
    <t>LUCHTCONDITIONERINGSUNIT</t>
  </si>
  <si>
    <t>over</t>
  </si>
  <si>
    <t>Lucht droogtunnel door overige techniek?</t>
  </si>
  <si>
    <t>Potentie Reductie overige techniek,      nee, nee, nee</t>
  </si>
  <si>
    <t>Potentie Reductie overige techniek,      nee, ja droogtunnel, nee</t>
  </si>
  <si>
    <t>nee stoffilter</t>
  </si>
  <si>
    <t>ja ww door overig</t>
  </si>
  <si>
    <t>nee droogt door overig</t>
  </si>
  <si>
    <t>ook:</t>
  </si>
  <si>
    <t>droogtunnel</t>
  </si>
  <si>
    <t>hulprek</t>
  </si>
  <si>
    <t>en</t>
  </si>
  <si>
    <t>ja stoffilter</t>
  </si>
  <si>
    <t>nee ww</t>
  </si>
  <si>
    <t>nee droogtun</t>
  </si>
  <si>
    <t>Serie geschakeld</t>
  </si>
  <si>
    <t>Parallel geschakeld</t>
  </si>
  <si>
    <t>emissie over</t>
  </si>
  <si>
    <r>
      <t xml:space="preserve">Bij alle </t>
    </r>
    <r>
      <rPr>
        <b/>
        <sz val="14"/>
        <color rgb="FFFFFF00"/>
        <rFont val="Calibri"/>
        <family val="2"/>
        <scheme val="minor"/>
      </rPr>
      <t xml:space="preserve">GEEL </t>
    </r>
    <r>
      <rPr>
        <b/>
        <sz val="14"/>
        <color rgb="FF0070C0"/>
        <rFont val="Calibri"/>
        <family val="2"/>
        <scheme val="minor"/>
      </rPr>
      <t xml:space="preserve">gekleurde vakjes dient een keuze gemaakt te worden. Ga op het vakje staan, klik rechts naast vakje en kies een optie.                              </t>
    </r>
  </si>
  <si>
    <r>
      <t xml:space="preserve">De gerealiseerde reductiepercentages staan in </t>
    </r>
    <r>
      <rPr>
        <b/>
        <sz val="14"/>
        <color rgb="FF00B050"/>
        <rFont val="Calibri"/>
        <family val="2"/>
        <scheme val="minor"/>
      </rPr>
      <t xml:space="preserve">GROENE </t>
    </r>
    <r>
      <rPr>
        <b/>
        <sz val="14"/>
        <color rgb="FF0070C0"/>
        <rFont val="Calibri"/>
        <family val="2"/>
        <scheme val="minor"/>
      </rPr>
      <t xml:space="preserve">blokjes vermeld. Helemaal rechts is het reductiepercentage van de combinatie van de fijnstofreducerende </t>
    </r>
  </si>
  <si>
    <r>
      <t xml:space="preserve">technieken weergegeven. Als combinaties niet mogelijk of zinvol zijn, verschijnt er tekst in </t>
    </r>
    <r>
      <rPr>
        <b/>
        <sz val="14"/>
        <color rgb="FFFF0000"/>
        <rFont val="Calibri"/>
        <family val="2"/>
        <scheme val="minor"/>
      </rPr>
      <t>ROOD</t>
    </r>
    <r>
      <rPr>
        <b/>
        <sz val="14"/>
        <color rgb="FF0070C0"/>
        <rFont val="Calibri"/>
        <family val="2"/>
        <scheme val="minor"/>
      </rPr>
      <t>. Bij 'niet mogelijk' dient u keuze(s) aan te passen.</t>
    </r>
  </si>
  <si>
    <t>Stal voor leghennen</t>
  </si>
  <si>
    <t>GRONDHUISVESTING</t>
  </si>
  <si>
    <t>VOLIEREHUISVESTING</t>
  </si>
  <si>
    <t>KOLONIEHUISVESTING</t>
  </si>
  <si>
    <t>invullen</t>
  </si>
  <si>
    <t>stoffilter ww</t>
  </si>
  <si>
    <t>TOELICHTING GEBRUIK REKENMODEL (Er is online ook een handleiding beschikbaar).</t>
  </si>
  <si>
    <t>CHEMISCHE WASSER 70%</t>
  </si>
  <si>
    <t>CHEMISCHE WASSER 35%</t>
  </si>
  <si>
    <t>PM10 emissie droog-tunnel  (gr/d/jaar) parallel</t>
  </si>
  <si>
    <t>Emissie Stoffilter na ww droog-tunnel</t>
  </si>
  <si>
    <t>PM10 emissie wwlaar en drtunnel parallel en stal-techniek (gr/d/jaar)</t>
  </si>
  <si>
    <t>PM10 emissie wwlaar en drtunnel parallel en stal-techniek en luchtwasser (gr/d/jaar)</t>
  </si>
  <si>
    <t xml:space="preserve">Debiet door stoffilter of droogfilter (m3/dier/uur) </t>
  </si>
  <si>
    <t>GEEN FILTER</t>
  </si>
  <si>
    <t>DROGE STOFFILTER 99%</t>
  </si>
  <si>
    <t>DROOGFILTERUNIT 40%</t>
  </si>
  <si>
    <t>OLIEFILM MET ROBOT</t>
  </si>
  <si>
    <t>OLIEFILM BIJ VOLIERE MET SPROEIKOPPEN</t>
  </si>
  <si>
    <t>STROOISELSCHUIF icm OLIEFILM BIJ VOLIERE MET SPROEIKOPPEN</t>
  </si>
  <si>
    <t>IONISATIE MET KOOLSTOFBORSTELTJES</t>
  </si>
  <si>
    <t>IONISATIE MET KOOLSTOFBORSTELTJES icm STROOISELSCHUIF</t>
  </si>
  <si>
    <t xml:space="preserve">Bij warmtewisselaar, stoffilter en droogfilterunit kan de ventilatiehoeveelheid door de techniek aangepast worden met de pijltjes omhoog/omlaag. </t>
  </si>
  <si>
    <t>Reductiepercentage</t>
  </si>
  <si>
    <t>IONISATIE ICM INTERNE LUCHTCIRCULATIE</t>
  </si>
  <si>
    <t>Rekenmodel Vee-combistof - pluimvee (V3.0, versie 2026)</t>
  </si>
  <si>
    <t>IONISATIE ICM INTERNE LUCHTCIRCULATIE ICM STROOISELSCHUIF</t>
  </si>
  <si>
    <t>LUCHTCONDITIONERINGSUNIT MET CHEMISCHE REINIGINGSSTAP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</si>
</sst>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64" formatCode="_ &quot;€&quot;\ * #,##0.00_ ;_ &quot;€&quot;\ * \-#,##0.00_ ;_ &quot;€&quot;\ * &quot;-&quot;??_ ;_ @_ "/>
    <numFmt numFmtId="165" formatCode="_(* #,##0.00_);_(* \(#,##0.00\);_(* &quot;-&quot;??_);_(@_)"/>
    <numFmt numFmtId="166" formatCode="0.0"/>
    <numFmt numFmtId="167" formatCode="0.0000"/>
    <numFmt numFmtId="168" formatCode="0.000"/>
    <numFmt numFmtId="169" formatCode="0.0%"/>
    <numFmt numFmtId="170" formatCode="#,##0.00_ ;\-#,##0.00\ "/>
    <numFmt numFmtId="171" formatCode="0.000000"/>
    <numFmt numFmtId="172" formatCode="0.00000"/>
    <numFmt numFmtId="173" formatCode="0.0000000"/>
    <numFmt numFmtId="174" formatCode="0.00000E+00"/>
    <numFmt numFmtId="175" formatCode="0.00000000"/>
    <numFmt numFmtId="176" formatCode="0.000000000000000%"/>
    <numFmt numFmtId="177" formatCode="_(* #,##0.000000_);_(* \(#,##0.000000\);_(* &quot;-&quot;??_);_(@_)"/>
    <numFmt numFmtId="178" formatCode="0.00000%"/>
    <numFmt numFmtId="179" formatCode="0.000000000"/>
  </numFmts>
  <fonts count="71" x14ac:knownFonts="1">
    <font>
      <sz val="10"/>
      <name val="Arial"/>
    </font>
    <font>
      <sz val="11"/>
      <color theme="1"/>
      <name val="Calibri"/>
      <family val="2"/>
      <scheme val="minor"/>
    </font>
    <font>
      <sz val="10"/>
      <name val="Arial"/>
      <family val="2"/>
    </font>
    <font>
      <b/>
      <sz val="10"/>
      <name val="Arial"/>
      <family val="2"/>
    </font>
    <font>
      <i/>
      <sz val="10"/>
      <name val="Arial"/>
      <family val="2"/>
    </font>
    <font>
      <b/>
      <i/>
      <sz val="10"/>
      <name val="Arial"/>
      <family val="2"/>
    </font>
    <font>
      <b/>
      <u/>
      <sz val="10"/>
      <name val="Arial"/>
      <family val="2"/>
    </font>
    <font>
      <b/>
      <i/>
      <u/>
      <sz val="10"/>
      <name val="Arial"/>
      <family val="2"/>
    </font>
    <font>
      <sz val="12"/>
      <color theme="1"/>
      <name val="Calibri"/>
      <family val="2"/>
      <scheme val="minor"/>
    </font>
    <font>
      <b/>
      <sz val="14"/>
      <color theme="1"/>
      <name val="Calibri"/>
      <family val="2"/>
      <scheme val="minor"/>
    </font>
    <font>
      <b/>
      <sz val="12"/>
      <name val="Calibri"/>
      <family val="2"/>
      <scheme val="minor"/>
    </font>
    <font>
      <sz val="9"/>
      <color rgb="FF000000"/>
      <name val="Verdana"/>
      <family val="2"/>
    </font>
    <font>
      <b/>
      <sz val="12"/>
      <color theme="1"/>
      <name val="Calibri"/>
      <family val="2"/>
      <scheme val="minor"/>
    </font>
    <font>
      <sz val="12"/>
      <color theme="4" tint="0.59999389629810485"/>
      <name val="Calibri"/>
      <family val="2"/>
      <scheme val="minor"/>
    </font>
    <font>
      <sz val="12"/>
      <name val="Calibri"/>
      <family val="2"/>
      <scheme val="minor"/>
    </font>
    <font>
      <sz val="12"/>
      <color rgb="FFFF0000"/>
      <name val="Calibri"/>
      <family val="2"/>
      <scheme val="minor"/>
    </font>
    <font>
      <b/>
      <sz val="13"/>
      <color theme="1"/>
      <name val="Calibri"/>
      <family val="2"/>
      <scheme val="minor"/>
    </font>
    <font>
      <vertAlign val="superscript"/>
      <sz val="12"/>
      <color theme="1"/>
      <name val="Calibri"/>
      <family val="2"/>
      <scheme val="minor"/>
    </font>
    <font>
      <sz val="14"/>
      <name val="Calibri"/>
      <family val="2"/>
      <scheme val="minor"/>
    </font>
    <font>
      <sz val="18"/>
      <color theme="1"/>
      <name val="Calibri"/>
      <family val="2"/>
      <scheme val="minor"/>
    </font>
    <font>
      <sz val="10"/>
      <name val="Arial"/>
      <family val="2"/>
    </font>
    <font>
      <sz val="9"/>
      <color theme="1"/>
      <name val="Verdana"/>
      <family val="2"/>
    </font>
    <font>
      <b/>
      <u/>
      <sz val="9"/>
      <color theme="1"/>
      <name val="Verdana"/>
      <family val="2"/>
    </font>
    <font>
      <b/>
      <i/>
      <sz val="9"/>
      <color theme="1"/>
      <name val="Verdana"/>
      <family val="2"/>
    </font>
    <font>
      <u/>
      <sz val="9"/>
      <color theme="1"/>
      <name val="Verdana"/>
      <family val="2"/>
    </font>
    <font>
      <i/>
      <sz val="9"/>
      <color theme="1"/>
      <name val="Verdana"/>
      <family val="2"/>
    </font>
    <font>
      <b/>
      <sz val="14"/>
      <color rgb="FFFF0000"/>
      <name val="Calibri"/>
      <family val="2"/>
      <scheme val="minor"/>
    </font>
    <font>
      <b/>
      <sz val="12"/>
      <color rgb="FFFF0000"/>
      <name val="Calibri"/>
      <family val="2"/>
      <scheme val="minor"/>
    </font>
    <font>
      <sz val="14"/>
      <color theme="1"/>
      <name val="Calibri"/>
      <family val="2"/>
      <scheme val="minor"/>
    </font>
    <font>
      <sz val="12"/>
      <color theme="0"/>
      <name val="Calibri"/>
      <family val="2"/>
      <scheme val="minor"/>
    </font>
    <font>
      <vertAlign val="superscript"/>
      <sz val="12"/>
      <color theme="0"/>
      <name val="Calibri"/>
      <family val="2"/>
      <scheme val="minor"/>
    </font>
    <font>
      <b/>
      <sz val="12"/>
      <color theme="0"/>
      <name val="Calibri"/>
      <family val="2"/>
      <scheme val="minor"/>
    </font>
    <font>
      <sz val="10"/>
      <color theme="1"/>
      <name val="Verdana"/>
      <family val="2"/>
    </font>
    <font>
      <sz val="12"/>
      <color theme="1"/>
      <name val="Calibri"/>
      <family val="2"/>
    </font>
    <font>
      <b/>
      <sz val="22"/>
      <color theme="1"/>
      <name val="Calibri"/>
      <family val="2"/>
      <scheme val="minor"/>
    </font>
    <font>
      <b/>
      <sz val="14"/>
      <name val="Arial"/>
      <family val="2"/>
    </font>
    <font>
      <sz val="14"/>
      <name val="Arial"/>
      <family val="2"/>
    </font>
    <font>
      <sz val="23"/>
      <color theme="1"/>
      <name val="Calibri"/>
      <family val="2"/>
      <scheme val="minor"/>
    </font>
    <font>
      <b/>
      <sz val="24"/>
      <name val="Calibri"/>
      <family val="2"/>
      <scheme val="minor"/>
    </font>
    <font>
      <sz val="24"/>
      <name val="Arial"/>
      <family val="2"/>
    </font>
    <font>
      <b/>
      <sz val="16"/>
      <color rgb="FFFF0000"/>
      <name val="Calibri"/>
      <family val="2"/>
      <scheme val="minor"/>
    </font>
    <font>
      <vertAlign val="subscript"/>
      <sz val="12"/>
      <color theme="0"/>
      <name val="Calibri"/>
      <family val="2"/>
      <scheme val="minor"/>
    </font>
    <font>
      <b/>
      <sz val="20"/>
      <color theme="3" tint="0.39997558519241921"/>
      <name val="Calibri"/>
      <family val="2"/>
      <scheme val="minor"/>
    </font>
    <font>
      <sz val="18"/>
      <name val="Calibri"/>
      <family val="2"/>
      <scheme val="minor"/>
    </font>
    <font>
      <b/>
      <sz val="14"/>
      <color theme="0" tint="-0.499984740745262"/>
      <name val="Calibri"/>
      <family val="2"/>
      <scheme val="minor"/>
    </font>
    <font>
      <b/>
      <vertAlign val="superscript"/>
      <sz val="14"/>
      <color theme="0" tint="-0.499984740745262"/>
      <name val="Calibri"/>
      <family val="2"/>
      <scheme val="minor"/>
    </font>
    <font>
      <b/>
      <sz val="14"/>
      <color rgb="FF0070C0"/>
      <name val="Calibri"/>
      <family val="2"/>
      <scheme val="minor"/>
    </font>
    <font>
      <b/>
      <sz val="14"/>
      <color rgb="FF00B050"/>
      <name val="Calibri"/>
      <family val="2"/>
      <scheme val="minor"/>
    </font>
    <font>
      <b/>
      <sz val="14"/>
      <name val="Calibri"/>
      <family val="2"/>
      <scheme val="minor"/>
    </font>
    <font>
      <b/>
      <sz val="14"/>
      <color rgb="FF002060"/>
      <name val="Calibri"/>
      <family val="2"/>
      <scheme val="minor"/>
    </font>
    <font>
      <b/>
      <vertAlign val="subscript"/>
      <sz val="24"/>
      <name val="Calibri"/>
      <family val="2"/>
      <scheme val="minor"/>
    </font>
    <font>
      <sz val="9"/>
      <color indexed="81"/>
      <name val="Tahoma"/>
      <family val="2"/>
    </font>
    <font>
      <b/>
      <sz val="9"/>
      <color indexed="81"/>
      <name val="Tahoma"/>
      <family val="2"/>
    </font>
    <font>
      <b/>
      <sz val="14"/>
      <color rgb="FFFFFF00"/>
      <name val="Calibri"/>
      <family val="2"/>
      <scheme val="minor"/>
    </font>
    <font>
      <b/>
      <sz val="15"/>
      <name val="Calibri"/>
      <family val="2"/>
      <scheme val="minor"/>
    </font>
    <font>
      <sz val="15"/>
      <name val="Arial"/>
      <family val="2"/>
    </font>
    <font>
      <b/>
      <sz val="14"/>
      <color rgb="FFFF0000"/>
      <name val="Arial"/>
      <family val="2"/>
    </font>
    <font>
      <strike/>
      <sz val="12"/>
      <color theme="1"/>
      <name val="Calibri"/>
      <family val="2"/>
      <scheme val="minor"/>
    </font>
    <font>
      <b/>
      <sz val="12"/>
      <color rgb="FFFFFF00"/>
      <name val="Calibri"/>
      <family val="2"/>
      <scheme val="minor"/>
    </font>
    <font>
      <b/>
      <sz val="14"/>
      <color rgb="FF0070C0"/>
      <name val="Arial"/>
      <family val="2"/>
    </font>
    <font>
      <b/>
      <sz val="10"/>
      <color rgb="FF00B0F0"/>
      <name val="Arial"/>
      <family val="2"/>
    </font>
    <font>
      <sz val="16"/>
      <name val="Arial"/>
      <family val="2"/>
    </font>
    <font>
      <b/>
      <sz val="13"/>
      <name val="Calibri"/>
      <family val="2"/>
      <scheme val="minor"/>
    </font>
    <font>
      <sz val="10"/>
      <name val="Arial"/>
      <family val="2"/>
    </font>
    <font>
      <sz val="12"/>
      <color rgb="FFFFFF00"/>
      <name val="Calibri"/>
      <family val="2"/>
      <scheme val="minor"/>
    </font>
    <font>
      <sz val="14"/>
      <color rgb="FFFFFF00"/>
      <name val="Calibri"/>
      <family val="2"/>
      <scheme val="minor"/>
    </font>
    <font>
      <sz val="12"/>
      <color indexed="81"/>
      <name val="Calibri"/>
      <family val="2"/>
    </font>
    <font>
      <b/>
      <sz val="16"/>
      <color rgb="FFFF0000"/>
      <name val="Arial"/>
      <family val="2"/>
    </font>
    <font>
      <sz val="10"/>
      <color rgb="FFFF0000"/>
      <name val="Arial"/>
      <family val="2"/>
    </font>
    <font>
      <sz val="12"/>
      <color rgb="FF222222"/>
      <name val="Calibri"/>
      <family val="2"/>
      <scheme val="minor"/>
    </font>
    <font>
      <sz val="10"/>
      <color rgb="FF000000"/>
      <name val="Arial"/>
      <family val="2"/>
    </font>
  </fonts>
  <fills count="18">
    <fill>
      <patternFill patternType="none"/>
    </fill>
    <fill>
      <patternFill patternType="gray125"/>
    </fill>
    <fill>
      <patternFill patternType="solid">
        <fgColor rgb="FF92D05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rgb="FF00B0F0"/>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4" tint="0.39997558519241921"/>
        <bgColor indexed="64"/>
      </patternFill>
    </fill>
    <fill>
      <patternFill patternType="solid">
        <fgColor theme="8" tint="0.59999389629810485"/>
        <bgColor indexed="64"/>
      </patternFill>
    </fill>
    <fill>
      <patternFill patternType="solid">
        <fgColor theme="3" tint="0.79998168889431442"/>
        <bgColor indexed="64"/>
      </patternFill>
    </fill>
    <fill>
      <patternFill patternType="solid">
        <fgColor theme="0"/>
        <bgColor indexed="64"/>
      </patternFill>
    </fill>
    <fill>
      <patternFill patternType="solid">
        <fgColor theme="7"/>
        <bgColor indexed="64"/>
      </patternFill>
    </fill>
    <fill>
      <patternFill patternType="solid">
        <fgColor rgb="FF8064A2"/>
        <bgColor indexed="64"/>
      </patternFill>
    </fill>
    <fill>
      <patternFill patternType="solid">
        <fgColor theme="0" tint="-0.249977111117893"/>
        <bgColor indexed="64"/>
      </patternFill>
    </fill>
    <fill>
      <patternFill patternType="solid">
        <fgColor rgb="FFFF0000"/>
        <bgColor indexed="64"/>
      </patternFill>
    </fill>
  </fills>
  <borders count="32">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diagonal/>
    </border>
    <border>
      <left/>
      <right/>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9">
    <xf numFmtId="0" fontId="0" fillId="0" borderId="0"/>
    <xf numFmtId="9" fontId="2" fillId="0" borderId="0" applyFont="0" applyFill="0" applyBorder="0" applyAlignment="0" applyProtection="0"/>
    <xf numFmtId="0" fontId="8" fillId="0" borderId="0"/>
    <xf numFmtId="0" fontId="1" fillId="0" borderId="0"/>
    <xf numFmtId="9" fontId="8" fillId="0" borderId="0" applyFont="0" applyFill="0" applyBorder="0" applyAlignment="0" applyProtection="0"/>
    <xf numFmtId="0" fontId="11" fillId="0" borderId="0"/>
    <xf numFmtId="165" fontId="20" fillId="0" borderId="0" applyFont="0" applyFill="0" applyBorder="0" applyAlignment="0" applyProtection="0"/>
    <xf numFmtId="0" fontId="21" fillId="0" borderId="0"/>
    <xf numFmtId="164" fontId="63" fillId="0" borderId="0" applyFont="0" applyFill="0" applyBorder="0" applyAlignment="0" applyProtection="0"/>
  </cellStyleXfs>
  <cellXfs count="365">
    <xf numFmtId="0" fontId="0" fillId="0" borderId="0" xfId="0"/>
    <xf numFmtId="0" fontId="0" fillId="0" borderId="0" xfId="0" applyAlignment="1">
      <alignment horizontal="center"/>
    </xf>
    <xf numFmtId="0" fontId="3" fillId="0" borderId="0" xfId="0" applyFont="1"/>
    <xf numFmtId="166" fontId="0" fillId="0" borderId="0" xfId="0" applyNumberFormat="1" applyAlignment="1">
      <alignment horizontal="center"/>
    </xf>
    <xf numFmtId="168" fontId="0" fillId="0" borderId="0" xfId="0" applyNumberFormat="1" applyAlignment="1">
      <alignment horizontal="center"/>
    </xf>
    <xf numFmtId="2" fontId="0" fillId="0" borderId="0" xfId="0" applyNumberFormat="1" applyAlignment="1">
      <alignment horizontal="center"/>
    </xf>
    <xf numFmtId="1" fontId="0" fillId="0" borderId="0" xfId="0" applyNumberFormat="1" applyAlignment="1">
      <alignment horizontal="center"/>
    </xf>
    <xf numFmtId="2" fontId="4" fillId="0" borderId="0" xfId="0" applyNumberFormat="1" applyFont="1" applyAlignment="1">
      <alignment horizontal="center"/>
    </xf>
    <xf numFmtId="166" fontId="3" fillId="0" borderId="0" xfId="0" applyNumberFormat="1" applyFont="1" applyAlignment="1">
      <alignment horizontal="center" vertical="top" wrapText="1"/>
    </xf>
    <xf numFmtId="2" fontId="3" fillId="0" borderId="0" xfId="0" applyNumberFormat="1" applyFont="1" applyAlignment="1">
      <alignment horizontal="center" vertical="top" wrapText="1"/>
    </xf>
    <xf numFmtId="0" fontId="3" fillId="0" borderId="0" xfId="0" applyFont="1" applyAlignment="1">
      <alignment horizontal="center" vertical="top" wrapText="1"/>
    </xf>
    <xf numFmtId="166" fontId="3" fillId="0" borderId="0" xfId="0" applyNumberFormat="1" applyFont="1" applyAlignment="1">
      <alignment horizontal="center"/>
    </xf>
    <xf numFmtId="0" fontId="4" fillId="0" borderId="0" xfId="0" applyFont="1" applyAlignment="1">
      <alignment horizontal="center"/>
    </xf>
    <xf numFmtId="169" fontId="3" fillId="0" borderId="0" xfId="1" applyNumberFormat="1" applyFont="1" applyAlignment="1">
      <alignment horizontal="center"/>
    </xf>
    <xf numFmtId="0" fontId="0" fillId="2" borderId="0" xfId="0" applyFill="1" applyAlignment="1">
      <alignment horizontal="center"/>
    </xf>
    <xf numFmtId="0" fontId="3" fillId="2" borderId="0" xfId="0" applyFont="1" applyFill="1" applyAlignment="1">
      <alignment horizontal="center" vertical="top" wrapText="1"/>
    </xf>
    <xf numFmtId="166" fontId="3" fillId="2" borderId="0" xfId="0" applyNumberFormat="1" applyFont="1" applyFill="1" applyAlignment="1">
      <alignment horizontal="center"/>
    </xf>
    <xf numFmtId="2" fontId="3" fillId="2" borderId="0" xfId="0" applyNumberFormat="1" applyFont="1" applyFill="1" applyAlignment="1">
      <alignment horizontal="center"/>
    </xf>
    <xf numFmtId="0" fontId="2" fillId="0" borderId="0" xfId="0" applyFont="1"/>
    <xf numFmtId="0" fontId="0" fillId="0" borderId="0" xfId="0" applyFill="1" applyAlignment="1">
      <alignment horizontal="center"/>
    </xf>
    <xf numFmtId="2" fontId="3" fillId="0" borderId="0" xfId="0" applyNumberFormat="1" applyFont="1" applyFill="1" applyAlignment="1">
      <alignment horizontal="center" vertical="top" wrapText="1"/>
    </xf>
    <xf numFmtId="2" fontId="4" fillId="0" borderId="0" xfId="0" applyNumberFormat="1" applyFont="1" applyFill="1" applyAlignment="1">
      <alignment horizontal="center"/>
    </xf>
    <xf numFmtId="167" fontId="0" fillId="0" borderId="0" xfId="0" applyNumberFormat="1" applyFill="1" applyAlignment="1">
      <alignment horizontal="center"/>
    </xf>
    <xf numFmtId="166" fontId="3" fillId="0" borderId="0" xfId="0" applyNumberFormat="1" applyFont="1" applyFill="1" applyAlignment="1">
      <alignment horizontal="center"/>
    </xf>
    <xf numFmtId="169" fontId="3" fillId="0" borderId="0" xfId="1" applyNumberFormat="1" applyFont="1" applyFill="1" applyAlignment="1">
      <alignment horizontal="center"/>
    </xf>
    <xf numFmtId="0" fontId="2" fillId="0" borderId="0" xfId="0" applyFont="1" applyAlignment="1">
      <alignment horizontal="center"/>
    </xf>
    <xf numFmtId="9" fontId="0" fillId="2" borderId="0" xfId="1" applyFont="1" applyFill="1" applyAlignment="1">
      <alignment horizontal="center"/>
    </xf>
    <xf numFmtId="169" fontId="5" fillId="0" borderId="0" xfId="0" applyNumberFormat="1" applyFont="1" applyAlignment="1">
      <alignment horizontal="center"/>
    </xf>
    <xf numFmtId="2" fontId="3" fillId="0" borderId="0" xfId="0" applyNumberFormat="1" applyFont="1" applyAlignment="1">
      <alignment horizontal="left" vertical="top" wrapText="1"/>
    </xf>
    <xf numFmtId="0" fontId="6" fillId="0" borderId="0" xfId="0" applyFont="1"/>
    <xf numFmtId="0" fontId="4" fillId="0" borderId="0" xfId="0" applyFont="1" applyAlignment="1">
      <alignment horizontal="left"/>
    </xf>
    <xf numFmtId="2" fontId="3" fillId="0" borderId="5" xfId="0" applyNumberFormat="1" applyFont="1" applyFill="1" applyBorder="1" applyAlignment="1">
      <alignment horizontal="center" vertical="top" wrapText="1"/>
    </xf>
    <xf numFmtId="0" fontId="3" fillId="0" borderId="6" xfId="0" applyFont="1" applyBorder="1" applyAlignment="1">
      <alignment horizontal="center" vertical="top" wrapText="1"/>
    </xf>
    <xf numFmtId="2" fontId="3" fillId="0" borderId="6" xfId="0" applyNumberFormat="1" applyFont="1" applyFill="1" applyBorder="1" applyAlignment="1">
      <alignment horizontal="center" vertical="top" wrapText="1"/>
    </xf>
    <xf numFmtId="0" fontId="3" fillId="0" borderId="7" xfId="0" applyFont="1" applyBorder="1" applyAlignment="1">
      <alignment horizontal="center" vertical="top" wrapText="1"/>
    </xf>
    <xf numFmtId="2" fontId="0" fillId="0" borderId="8" xfId="0" applyNumberFormat="1" applyBorder="1" applyAlignment="1">
      <alignment horizontal="center"/>
    </xf>
    <xf numFmtId="167" fontId="0" fillId="0" borderId="0" xfId="0" applyNumberFormat="1" applyBorder="1" applyAlignment="1">
      <alignment horizontal="center"/>
    </xf>
    <xf numFmtId="2" fontId="0" fillId="0" borderId="0" xfId="0" applyNumberFormat="1" applyBorder="1" applyAlignment="1">
      <alignment horizontal="center"/>
    </xf>
    <xf numFmtId="167" fontId="0" fillId="0" borderId="9" xfId="0" applyNumberFormat="1" applyBorder="1" applyAlignment="1">
      <alignment horizontal="center"/>
    </xf>
    <xf numFmtId="2" fontId="0" fillId="0" borderId="10" xfId="0" applyNumberFormat="1" applyBorder="1" applyAlignment="1">
      <alignment horizontal="center"/>
    </xf>
    <xf numFmtId="167" fontId="0" fillId="0" borderId="1" xfId="0" applyNumberFormat="1" applyBorder="1" applyAlignment="1">
      <alignment horizontal="center"/>
    </xf>
    <xf numFmtId="2" fontId="0" fillId="0" borderId="1" xfId="0" applyNumberFormat="1" applyBorder="1" applyAlignment="1">
      <alignment horizontal="center"/>
    </xf>
    <xf numFmtId="167" fontId="0" fillId="0" borderId="11" xfId="0" applyNumberFormat="1" applyBorder="1" applyAlignment="1">
      <alignment horizontal="center"/>
    </xf>
    <xf numFmtId="0" fontId="4" fillId="0" borderId="0" xfId="0" applyFont="1"/>
    <xf numFmtId="0" fontId="4" fillId="0" borderId="0" xfId="0" applyFont="1" applyFill="1" applyAlignment="1">
      <alignment horizontal="left"/>
    </xf>
    <xf numFmtId="0" fontId="4" fillId="0" borderId="0" xfId="0" applyFont="1" applyFill="1" applyAlignment="1">
      <alignment horizontal="center"/>
    </xf>
    <xf numFmtId="0" fontId="8" fillId="0" borderId="0" xfId="2"/>
    <xf numFmtId="0" fontId="8" fillId="5" borderId="0" xfId="2" applyFill="1"/>
    <xf numFmtId="9" fontId="8" fillId="0" borderId="0" xfId="2" applyNumberFormat="1"/>
    <xf numFmtId="1" fontId="8" fillId="0" borderId="0" xfId="2" applyNumberFormat="1"/>
    <xf numFmtId="0" fontId="8" fillId="0" borderId="0" xfId="2" applyAlignment="1">
      <alignment wrapText="1"/>
    </xf>
    <xf numFmtId="9" fontId="8" fillId="5" borderId="0" xfId="2" applyNumberFormat="1" applyFill="1"/>
    <xf numFmtId="2" fontId="8" fillId="5" borderId="0" xfId="2" applyNumberFormat="1" applyFill="1"/>
    <xf numFmtId="9" fontId="13" fillId="7" borderId="0" xfId="2" applyNumberFormat="1" applyFont="1" applyFill="1"/>
    <xf numFmtId="9" fontId="13" fillId="8" borderId="0" xfId="2" applyNumberFormat="1" applyFont="1" applyFill="1"/>
    <xf numFmtId="9" fontId="14" fillId="9" borderId="0" xfId="2" applyNumberFormat="1" applyFont="1" applyFill="1"/>
    <xf numFmtId="9" fontId="8" fillId="0" borderId="0" xfId="2" applyNumberFormat="1" applyFill="1"/>
    <xf numFmtId="9" fontId="8" fillId="9" borderId="0" xfId="2" applyNumberFormat="1" applyFill="1"/>
    <xf numFmtId="9" fontId="15" fillId="0" borderId="0" xfId="2" applyNumberFormat="1" applyFont="1" applyFill="1"/>
    <xf numFmtId="9" fontId="14" fillId="0" borderId="0" xfId="2" applyNumberFormat="1" applyFont="1" applyFill="1"/>
    <xf numFmtId="1" fontId="8" fillId="0" borderId="0" xfId="2" applyNumberFormat="1" applyFill="1"/>
    <xf numFmtId="1" fontId="15" fillId="0" borderId="0" xfId="2" applyNumberFormat="1" applyFont="1"/>
    <xf numFmtId="2" fontId="8" fillId="0" borderId="0" xfId="2" applyNumberFormat="1"/>
    <xf numFmtId="0" fontId="8" fillId="0" borderId="0" xfId="2" applyFill="1" applyBorder="1"/>
    <xf numFmtId="0" fontId="8" fillId="0" borderId="0" xfId="2" applyFill="1"/>
    <xf numFmtId="0" fontId="12" fillId="4" borderId="12" xfId="3" applyFont="1" applyFill="1" applyBorder="1" applyAlignment="1" applyProtection="1">
      <alignment horizontal="center" vertical="center"/>
      <protection locked="0"/>
    </xf>
    <xf numFmtId="2" fontId="0" fillId="0" borderId="0" xfId="0" applyNumberFormat="1" applyFill="1" applyAlignment="1">
      <alignment horizontal="center"/>
    </xf>
    <xf numFmtId="0" fontId="12" fillId="0" borderId="0" xfId="2" applyFont="1" applyFill="1" applyAlignment="1">
      <alignment horizontal="center"/>
    </xf>
    <xf numFmtId="2" fontId="12" fillId="0" borderId="0" xfId="2" applyNumberFormat="1" applyFont="1"/>
    <xf numFmtId="0" fontId="2" fillId="0" borderId="0" xfId="0" applyFont="1" applyFill="1" applyAlignment="1">
      <alignment horizontal="center"/>
    </xf>
    <xf numFmtId="0" fontId="0" fillId="0" borderId="0" xfId="0" applyFill="1"/>
    <xf numFmtId="0" fontId="22" fillId="0" borderId="0" xfId="7" applyFont="1"/>
    <xf numFmtId="0" fontId="21" fillId="0" borderId="0" xfId="7"/>
    <xf numFmtId="0" fontId="23" fillId="0" borderId="0" xfId="7" applyFont="1"/>
    <xf numFmtId="0" fontId="21" fillId="0" borderId="0" xfId="7" applyFont="1"/>
    <xf numFmtId="0" fontId="24" fillId="0" borderId="0" xfId="7" applyFont="1"/>
    <xf numFmtId="0" fontId="21" fillId="0" borderId="0" xfId="7" applyAlignment="1">
      <alignment horizontal="right"/>
    </xf>
    <xf numFmtId="168" fontId="21" fillId="0" borderId="0" xfId="7" applyNumberFormat="1"/>
    <xf numFmtId="0" fontId="21" fillId="4" borderId="0" xfId="7" applyFill="1"/>
    <xf numFmtId="2" fontId="21" fillId="0" borderId="0" xfId="7" applyNumberFormat="1"/>
    <xf numFmtId="0" fontId="25" fillId="0" borderId="0" xfId="7" applyFont="1"/>
    <xf numFmtId="9" fontId="25" fillId="0" borderId="0" xfId="7" applyNumberFormat="1" applyFont="1"/>
    <xf numFmtId="166" fontId="21" fillId="0" borderId="0" xfId="7" applyNumberFormat="1"/>
    <xf numFmtId="0" fontId="8" fillId="0" borderId="0" xfId="2" applyAlignment="1"/>
    <xf numFmtId="168" fontId="2" fillId="2" borderId="0" xfId="0" applyNumberFormat="1" applyFont="1" applyFill="1" applyBorder="1" applyAlignment="1">
      <alignment horizontal="center" vertical="top" wrapText="1"/>
    </xf>
    <xf numFmtId="0" fontId="0" fillId="0" borderId="0" xfId="0" applyBorder="1" applyAlignment="1"/>
    <xf numFmtId="170" fontId="8" fillId="0" borderId="0" xfId="6" applyNumberFormat="1" applyFont="1"/>
    <xf numFmtId="0" fontId="18" fillId="5" borderId="12" xfId="2" applyFont="1" applyFill="1" applyBorder="1" applyAlignment="1">
      <alignment horizontal="center"/>
    </xf>
    <xf numFmtId="0" fontId="12" fillId="4" borderId="13" xfId="3" applyFont="1" applyFill="1" applyBorder="1" applyAlignment="1" applyProtection="1">
      <alignment horizontal="center" vertical="center"/>
      <protection locked="0"/>
    </xf>
    <xf numFmtId="0" fontId="29" fillId="0" borderId="0" xfId="2" applyFont="1"/>
    <xf numFmtId="165" fontId="29" fillId="0" borderId="0" xfId="2" applyNumberFormat="1" applyFont="1"/>
    <xf numFmtId="0" fontId="26" fillId="0" borderId="0" xfId="2" applyFont="1" applyAlignment="1">
      <alignment horizontal="left"/>
    </xf>
    <xf numFmtId="2" fontId="8" fillId="0" borderId="0" xfId="2" applyNumberFormat="1" applyFill="1" applyAlignment="1">
      <alignment horizontal="right" vertical="center"/>
    </xf>
    <xf numFmtId="0" fontId="0" fillId="12" borderId="0" xfId="0" applyFill="1"/>
    <xf numFmtId="0" fontId="8" fillId="12" borderId="0" xfId="2" applyFill="1"/>
    <xf numFmtId="9" fontId="8" fillId="12" borderId="0" xfId="1" applyFont="1" applyFill="1"/>
    <xf numFmtId="9" fontId="9" fillId="12" borderId="0" xfId="4" applyFont="1" applyFill="1"/>
    <xf numFmtId="2" fontId="8" fillId="12" borderId="0" xfId="2" applyNumberFormat="1" applyFill="1"/>
    <xf numFmtId="0" fontId="10" fillId="12" borderId="0" xfId="2" applyFont="1" applyFill="1"/>
    <xf numFmtId="10" fontId="3" fillId="0" borderId="0" xfId="1" applyNumberFormat="1" applyFont="1" applyFill="1" applyAlignment="1">
      <alignment horizontal="center"/>
    </xf>
    <xf numFmtId="0" fontId="16" fillId="4" borderId="14" xfId="3" applyFont="1" applyFill="1" applyBorder="1" applyAlignment="1" applyProtection="1">
      <alignment horizontal="center" vertical="center" wrapText="1"/>
      <protection locked="0"/>
    </xf>
    <xf numFmtId="166" fontId="0" fillId="0" borderId="0" xfId="0" applyNumberFormat="1" applyBorder="1" applyAlignment="1">
      <alignment horizontal="center"/>
    </xf>
    <xf numFmtId="166" fontId="2" fillId="0" borderId="0" xfId="0" applyNumberFormat="1" applyFont="1" applyBorder="1" applyAlignment="1">
      <alignment horizontal="left"/>
    </xf>
    <xf numFmtId="0" fontId="12" fillId="4" borderId="16" xfId="3" applyFont="1" applyFill="1" applyBorder="1" applyAlignment="1" applyProtection="1">
      <alignment horizontal="center" vertical="center" wrapText="1"/>
      <protection locked="0"/>
    </xf>
    <xf numFmtId="0" fontId="8" fillId="13" borderId="0" xfId="2" applyFill="1"/>
    <xf numFmtId="0" fontId="32" fillId="13" borderId="0" xfId="0" applyFont="1" applyFill="1"/>
    <xf numFmtId="0" fontId="0" fillId="13" borderId="0" xfId="0" applyFill="1"/>
    <xf numFmtId="9" fontId="0" fillId="13" borderId="0" xfId="4" applyFont="1" applyFill="1"/>
    <xf numFmtId="0" fontId="28" fillId="6" borderId="27" xfId="2" applyFont="1" applyFill="1" applyBorder="1" applyAlignment="1">
      <alignment horizontal="center" wrapText="1"/>
    </xf>
    <xf numFmtId="0" fontId="44" fillId="0" borderId="0" xfId="2" applyFont="1" applyAlignment="1">
      <alignment horizontal="left"/>
    </xf>
    <xf numFmtId="2" fontId="44" fillId="0" borderId="0" xfId="2" applyNumberFormat="1" applyFont="1"/>
    <xf numFmtId="0" fontId="44" fillId="0" borderId="0" xfId="2" applyFont="1"/>
    <xf numFmtId="9" fontId="34" fillId="2" borderId="14" xfId="1" applyNumberFormat="1" applyFont="1" applyFill="1" applyBorder="1" applyAlignment="1">
      <alignment horizontal="center"/>
    </xf>
    <xf numFmtId="0" fontId="8" fillId="2" borderId="13" xfId="2" applyFill="1" applyBorder="1"/>
    <xf numFmtId="0" fontId="8" fillId="0" borderId="0" xfId="2" quotePrefix="1"/>
    <xf numFmtId="0" fontId="48" fillId="5" borderId="22" xfId="2" applyFont="1" applyFill="1" applyBorder="1" applyProtection="1"/>
    <xf numFmtId="0" fontId="48" fillId="5" borderId="18" xfId="2" applyFont="1" applyFill="1" applyBorder="1" applyProtection="1"/>
    <xf numFmtId="14" fontId="49" fillId="5" borderId="24" xfId="2" applyNumberFormat="1" applyFont="1" applyFill="1" applyBorder="1" applyAlignment="1" applyProtection="1">
      <alignment horizontal="left"/>
    </xf>
    <xf numFmtId="14" fontId="49" fillId="5" borderId="25" xfId="2" applyNumberFormat="1" applyFont="1" applyFill="1" applyBorder="1" applyAlignment="1" applyProtection="1">
      <alignment horizontal="left"/>
    </xf>
    <xf numFmtId="0" fontId="3" fillId="0" borderId="0" xfId="0" applyFont="1" applyFill="1" applyAlignment="1">
      <alignment horizontal="center" wrapText="1"/>
    </xf>
    <xf numFmtId="166" fontId="2" fillId="0" borderId="0" xfId="0" applyNumberFormat="1" applyFont="1" applyAlignment="1">
      <alignment horizontal="center"/>
    </xf>
    <xf numFmtId="2" fontId="2" fillId="0" borderId="0" xfId="0" applyNumberFormat="1" applyFont="1" applyFill="1" applyAlignment="1">
      <alignment horizontal="center"/>
    </xf>
    <xf numFmtId="168" fontId="2" fillId="0" borderId="0" xfId="0" applyNumberFormat="1" applyFont="1" applyAlignment="1">
      <alignment horizontal="center"/>
    </xf>
    <xf numFmtId="168" fontId="0" fillId="0" borderId="0" xfId="1" applyNumberFormat="1" applyFont="1" applyAlignment="1">
      <alignment horizontal="center"/>
    </xf>
    <xf numFmtId="0" fontId="19" fillId="0" borderId="12" xfId="2" applyFont="1" applyFill="1" applyBorder="1" applyAlignment="1">
      <alignment horizontal="center"/>
    </xf>
    <xf numFmtId="9" fontId="8" fillId="0" borderId="0" xfId="1" applyFont="1"/>
    <xf numFmtId="9" fontId="8" fillId="0" borderId="0" xfId="1" applyFont="1" applyAlignment="1">
      <alignment vertical="top"/>
    </xf>
    <xf numFmtId="0" fontId="8" fillId="0" borderId="0" xfId="2" applyAlignment="1">
      <alignment horizontal="right"/>
    </xf>
    <xf numFmtId="0" fontId="8" fillId="0" borderId="0" xfId="2" applyAlignment="1">
      <alignment horizontal="left"/>
    </xf>
    <xf numFmtId="0" fontId="15" fillId="0" borderId="0" xfId="2" applyFont="1"/>
    <xf numFmtId="169" fontId="8" fillId="2" borderId="14" xfId="1" applyNumberFormat="1" applyFont="1" applyFill="1" applyBorder="1"/>
    <xf numFmtId="2" fontId="12" fillId="0" borderId="0" xfId="2" applyNumberFormat="1" applyFont="1" applyAlignment="1" applyProtection="1">
      <alignment horizontal="left"/>
      <protection locked="0"/>
    </xf>
    <xf numFmtId="0" fontId="8" fillId="0" borderId="0" xfId="2" applyProtection="1">
      <protection locked="0"/>
    </xf>
    <xf numFmtId="0" fontId="8" fillId="0" borderId="0" xfId="2" applyBorder="1"/>
    <xf numFmtId="2" fontId="8" fillId="0" borderId="0" xfId="2" applyNumberFormat="1" applyBorder="1"/>
    <xf numFmtId="0" fontId="0" fillId="5" borderId="19" xfId="0" applyFill="1" applyBorder="1" applyAlignment="1"/>
    <xf numFmtId="0" fontId="8" fillId="5" borderId="19" xfId="2" applyFill="1" applyBorder="1" applyAlignment="1">
      <alignment wrapText="1"/>
    </xf>
    <xf numFmtId="0" fontId="0" fillId="5" borderId="19" xfId="0" applyFill="1" applyBorder="1" applyAlignment="1">
      <alignment wrapText="1"/>
    </xf>
    <xf numFmtId="0" fontId="8" fillId="5" borderId="19" xfId="2" applyFill="1" applyBorder="1"/>
    <xf numFmtId="0" fontId="8" fillId="5" borderId="25" xfId="2" applyFill="1" applyBorder="1"/>
    <xf numFmtId="0" fontId="46" fillId="5" borderId="24" xfId="2" applyFont="1" applyFill="1" applyBorder="1" applyAlignment="1"/>
    <xf numFmtId="10" fontId="3" fillId="2" borderId="0" xfId="1" applyNumberFormat="1" applyFont="1" applyFill="1" applyAlignment="1">
      <alignment horizontal="center"/>
    </xf>
    <xf numFmtId="0" fontId="8" fillId="13" borderId="0" xfId="2" applyFill="1" applyBorder="1"/>
    <xf numFmtId="0" fontId="12" fillId="13" borderId="0" xfId="2" applyFont="1" applyFill="1" applyBorder="1"/>
    <xf numFmtId="0" fontId="10" fillId="13" borderId="0" xfId="2" applyFont="1" applyFill="1"/>
    <xf numFmtId="0" fontId="8" fillId="11" borderId="0" xfId="2" applyFill="1"/>
    <xf numFmtId="0" fontId="42" fillId="11" borderId="0" xfId="0" applyFont="1" applyFill="1"/>
    <xf numFmtId="0" fontId="43" fillId="11" borderId="0" xfId="0" applyFont="1" applyFill="1"/>
    <xf numFmtId="0" fontId="26" fillId="0" borderId="0" xfId="2" applyFont="1" applyBorder="1" applyAlignment="1">
      <alignment vertical="center" wrapText="1"/>
    </xf>
    <xf numFmtId="0" fontId="35" fillId="0" borderId="0" xfId="0" applyFont="1" applyAlignment="1">
      <alignment vertical="center"/>
    </xf>
    <xf numFmtId="0" fontId="9" fillId="0" borderId="0" xfId="2" applyFont="1" applyFill="1"/>
    <xf numFmtId="9" fontId="9" fillId="0" borderId="0" xfId="4" applyFont="1" applyFill="1"/>
    <xf numFmtId="2" fontId="8" fillId="0" borderId="0" xfId="2" applyNumberFormat="1" applyFill="1"/>
    <xf numFmtId="0" fontId="37" fillId="0" borderId="0" xfId="2" applyFont="1" applyFill="1"/>
    <xf numFmtId="0" fontId="10" fillId="0" borderId="0" xfId="2" applyFont="1" applyFill="1"/>
    <xf numFmtId="0" fontId="46" fillId="0" borderId="0" xfId="2" applyFont="1" applyFill="1" applyBorder="1" applyAlignment="1"/>
    <xf numFmtId="0" fontId="0" fillId="0" borderId="0" xfId="0" applyFill="1" applyBorder="1" applyAlignment="1"/>
    <xf numFmtId="0" fontId="8" fillId="0" borderId="0" xfId="2" applyFill="1" applyBorder="1" applyAlignment="1">
      <alignment wrapText="1"/>
    </xf>
    <xf numFmtId="0" fontId="0" fillId="0" borderId="0" xfId="0" applyFill="1" applyBorder="1" applyAlignment="1">
      <alignment wrapText="1"/>
    </xf>
    <xf numFmtId="0" fontId="8" fillId="2" borderId="12" xfId="2" applyFill="1" applyBorder="1"/>
    <xf numFmtId="0" fontId="8" fillId="2" borderId="14" xfId="2" applyFill="1" applyBorder="1"/>
    <xf numFmtId="0" fontId="3" fillId="4" borderId="0" xfId="0" applyFont="1" applyFill="1" applyAlignment="1">
      <alignment horizontal="center" vertical="top" wrapText="1"/>
    </xf>
    <xf numFmtId="172" fontId="0" fillId="0" borderId="0" xfId="0" applyNumberFormat="1" applyFill="1" applyAlignment="1">
      <alignment horizontal="center"/>
    </xf>
    <xf numFmtId="172" fontId="0" fillId="0" borderId="0" xfId="0" applyNumberFormat="1" applyAlignment="1">
      <alignment horizontal="center"/>
    </xf>
    <xf numFmtId="9" fontId="0" fillId="0" borderId="0" xfId="1" applyFont="1" applyAlignment="1">
      <alignment horizontal="center"/>
    </xf>
    <xf numFmtId="10" fontId="8" fillId="0" borderId="0" xfId="2" applyNumberFormat="1"/>
    <xf numFmtId="172" fontId="0" fillId="2" borderId="0" xfId="0" applyNumberFormat="1" applyFill="1" applyAlignment="1">
      <alignment horizontal="center"/>
    </xf>
    <xf numFmtId="2" fontId="4" fillId="5" borderId="0" xfId="0" applyNumberFormat="1" applyFont="1" applyFill="1" applyAlignment="1">
      <alignment horizontal="center"/>
    </xf>
    <xf numFmtId="9" fontId="2" fillId="0" borderId="0" xfId="0" applyNumberFormat="1" applyFont="1" applyFill="1" applyAlignment="1">
      <alignment horizontal="center"/>
    </xf>
    <xf numFmtId="0" fontId="3" fillId="0" borderId="0" xfId="0" applyFont="1" applyFill="1" applyAlignment="1">
      <alignment horizontal="center" vertical="top" wrapText="1"/>
    </xf>
    <xf numFmtId="165" fontId="8" fillId="0" borderId="0" xfId="2" applyNumberFormat="1"/>
    <xf numFmtId="169" fontId="0" fillId="0" borderId="0" xfId="1" applyNumberFormat="1" applyFont="1" applyFill="1" applyAlignment="1">
      <alignment horizontal="center"/>
    </xf>
    <xf numFmtId="2" fontId="3" fillId="0" borderId="0" xfId="0" applyNumberFormat="1" applyFont="1" applyFill="1" applyAlignment="1">
      <alignment horizontal="center"/>
    </xf>
    <xf numFmtId="9" fontId="0" fillId="0" borderId="0" xfId="1" applyFont="1" applyFill="1" applyAlignment="1">
      <alignment horizontal="center"/>
    </xf>
    <xf numFmtId="168" fontId="4" fillId="0" borderId="0" xfId="0" applyNumberFormat="1" applyFont="1" applyFill="1" applyAlignment="1">
      <alignment horizontal="center"/>
    </xf>
    <xf numFmtId="168" fontId="2" fillId="0" borderId="0" xfId="0" applyNumberFormat="1" applyFont="1" applyFill="1" applyAlignment="1">
      <alignment horizontal="center"/>
    </xf>
    <xf numFmtId="0" fontId="3" fillId="5" borderId="0" xfId="0" applyFont="1" applyFill="1" applyAlignment="1">
      <alignment horizontal="center" vertical="top" wrapText="1"/>
    </xf>
    <xf numFmtId="167" fontId="0" fillId="5" borderId="0" xfId="0" applyNumberFormat="1" applyFill="1" applyAlignment="1">
      <alignment horizontal="center"/>
    </xf>
    <xf numFmtId="0" fontId="0" fillId="5" borderId="0" xfId="0" applyFill="1" applyAlignment="1">
      <alignment horizontal="center"/>
    </xf>
    <xf numFmtId="166" fontId="3" fillId="5" borderId="0" xfId="0" applyNumberFormat="1" applyFont="1" applyFill="1" applyAlignment="1">
      <alignment horizontal="center"/>
    </xf>
    <xf numFmtId="169" fontId="3" fillId="5" borderId="0" xfId="1" applyNumberFormat="1" applyFont="1" applyFill="1" applyAlignment="1">
      <alignment horizontal="center"/>
    </xf>
    <xf numFmtId="9" fontId="0" fillId="16" borderId="0" xfId="1" applyFont="1" applyFill="1" applyAlignment="1">
      <alignment horizontal="center"/>
    </xf>
    <xf numFmtId="2" fontId="0" fillId="5" borderId="0" xfId="0" applyNumberFormat="1" applyFill="1" applyAlignment="1">
      <alignment horizontal="center"/>
    </xf>
    <xf numFmtId="172" fontId="0" fillId="5" borderId="0" xfId="0" applyNumberFormat="1" applyFill="1" applyAlignment="1">
      <alignment horizontal="center"/>
    </xf>
    <xf numFmtId="169" fontId="0" fillId="16" borderId="0" xfId="1" applyNumberFormat="1" applyFont="1" applyFill="1" applyAlignment="1">
      <alignment horizontal="center"/>
    </xf>
    <xf numFmtId="0" fontId="57" fillId="0" borderId="0" xfId="2" applyFont="1"/>
    <xf numFmtId="0" fontId="8" fillId="7" borderId="31" xfId="2" applyFill="1" applyBorder="1"/>
    <xf numFmtId="0" fontId="53" fillId="7" borderId="12" xfId="2" applyFont="1" applyFill="1" applyBorder="1" applyAlignment="1">
      <alignment horizontal="center"/>
    </xf>
    <xf numFmtId="0" fontId="58" fillId="7" borderId="29" xfId="2" applyFont="1" applyFill="1" applyBorder="1"/>
    <xf numFmtId="0" fontId="53" fillId="7" borderId="26" xfId="2" applyFont="1" applyFill="1" applyBorder="1" applyAlignment="1">
      <alignment horizontal="center"/>
    </xf>
    <xf numFmtId="168" fontId="8" fillId="0" borderId="0" xfId="2" applyNumberFormat="1" applyProtection="1">
      <protection locked="0"/>
    </xf>
    <xf numFmtId="172" fontId="0" fillId="0" borderId="0" xfId="0" applyNumberFormat="1"/>
    <xf numFmtId="167" fontId="0" fillId="0" borderId="0" xfId="0" applyNumberFormat="1"/>
    <xf numFmtId="0" fontId="26" fillId="0" borderId="0" xfId="2" applyFont="1" applyBorder="1" applyAlignment="1">
      <alignment horizontal="center" vertical="center" wrapText="1"/>
    </xf>
    <xf numFmtId="9" fontId="0" fillId="0" borderId="0" xfId="0" applyNumberFormat="1" applyFill="1" applyAlignment="1">
      <alignment horizontal="center"/>
    </xf>
    <xf numFmtId="10" fontId="3" fillId="4" borderId="0" xfId="1" applyNumberFormat="1" applyFont="1" applyFill="1" applyAlignment="1">
      <alignment horizontal="center"/>
    </xf>
    <xf numFmtId="10" fontId="14" fillId="0" borderId="0" xfId="2" applyNumberFormat="1" applyFont="1"/>
    <xf numFmtId="0" fontId="31" fillId="0" borderId="0" xfId="2" applyFont="1" applyFill="1" applyBorder="1" applyAlignment="1">
      <alignment wrapText="1"/>
    </xf>
    <xf numFmtId="171" fontId="0" fillId="0" borderId="0" xfId="0" applyNumberFormat="1"/>
    <xf numFmtId="173" fontId="0" fillId="0" borderId="0" xfId="0" applyNumberFormat="1"/>
    <xf numFmtId="174" fontId="0" fillId="0" borderId="0" xfId="0" applyNumberFormat="1"/>
    <xf numFmtId="175" fontId="2" fillId="0" borderId="0" xfId="0" applyNumberFormat="1" applyFont="1"/>
    <xf numFmtId="0" fontId="58" fillId="7" borderId="29" xfId="0" applyFont="1" applyFill="1" applyBorder="1" applyAlignment="1">
      <alignment vertical="center"/>
    </xf>
    <xf numFmtId="0" fontId="35" fillId="7" borderId="30" xfId="0" applyFont="1" applyFill="1" applyBorder="1" applyAlignment="1">
      <alignment vertical="center"/>
    </xf>
    <xf numFmtId="0" fontId="35" fillId="7" borderId="31" xfId="0" applyFont="1" applyFill="1" applyBorder="1" applyAlignment="1">
      <alignment vertical="center"/>
    </xf>
    <xf numFmtId="9" fontId="0" fillId="0" borderId="0" xfId="1" applyFont="1"/>
    <xf numFmtId="0" fontId="35" fillId="0" borderId="0" xfId="0" applyFont="1" applyFill="1" applyBorder="1" applyAlignment="1">
      <alignment vertical="center"/>
    </xf>
    <xf numFmtId="172" fontId="2" fillId="0" borderId="0" xfId="0" applyNumberFormat="1" applyFont="1"/>
    <xf numFmtId="175" fontId="0" fillId="0" borderId="0" xfId="0" applyNumberFormat="1"/>
    <xf numFmtId="0" fontId="8" fillId="7" borderId="20" xfId="2" applyFill="1" applyBorder="1"/>
    <xf numFmtId="0" fontId="12" fillId="4" borderId="15" xfId="3" applyFont="1" applyFill="1" applyBorder="1" applyAlignment="1" applyProtection="1">
      <alignment horizontal="center" vertical="center"/>
      <protection locked="0"/>
    </xf>
    <xf numFmtId="169" fontId="0" fillId="0" borderId="0" xfId="0" applyNumberFormat="1" applyAlignment="1">
      <alignment horizontal="center"/>
    </xf>
    <xf numFmtId="167" fontId="2" fillId="0" borderId="0" xfId="0" applyNumberFormat="1" applyFont="1"/>
    <xf numFmtId="171" fontId="2" fillId="0" borderId="0" xfId="0" applyNumberFormat="1" applyFont="1"/>
    <xf numFmtId="0" fontId="0" fillId="0" borderId="0" xfId="0" applyAlignment="1">
      <alignment horizontal="left"/>
    </xf>
    <xf numFmtId="0" fontId="26" fillId="0" borderId="0" xfId="2" applyFont="1"/>
    <xf numFmtId="173" fontId="0" fillId="0" borderId="0" xfId="0" applyNumberFormat="1" applyAlignment="1">
      <alignment horizontal="center"/>
    </xf>
    <xf numFmtId="9" fontId="2" fillId="0" borderId="0" xfId="1" applyFont="1" applyFill="1" applyAlignment="1">
      <alignment horizontal="center"/>
    </xf>
    <xf numFmtId="174" fontId="2" fillId="0" borderId="0" xfId="0" applyNumberFormat="1" applyFont="1"/>
    <xf numFmtId="173" fontId="0" fillId="7" borderId="0" xfId="0" applyNumberFormat="1" applyFill="1" applyAlignment="1">
      <alignment horizontal="center"/>
    </xf>
    <xf numFmtId="167" fontId="0" fillId="7" borderId="0" xfId="0" applyNumberFormat="1" applyFill="1"/>
    <xf numFmtId="167" fontId="0" fillId="3" borderId="0" xfId="0" applyNumberFormat="1" applyFill="1"/>
    <xf numFmtId="10" fontId="0" fillId="2" borderId="0" xfId="1" applyNumberFormat="1" applyFont="1" applyFill="1" applyAlignment="1">
      <alignment horizontal="center"/>
    </xf>
    <xf numFmtId="0" fontId="8" fillId="0" borderId="0" xfId="2" applyFont="1"/>
    <xf numFmtId="0" fontId="64" fillId="14" borderId="14" xfId="2" applyFont="1" applyFill="1" applyBorder="1" applyAlignment="1">
      <alignment horizontal="center"/>
    </xf>
    <xf numFmtId="0" fontId="65" fillId="14" borderId="17" xfId="2" applyFont="1" applyFill="1" applyBorder="1" applyAlignment="1">
      <alignment horizontal="center"/>
    </xf>
    <xf numFmtId="0" fontId="58" fillId="15" borderId="28" xfId="2" applyFont="1" applyFill="1" applyBorder="1" applyAlignment="1">
      <alignment horizontal="center"/>
    </xf>
    <xf numFmtId="0" fontId="48" fillId="4" borderId="21" xfId="2" applyFont="1" applyFill="1" applyBorder="1" applyProtection="1">
      <protection locked="0"/>
    </xf>
    <xf numFmtId="0" fontId="48" fillId="4" borderId="23" xfId="2" applyFont="1" applyFill="1" applyBorder="1" applyProtection="1">
      <protection locked="0"/>
    </xf>
    <xf numFmtId="0" fontId="59" fillId="5" borderId="0" xfId="0" applyFont="1" applyFill="1" applyBorder="1" applyAlignment="1"/>
    <xf numFmtId="0" fontId="59" fillId="5" borderId="18" xfId="0" applyFont="1" applyFill="1" applyBorder="1" applyAlignment="1"/>
    <xf numFmtId="0" fontId="46" fillId="5" borderId="23" xfId="2" applyFont="1" applyFill="1" applyBorder="1" applyAlignment="1">
      <alignment horizontal="left" vertical="center"/>
    </xf>
    <xf numFmtId="0" fontId="36" fillId="5" borderId="0" xfId="0" applyFont="1" applyFill="1" applyBorder="1" applyAlignment="1">
      <alignment horizontal="left" vertical="center"/>
    </xf>
    <xf numFmtId="0" fontId="36" fillId="5" borderId="18" xfId="0" applyFont="1" applyFill="1" applyBorder="1" applyAlignment="1">
      <alignment horizontal="left" vertical="center"/>
    </xf>
    <xf numFmtId="0" fontId="46" fillId="5" borderId="23" xfId="2" applyFont="1" applyFill="1" applyBorder="1" applyAlignment="1"/>
    <xf numFmtId="171" fontId="0" fillId="0" borderId="0" xfId="0" quotePrefix="1" applyNumberFormat="1"/>
    <xf numFmtId="172" fontId="0" fillId="0" borderId="0" xfId="0" quotePrefix="1" applyNumberFormat="1"/>
    <xf numFmtId="171" fontId="0" fillId="0" borderId="0" xfId="0" applyNumberFormat="1" applyFill="1" applyAlignment="1">
      <alignment horizontal="center"/>
    </xf>
    <xf numFmtId="169" fontId="8" fillId="0" borderId="0" xfId="2" applyNumberFormat="1"/>
    <xf numFmtId="172" fontId="0" fillId="7" borderId="0" xfId="0" applyNumberFormat="1" applyFill="1" applyAlignment="1">
      <alignment horizontal="center"/>
    </xf>
    <xf numFmtId="0" fontId="55" fillId="12" borderId="0" xfId="0" applyFont="1" applyFill="1" applyAlignment="1">
      <alignment horizontal="left"/>
    </xf>
    <xf numFmtId="10" fontId="8" fillId="0" borderId="0" xfId="1" applyNumberFormat="1" applyFont="1"/>
    <xf numFmtId="0" fontId="36" fillId="5" borderId="0" xfId="0" applyFont="1" applyFill="1" applyBorder="1" applyAlignment="1"/>
    <xf numFmtId="0" fontId="8" fillId="5" borderId="20" xfId="2" applyFill="1" applyBorder="1"/>
    <xf numFmtId="0" fontId="8" fillId="5" borderId="22" xfId="2" applyFill="1" applyBorder="1"/>
    <xf numFmtId="0" fontId="36" fillId="5" borderId="18" xfId="0" applyFont="1" applyFill="1" applyBorder="1" applyAlignment="1"/>
    <xf numFmtId="0" fontId="48" fillId="5" borderId="21" xfId="0" applyFont="1" applyFill="1" applyBorder="1"/>
    <xf numFmtId="9" fontId="10" fillId="2" borderId="17" xfId="1" applyNumberFormat="1" applyFont="1" applyFill="1" applyBorder="1" applyAlignment="1">
      <alignment horizontal="center"/>
    </xf>
    <xf numFmtId="176" fontId="8" fillId="13" borderId="0" xfId="2" applyNumberFormat="1" applyFill="1"/>
    <xf numFmtId="172" fontId="2" fillId="0" borderId="0" xfId="0" applyNumberFormat="1" applyFont="1" applyAlignment="1">
      <alignment horizontal="left"/>
    </xf>
    <xf numFmtId="167" fontId="4" fillId="0" borderId="0" xfId="0" applyNumberFormat="1" applyFont="1" applyFill="1" applyAlignment="1">
      <alignment horizontal="center"/>
    </xf>
    <xf numFmtId="172" fontId="3" fillId="2" borderId="0" xfId="1" applyNumberFormat="1" applyFont="1" applyFill="1" applyAlignment="1">
      <alignment horizontal="center"/>
    </xf>
    <xf numFmtId="171" fontId="0" fillId="0" borderId="0" xfId="0" applyNumberFormat="1" applyAlignment="1">
      <alignment horizontal="left"/>
    </xf>
    <xf numFmtId="173" fontId="0" fillId="0" borderId="0" xfId="0" applyNumberFormat="1" applyFill="1" applyAlignment="1">
      <alignment horizontal="center"/>
    </xf>
    <xf numFmtId="0" fontId="2" fillId="0" borderId="0" xfId="0" quotePrefix="1" applyFont="1" applyFill="1" applyAlignment="1">
      <alignment horizontal="left"/>
    </xf>
    <xf numFmtId="0" fontId="0" fillId="0" borderId="0" xfId="0" applyAlignment="1">
      <alignment horizontal="center"/>
    </xf>
    <xf numFmtId="0" fontId="26" fillId="0" borderId="0" xfId="0" applyFont="1" applyBorder="1" applyAlignment="1">
      <alignment horizontal="left" vertical="center"/>
    </xf>
    <xf numFmtId="2" fontId="3" fillId="2" borderId="0" xfId="0" applyNumberFormat="1" applyFont="1" applyFill="1" applyAlignment="1">
      <alignment horizontal="center" vertical="top" wrapText="1"/>
    </xf>
    <xf numFmtId="9" fontId="0" fillId="4" borderId="0" xfId="1" applyFont="1" applyFill="1" applyAlignment="1">
      <alignment horizontal="center"/>
    </xf>
    <xf numFmtId="10" fontId="0" fillId="0" borderId="0" xfId="0" applyNumberFormat="1" applyAlignment="1">
      <alignment horizontal="center"/>
    </xf>
    <xf numFmtId="0" fontId="14" fillId="0" borderId="0" xfId="2" applyFont="1"/>
    <xf numFmtId="171" fontId="2" fillId="0" borderId="0" xfId="0" applyNumberFormat="1" applyFont="1" applyFill="1" applyAlignment="1">
      <alignment horizontal="center"/>
    </xf>
    <xf numFmtId="177" fontId="0" fillId="0" borderId="0" xfId="6" applyNumberFormat="1" applyFont="1" applyFill="1" applyAlignment="1">
      <alignment horizontal="center"/>
    </xf>
    <xf numFmtId="0" fontId="68" fillId="0" borderId="0" xfId="0" quotePrefix="1" applyFont="1" applyFill="1" applyAlignment="1">
      <alignment horizontal="center"/>
    </xf>
    <xf numFmtId="9" fontId="8" fillId="2" borderId="13" xfId="1" applyNumberFormat="1" applyFont="1" applyFill="1" applyBorder="1" applyAlignment="1" applyProtection="1">
      <alignment horizontal="center" vertical="center"/>
    </xf>
    <xf numFmtId="9" fontId="12" fillId="2" borderId="14" xfId="3" applyNumberFormat="1" applyFont="1" applyFill="1" applyBorder="1" applyAlignment="1" applyProtection="1">
      <alignment horizontal="center" vertical="center"/>
    </xf>
    <xf numFmtId="9" fontId="12" fillId="2" borderId="13" xfId="1" applyNumberFormat="1" applyFont="1" applyFill="1" applyBorder="1" applyAlignment="1">
      <alignment horizontal="center"/>
    </xf>
    <xf numFmtId="173" fontId="0" fillId="0" borderId="0" xfId="1" applyNumberFormat="1" applyFont="1" applyFill="1" applyAlignment="1">
      <alignment horizontal="center"/>
    </xf>
    <xf numFmtId="169" fontId="2" fillId="4" borderId="0" xfId="1" applyNumberFormat="1" applyFont="1" applyFill="1" applyAlignment="1">
      <alignment horizontal="center"/>
    </xf>
    <xf numFmtId="169" fontId="0" fillId="0" borderId="0" xfId="0" applyNumberFormat="1" applyFill="1" applyAlignment="1">
      <alignment horizontal="center"/>
    </xf>
    <xf numFmtId="171" fontId="0" fillId="2" borderId="0" xfId="0" applyNumberFormat="1" applyFill="1" applyAlignment="1">
      <alignment horizontal="center"/>
    </xf>
    <xf numFmtId="10" fontId="0" fillId="0" borderId="0" xfId="0" applyNumberFormat="1" applyFill="1" applyAlignment="1">
      <alignment horizontal="center"/>
    </xf>
    <xf numFmtId="9" fontId="0" fillId="17" borderId="0" xfId="1" applyFont="1" applyFill="1" applyAlignment="1">
      <alignment horizontal="center"/>
    </xf>
    <xf numFmtId="171" fontId="0" fillId="4" borderId="0" xfId="0" applyNumberFormat="1" applyFill="1" applyAlignment="1">
      <alignment horizontal="center"/>
    </xf>
    <xf numFmtId="168" fontId="0" fillId="4" borderId="0" xfId="0" applyNumberFormat="1" applyFill="1" applyAlignment="1">
      <alignment horizontal="center"/>
    </xf>
    <xf numFmtId="172" fontId="0" fillId="4" borderId="0" xfId="0" applyNumberFormat="1" applyFill="1" applyAlignment="1">
      <alignment horizontal="center"/>
    </xf>
    <xf numFmtId="171" fontId="4" fillId="0" borderId="0" xfId="0" applyNumberFormat="1" applyFont="1" applyFill="1" applyAlignment="1">
      <alignment horizontal="center"/>
    </xf>
    <xf numFmtId="171" fontId="4" fillId="0" borderId="0" xfId="0" applyNumberFormat="1" applyFont="1" applyFill="1" applyAlignment="1">
      <alignment horizontal="left"/>
    </xf>
    <xf numFmtId="10" fontId="0" fillId="4" borderId="0" xfId="1" applyNumberFormat="1" applyFont="1" applyFill="1" applyAlignment="1">
      <alignment horizontal="center"/>
    </xf>
    <xf numFmtId="169" fontId="3" fillId="2" borderId="0" xfId="1" applyNumberFormat="1" applyFont="1" applyFill="1" applyAlignment="1">
      <alignment horizontal="center"/>
    </xf>
    <xf numFmtId="172" fontId="0" fillId="3" borderId="0" xfId="0" applyNumberFormat="1" applyFill="1" applyAlignment="1">
      <alignment horizontal="center"/>
    </xf>
    <xf numFmtId="179" fontId="4" fillId="0" borderId="0" xfId="0" applyNumberFormat="1" applyFont="1" applyFill="1" applyAlignment="1">
      <alignment horizontal="left"/>
    </xf>
    <xf numFmtId="169" fontId="0" fillId="0" borderId="0" xfId="1" applyNumberFormat="1" applyFont="1" applyAlignment="1">
      <alignment horizontal="center"/>
    </xf>
    <xf numFmtId="173" fontId="0" fillId="2" borderId="0" xfId="0" applyNumberFormat="1" applyFill="1" applyAlignment="1">
      <alignment horizontal="center"/>
    </xf>
    <xf numFmtId="178" fontId="2" fillId="0" borderId="0" xfId="0" applyNumberFormat="1" applyFont="1" applyFill="1" applyAlignment="1">
      <alignment horizontal="center"/>
    </xf>
    <xf numFmtId="0" fontId="0" fillId="0" borderId="0" xfId="0" applyAlignment="1"/>
    <xf numFmtId="0" fontId="12" fillId="0" borderId="0" xfId="2" applyFont="1"/>
    <xf numFmtId="9" fontId="0" fillId="0" borderId="0" xfId="0" applyNumberFormat="1"/>
    <xf numFmtId="0" fontId="69" fillId="0" borderId="0" xfId="0" applyFont="1"/>
    <xf numFmtId="0" fontId="12" fillId="4" borderId="13" xfId="3" applyFont="1" applyFill="1" applyBorder="1" applyAlignment="1" applyProtection="1">
      <alignment horizontal="center" vertical="center" wrapText="1"/>
      <protection locked="0"/>
    </xf>
    <xf numFmtId="2" fontId="12" fillId="0" borderId="0" xfId="2" applyNumberFormat="1" applyFont="1" applyAlignment="1" applyProtection="1">
      <alignment horizontal="right"/>
      <protection locked="0"/>
    </xf>
    <xf numFmtId="2" fontId="62" fillId="0" borderId="0" xfId="2" applyNumberFormat="1" applyFont="1" applyAlignment="1" applyProtection="1">
      <alignment horizontal="right"/>
      <protection locked="0"/>
    </xf>
    <xf numFmtId="0" fontId="8" fillId="0" borderId="0" xfId="2" applyAlignment="1">
      <alignment horizontal="right" vertical="center"/>
    </xf>
    <xf numFmtId="2" fontId="12" fillId="0" borderId="0" xfId="2" applyNumberFormat="1" applyFont="1" applyAlignment="1">
      <alignment vertical="center"/>
    </xf>
    <xf numFmtId="0" fontId="8" fillId="0" borderId="0" xfId="2" applyAlignment="1">
      <alignment vertical="center"/>
    </xf>
    <xf numFmtId="0" fontId="18" fillId="10" borderId="14" xfId="2" applyFont="1" applyFill="1" applyBorder="1" applyAlignment="1">
      <alignment horizontal="center"/>
    </xf>
    <xf numFmtId="9" fontId="8" fillId="2" borderId="13" xfId="1" applyFont="1" applyFill="1" applyBorder="1" applyAlignment="1">
      <alignment horizontal="center"/>
    </xf>
    <xf numFmtId="0" fontId="60" fillId="0" borderId="15" xfId="0" applyFont="1" applyFill="1" applyBorder="1" applyAlignment="1">
      <alignment horizontal="center" wrapText="1"/>
    </xf>
    <xf numFmtId="0" fontId="54" fillId="11" borderId="0" xfId="0" applyFont="1" applyFill="1" applyAlignment="1">
      <alignment horizontal="left" wrapText="1"/>
    </xf>
    <xf numFmtId="0" fontId="55" fillId="11" borderId="0" xfId="0" applyFont="1" applyFill="1" applyAlignment="1">
      <alignment horizontal="left" wrapText="1"/>
    </xf>
    <xf numFmtId="0" fontId="15" fillId="0" borderId="0" xfId="2" applyFont="1" applyFill="1"/>
    <xf numFmtId="176" fontId="8" fillId="0" borderId="0" xfId="2" applyNumberFormat="1" applyFill="1"/>
    <xf numFmtId="10" fontId="8" fillId="0" borderId="0" xfId="2" quotePrefix="1" applyNumberFormat="1" applyFill="1"/>
    <xf numFmtId="10" fontId="8" fillId="0" borderId="0" xfId="2" applyNumberFormat="1" applyFill="1"/>
    <xf numFmtId="0" fontId="33" fillId="0" borderId="0" xfId="2" applyFont="1" applyFill="1"/>
    <xf numFmtId="175" fontId="0" fillId="0" borderId="0" xfId="0" applyNumberFormat="1" applyFill="1" applyAlignment="1">
      <alignment horizontal="center"/>
    </xf>
    <xf numFmtId="175" fontId="3" fillId="0" borderId="0" xfId="0" applyNumberFormat="1" applyFont="1" applyAlignment="1">
      <alignment horizontal="center" vertical="top" wrapText="1"/>
    </xf>
    <xf numFmtId="2" fontId="2" fillId="4" borderId="0" xfId="0" applyNumberFormat="1" applyFont="1" applyFill="1" applyAlignment="1">
      <alignment horizontal="center"/>
    </xf>
    <xf numFmtId="168" fontId="4" fillId="4" borderId="0" xfId="0" applyNumberFormat="1" applyFont="1" applyFill="1" applyAlignment="1">
      <alignment horizontal="center"/>
    </xf>
    <xf numFmtId="2" fontId="4" fillId="4" borderId="0" xfId="0" applyNumberFormat="1" applyFont="1" applyFill="1" applyAlignment="1">
      <alignment horizontal="center"/>
    </xf>
    <xf numFmtId="168" fontId="2" fillId="4" borderId="0" xfId="0" applyNumberFormat="1" applyFont="1" applyFill="1" applyBorder="1" applyAlignment="1">
      <alignment horizontal="center" vertical="top" wrapText="1"/>
    </xf>
    <xf numFmtId="2" fontId="0" fillId="4" borderId="0" xfId="1" applyNumberFormat="1" applyFont="1" applyFill="1" applyAlignment="1">
      <alignment horizontal="center"/>
    </xf>
    <xf numFmtId="171" fontId="68" fillId="2" borderId="0" xfId="0" applyNumberFormat="1" applyFont="1" applyFill="1" applyAlignment="1">
      <alignment horizontal="center"/>
    </xf>
    <xf numFmtId="0" fontId="54" fillId="12" borderId="0" xfId="0" applyFont="1" applyFill="1" applyAlignment="1">
      <alignment horizontal="left" wrapText="1"/>
    </xf>
    <xf numFmtId="0" fontId="55" fillId="12" borderId="0" xfId="0" applyFont="1" applyFill="1" applyAlignment="1">
      <alignment horizontal="left" wrapText="1"/>
    </xf>
    <xf numFmtId="0" fontId="55" fillId="12" borderId="0" xfId="0" applyFont="1" applyFill="1" applyAlignment="1">
      <alignment horizontal="left"/>
    </xf>
    <xf numFmtId="0" fontId="26" fillId="0" borderId="0" xfId="2" applyFont="1" applyAlignment="1">
      <alignment horizontal="center" wrapText="1"/>
    </xf>
    <xf numFmtId="0" fontId="56" fillId="0" borderId="0" xfId="0" applyFont="1" applyAlignment="1">
      <alignment horizontal="center" wrapText="1"/>
    </xf>
    <xf numFmtId="0" fontId="26" fillId="0" borderId="0" xfId="2" applyFont="1" applyBorder="1" applyAlignment="1">
      <alignment vertical="center" wrapText="1"/>
    </xf>
    <xf numFmtId="0" fontId="0" fillId="0" borderId="0" xfId="0" applyAlignment="1"/>
    <xf numFmtId="0" fontId="26" fillId="0" borderId="23" xfId="2" applyFont="1" applyBorder="1" applyAlignment="1">
      <alignment horizontal="left"/>
    </xf>
    <xf numFmtId="0" fontId="56" fillId="0" borderId="0" xfId="0" applyFont="1" applyAlignment="1">
      <alignment horizontal="left"/>
    </xf>
    <xf numFmtId="0" fontId="26" fillId="0" borderId="0" xfId="2" quotePrefix="1" applyFont="1" applyAlignment="1">
      <alignment vertical="center" wrapText="1"/>
    </xf>
    <xf numFmtId="0" fontId="56" fillId="0" borderId="0" xfId="0" applyFont="1" applyAlignment="1">
      <alignment vertical="center" wrapText="1"/>
    </xf>
    <xf numFmtId="0" fontId="56" fillId="0" borderId="0" xfId="0" applyFont="1" applyAlignment="1">
      <alignment vertical="center"/>
    </xf>
    <xf numFmtId="0" fontId="36" fillId="0" borderId="0" xfId="0" applyFont="1" applyAlignment="1">
      <alignment vertical="center"/>
    </xf>
    <xf numFmtId="0" fontId="26" fillId="0" borderId="23" xfId="2" applyFont="1" applyBorder="1" applyAlignment="1">
      <alignment horizontal="center" wrapText="1"/>
    </xf>
    <xf numFmtId="0" fontId="35" fillId="0" borderId="0" xfId="0" applyFont="1" applyAlignment="1">
      <alignment horizontal="center"/>
    </xf>
    <xf numFmtId="0" fontId="35" fillId="0" borderId="0" xfId="0" applyFont="1" applyBorder="1" applyAlignment="1">
      <alignment horizontal="center"/>
    </xf>
    <xf numFmtId="0" fontId="0" fillId="0" borderId="23" xfId="0" applyBorder="1" applyAlignment="1">
      <alignment horizontal="center"/>
    </xf>
    <xf numFmtId="0" fontId="0" fillId="0" borderId="0" xfId="0" applyAlignment="1">
      <alignment horizontal="center"/>
    </xf>
    <xf numFmtId="164" fontId="16" fillId="4" borderId="12" xfId="8" applyFont="1" applyFill="1" applyBorder="1" applyAlignment="1" applyProtection="1">
      <alignment horizontal="center" vertical="center" wrapText="1"/>
      <protection locked="0"/>
    </xf>
    <xf numFmtId="164" fontId="0" fillId="0" borderId="14" xfId="8" applyFont="1" applyBorder="1" applyAlignment="1">
      <alignment horizontal="center" wrapText="1"/>
    </xf>
    <xf numFmtId="164" fontId="0" fillId="0" borderId="13" xfId="8" applyFont="1" applyBorder="1" applyAlignment="1">
      <alignment horizontal="center"/>
    </xf>
    <xf numFmtId="0" fontId="26" fillId="10" borderId="14" xfId="2" applyFont="1" applyFill="1" applyBorder="1" applyAlignment="1">
      <alignment horizontal="center" vertical="center" wrapText="1"/>
    </xf>
    <xf numFmtId="0" fontId="36" fillId="0" borderId="14" xfId="0" applyFont="1" applyBorder="1" applyAlignment="1">
      <alignment vertical="center" wrapText="1"/>
    </xf>
    <xf numFmtId="0" fontId="40" fillId="0" borderId="0" xfId="2" applyFont="1" applyAlignment="1"/>
    <xf numFmtId="0" fontId="67" fillId="0" borderId="0" xfId="0" applyFont="1" applyAlignment="1"/>
    <xf numFmtId="0" fontId="26" fillId="0" borderId="0" xfId="2" applyFont="1" applyAlignment="1">
      <alignment vertical="top" wrapText="1"/>
    </xf>
    <xf numFmtId="0" fontId="56" fillId="0" borderId="0" xfId="0" applyFont="1" applyAlignment="1">
      <alignment vertical="top" wrapText="1"/>
    </xf>
    <xf numFmtId="0" fontId="0" fillId="0" borderId="18" xfId="0" applyBorder="1" applyAlignment="1"/>
    <xf numFmtId="0" fontId="38" fillId="2" borderId="14" xfId="2" applyFont="1" applyFill="1" applyBorder="1" applyAlignment="1">
      <alignment horizontal="center" vertical="center" textRotation="180"/>
    </xf>
    <xf numFmtId="0" fontId="39" fillId="0" borderId="14" xfId="0" applyFont="1" applyBorder="1" applyAlignment="1">
      <alignment horizontal="center" vertical="center" textRotation="180"/>
    </xf>
    <xf numFmtId="0" fontId="0" fillId="0" borderId="14" xfId="0" applyBorder="1" applyAlignment="1"/>
    <xf numFmtId="0" fontId="26" fillId="0" borderId="0" xfId="2" applyFont="1" applyAlignment="1">
      <alignment wrapText="1"/>
    </xf>
    <xf numFmtId="0" fontId="0" fillId="0" borderId="0" xfId="0" applyAlignment="1">
      <alignment wrapText="1"/>
    </xf>
    <xf numFmtId="0" fontId="56" fillId="0" borderId="0" xfId="0" applyFont="1" applyAlignment="1">
      <alignment wrapText="1"/>
    </xf>
    <xf numFmtId="0" fontId="56" fillId="0" borderId="18" xfId="0" applyFont="1" applyBorder="1" applyAlignment="1">
      <alignment wrapText="1"/>
    </xf>
    <xf numFmtId="0" fontId="27" fillId="0" borderId="0" xfId="2" applyFont="1" applyAlignment="1">
      <alignment wrapText="1"/>
    </xf>
    <xf numFmtId="0" fontId="40" fillId="0" borderId="0" xfId="2" applyFont="1" applyAlignment="1">
      <alignment wrapText="1"/>
    </xf>
    <xf numFmtId="0" fontId="61" fillId="0" borderId="0" xfId="0" applyFont="1" applyAlignment="1"/>
    <xf numFmtId="0" fontId="61" fillId="0" borderId="0" xfId="0" applyFont="1" applyAlignment="1">
      <alignment wrapText="1"/>
    </xf>
    <xf numFmtId="0" fontId="26" fillId="0" borderId="23" xfId="0" applyFont="1" applyFill="1" applyBorder="1" applyAlignment="1">
      <alignment vertical="top" wrapText="1"/>
    </xf>
    <xf numFmtId="0" fontId="26" fillId="0" borderId="0" xfId="0" applyFont="1" applyAlignment="1">
      <alignment wrapText="1"/>
    </xf>
    <xf numFmtId="0" fontId="26" fillId="0" borderId="0" xfId="0" applyFont="1" applyAlignment="1">
      <alignment vertical="center"/>
    </xf>
    <xf numFmtId="0" fontId="26" fillId="0" borderId="0" xfId="0" applyFont="1" applyAlignment="1"/>
    <xf numFmtId="166" fontId="26" fillId="0" borderId="8" xfId="2" applyNumberFormat="1" applyFont="1" applyBorder="1" applyAlignment="1">
      <alignment horizontal="left" vertical="top" wrapText="1"/>
    </xf>
    <xf numFmtId="0" fontId="56" fillId="0" borderId="0" xfId="0" applyFont="1" applyAlignment="1">
      <alignment horizontal="left" vertical="top" wrapText="1"/>
    </xf>
    <xf numFmtId="0" fontId="36" fillId="0" borderId="18" xfId="0" applyFont="1" applyBorder="1" applyAlignment="1">
      <alignment vertical="top"/>
    </xf>
    <xf numFmtId="0" fontId="0" fillId="0" borderId="8" xfId="0" applyBorder="1" applyAlignment="1">
      <alignment vertical="top"/>
    </xf>
    <xf numFmtId="0" fontId="0" fillId="0" borderId="0" xfId="0" applyAlignment="1">
      <alignment vertical="top"/>
    </xf>
    <xf numFmtId="0" fontId="0" fillId="0" borderId="18" xfId="0" applyBorder="1" applyAlignment="1">
      <alignment vertical="top"/>
    </xf>
    <xf numFmtId="0" fontId="7" fillId="0" borderId="2" xfId="0" applyFont="1" applyBorder="1" applyAlignment="1">
      <alignment horizontal="center"/>
    </xf>
    <xf numFmtId="0" fontId="7" fillId="0" borderId="3" xfId="0" applyFont="1" applyBorder="1" applyAlignment="1">
      <alignment horizontal="center"/>
    </xf>
    <xf numFmtId="0" fontId="7" fillId="0" borderId="4" xfId="0" applyFont="1" applyBorder="1" applyAlignment="1">
      <alignment horizontal="center"/>
    </xf>
  </cellXfs>
  <cellStyles count="9">
    <cellStyle name="Comma" xfId="6" builtinId="3"/>
    <cellStyle name="Currency" xfId="8" builtinId="4"/>
    <cellStyle name="Normal" xfId="0" builtinId="0"/>
    <cellStyle name="Percent" xfId="1" builtinId="5"/>
    <cellStyle name="Procent 2" xfId="4" xr:uid="{00000000-0005-0000-0000-000003000000}"/>
    <cellStyle name="Standaard 2" xfId="2" xr:uid="{00000000-0005-0000-0000-000005000000}"/>
    <cellStyle name="Standaard 2 2" xfId="3" xr:uid="{00000000-0005-0000-0000-000006000000}"/>
    <cellStyle name="Standaard 3" xfId="5" xr:uid="{00000000-0005-0000-0000-000007000000}"/>
    <cellStyle name="Standaard 4" xfId="7" xr:uid="{00000000-0005-0000-0000-000008000000}"/>
  </cellStyles>
  <dxfs count="2">
    <dxf>
      <numFmt numFmtId="13" formatCode="0%"/>
    </dxf>
    <dxf>
      <font>
        <b val="0"/>
        <i val="0"/>
        <strike val="0"/>
        <condense val="0"/>
        <extend val="0"/>
        <outline val="0"/>
        <shadow val="0"/>
        <u val="none"/>
        <vertAlign val="baseline"/>
        <sz val="12"/>
        <color rgb="FF222222"/>
        <name val="Calibri"/>
        <family val="2"/>
        <scheme val="minor"/>
      </font>
    </dxf>
  </dxfs>
  <tableStyles count="0" defaultTableStyle="TableStyleMedium2" defaultPivotStyle="PivotStyleLight16"/>
  <colors>
    <mruColors>
      <color rgb="FFFFFF00"/>
      <color rgb="FF8064A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ctrlProps/ctrlProp1.xml><?xml version="1.0" encoding="utf-8"?>
<formControlPr xmlns="http://schemas.microsoft.com/office/spreadsheetml/2009/9/main" objectType="Spin" dx="26" fmlaLink="$D$19" inc="5" max="800" page="10" val="0"/>
</file>

<file path=xl/ctrlProps/ctrlProp2.xml><?xml version="1.0" encoding="utf-8"?>
<formControlPr xmlns="http://schemas.microsoft.com/office/spreadsheetml/2009/9/main" objectType="Spin" dx="26" fmlaLink="$D$24" inc="5" max="800" page="10" val="0"/>
</file>

<file path=xl/ctrlProps/ctrlProp3.xml><?xml version="1.0" encoding="utf-8"?>
<formControlPr xmlns="http://schemas.microsoft.com/office/spreadsheetml/2009/9/main" objectType="Spin" dx="26" inc="5" max="620" page="10" val="155"/>
</file>

<file path=xl/ctrlProps/ctrlProp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7</xdr:col>
      <xdr:colOff>293077</xdr:colOff>
      <xdr:row>25</xdr:row>
      <xdr:rowOff>279246</xdr:rowOff>
    </xdr:from>
    <xdr:to>
      <xdr:col>7</xdr:col>
      <xdr:colOff>1974512</xdr:colOff>
      <xdr:row>27</xdr:row>
      <xdr:rowOff>166082</xdr:rowOff>
    </xdr:to>
    <xdr:sp macro="" textlink="">
      <xdr:nvSpPr>
        <xdr:cNvPr id="3" name="Gebogen pijl 2">
          <a:extLst>
            <a:ext uri="{FF2B5EF4-FFF2-40B4-BE49-F238E27FC236}">
              <a16:creationId xmlns:a16="http://schemas.microsoft.com/office/drawing/2014/main" id="{00000000-0008-0000-0000-000003000000}"/>
            </a:ext>
          </a:extLst>
        </xdr:cNvPr>
        <xdr:cNvSpPr/>
      </xdr:nvSpPr>
      <xdr:spPr>
        <a:xfrm rot="5400000">
          <a:off x="4956415" y="5424215"/>
          <a:ext cx="756298" cy="1681435"/>
        </a:xfrm>
        <a:prstGeom prst="bentArrow">
          <a:avLst>
            <a:gd name="adj1" fmla="val 25000"/>
            <a:gd name="adj2" fmla="val 22210"/>
            <a:gd name="adj3" fmla="val 25000"/>
            <a:gd name="adj4" fmla="val 43750"/>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tx1"/>
            </a:solidFill>
          </a:endParaRPr>
        </a:p>
      </xdr:txBody>
    </xdr:sp>
    <xdr:clientData/>
  </xdr:twoCellAnchor>
  <xdr:twoCellAnchor>
    <xdr:from>
      <xdr:col>5</xdr:col>
      <xdr:colOff>23082</xdr:colOff>
      <xdr:row>25</xdr:row>
      <xdr:rowOff>39255</xdr:rowOff>
    </xdr:from>
    <xdr:to>
      <xdr:col>11</xdr:col>
      <xdr:colOff>38589</xdr:colOff>
      <xdr:row>26</xdr:row>
      <xdr:rowOff>278861</xdr:rowOff>
    </xdr:to>
    <xdr:sp macro="" textlink="">
      <xdr:nvSpPr>
        <xdr:cNvPr id="5" name="Pijl-rechts 4">
          <a:extLst>
            <a:ext uri="{FF2B5EF4-FFF2-40B4-BE49-F238E27FC236}">
              <a16:creationId xmlns:a16="http://schemas.microsoft.com/office/drawing/2014/main" id="{00000000-0008-0000-0000-000005000000}"/>
            </a:ext>
          </a:extLst>
        </xdr:cNvPr>
        <xdr:cNvSpPr/>
      </xdr:nvSpPr>
      <xdr:spPr>
        <a:xfrm>
          <a:off x="2895236" y="5646793"/>
          <a:ext cx="5818430" cy="747606"/>
        </a:xfrm>
        <a:prstGeom prst="rightArrow">
          <a:avLst/>
        </a:prstGeom>
        <a:solidFill>
          <a:schemeClr val="tx2">
            <a:alpha val="3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3</xdr:col>
      <xdr:colOff>0</xdr:colOff>
      <xdr:row>11</xdr:row>
      <xdr:rowOff>108857</xdr:rowOff>
    </xdr:from>
    <xdr:to>
      <xdr:col>5</xdr:col>
      <xdr:colOff>10886</xdr:colOff>
      <xdr:row>17</xdr:row>
      <xdr:rowOff>0</xdr:rowOff>
    </xdr:to>
    <xdr:sp macro="" textlink="">
      <xdr:nvSpPr>
        <xdr:cNvPr id="6" name="Gelijkbenige driehoek 5">
          <a:extLst>
            <a:ext uri="{FF2B5EF4-FFF2-40B4-BE49-F238E27FC236}">
              <a16:creationId xmlns:a16="http://schemas.microsoft.com/office/drawing/2014/main" id="{00000000-0008-0000-0000-000006000000}"/>
            </a:ext>
          </a:extLst>
        </xdr:cNvPr>
        <xdr:cNvSpPr/>
      </xdr:nvSpPr>
      <xdr:spPr>
        <a:xfrm>
          <a:off x="493059" y="2540533"/>
          <a:ext cx="3002856" cy="2244379"/>
        </a:xfrm>
        <a:prstGeom prst="triangle">
          <a:avLst>
            <a:gd name="adj" fmla="val 48505"/>
          </a:avLst>
        </a:prstGeom>
        <a:solidFill>
          <a:schemeClr val="tx2">
            <a:lumMod val="40000"/>
            <a:lumOff val="6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5</xdr:col>
      <xdr:colOff>5715</xdr:colOff>
      <xdr:row>17</xdr:row>
      <xdr:rowOff>201084</xdr:rowOff>
    </xdr:from>
    <xdr:to>
      <xdr:col>6</xdr:col>
      <xdr:colOff>936171</xdr:colOff>
      <xdr:row>19</xdr:row>
      <xdr:rowOff>132504</xdr:rowOff>
    </xdr:to>
    <xdr:sp macro="" textlink="">
      <xdr:nvSpPr>
        <xdr:cNvPr id="8" name="Pijl-rechts 7">
          <a:extLst>
            <a:ext uri="{FF2B5EF4-FFF2-40B4-BE49-F238E27FC236}">
              <a16:creationId xmlns:a16="http://schemas.microsoft.com/office/drawing/2014/main" id="{00000000-0008-0000-0000-000008000000}"/>
            </a:ext>
          </a:extLst>
        </xdr:cNvPr>
        <xdr:cNvSpPr/>
      </xdr:nvSpPr>
      <xdr:spPr>
        <a:xfrm>
          <a:off x="2825115" y="4762198"/>
          <a:ext cx="1931942" cy="443049"/>
        </a:xfrm>
        <a:prstGeom prst="rightArrow">
          <a:avLst/>
        </a:prstGeom>
        <a:solidFill>
          <a:srgbClr val="FFFF00">
            <a:alpha val="43922"/>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8</xdr:col>
      <xdr:colOff>9771</xdr:colOff>
      <xdr:row>14</xdr:row>
      <xdr:rowOff>243416</xdr:rowOff>
    </xdr:from>
    <xdr:to>
      <xdr:col>16</xdr:col>
      <xdr:colOff>0</xdr:colOff>
      <xdr:row>16</xdr:row>
      <xdr:rowOff>144755</xdr:rowOff>
    </xdr:to>
    <xdr:sp macro="" textlink="">
      <xdr:nvSpPr>
        <xdr:cNvPr id="11" name="Pijl-omhoog 10">
          <a:extLst>
            <a:ext uri="{FF2B5EF4-FFF2-40B4-BE49-F238E27FC236}">
              <a16:creationId xmlns:a16="http://schemas.microsoft.com/office/drawing/2014/main" id="{00000000-0008-0000-0000-00000B000000}"/>
            </a:ext>
          </a:extLst>
        </xdr:cNvPr>
        <xdr:cNvSpPr/>
      </xdr:nvSpPr>
      <xdr:spPr>
        <a:xfrm rot="5400000">
          <a:off x="12004311" y="-647696"/>
          <a:ext cx="639149" cy="9339849"/>
        </a:xfrm>
        <a:prstGeom prst="upArrow">
          <a:avLst/>
        </a:prstGeom>
        <a:solidFill>
          <a:schemeClr val="accent5">
            <a:lumMod val="20000"/>
            <a:lumOff val="80000"/>
            <a:alpha val="23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7</xdr:col>
      <xdr:colOff>1615997</xdr:colOff>
      <xdr:row>24</xdr:row>
      <xdr:rowOff>307073</xdr:rowOff>
    </xdr:from>
    <xdr:to>
      <xdr:col>16</xdr:col>
      <xdr:colOff>1</xdr:colOff>
      <xdr:row>28</xdr:row>
      <xdr:rowOff>186422</xdr:rowOff>
    </xdr:to>
    <xdr:sp macro="" textlink="">
      <xdr:nvSpPr>
        <xdr:cNvPr id="12" name="Gebogen pijl 11">
          <a:extLst>
            <a:ext uri="{FF2B5EF4-FFF2-40B4-BE49-F238E27FC236}">
              <a16:creationId xmlns:a16="http://schemas.microsoft.com/office/drawing/2014/main" id="{00000000-0008-0000-0000-00000C000000}"/>
            </a:ext>
          </a:extLst>
        </xdr:cNvPr>
        <xdr:cNvSpPr/>
      </xdr:nvSpPr>
      <xdr:spPr>
        <a:xfrm rot="10800000" flipH="1">
          <a:off x="6086915" y="7162481"/>
          <a:ext cx="9321555" cy="1265982"/>
        </a:xfrm>
        <a:prstGeom prst="bentArrow">
          <a:avLst>
            <a:gd name="adj1" fmla="val 25000"/>
            <a:gd name="adj2" fmla="val 21747"/>
            <a:gd name="adj3" fmla="val 25000"/>
            <a:gd name="adj4" fmla="val 43750"/>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tx1"/>
            </a:solidFill>
          </a:endParaRPr>
        </a:p>
      </xdr:txBody>
    </xdr:sp>
    <xdr:clientData/>
  </xdr:twoCellAnchor>
  <xdr:twoCellAnchor>
    <xdr:from>
      <xdr:col>11</xdr:col>
      <xdr:colOff>72571</xdr:colOff>
      <xdr:row>31</xdr:row>
      <xdr:rowOff>10581</xdr:rowOff>
    </xdr:from>
    <xdr:to>
      <xdr:col>12</xdr:col>
      <xdr:colOff>566058</xdr:colOff>
      <xdr:row>34</xdr:row>
      <xdr:rowOff>84665</xdr:rowOff>
    </xdr:to>
    <xdr:sp macro="[0]!Macro1" textlink="">
      <xdr:nvSpPr>
        <xdr:cNvPr id="13" name="Afgeronde rechthoek 12">
          <a:extLst>
            <a:ext uri="{FF2B5EF4-FFF2-40B4-BE49-F238E27FC236}">
              <a16:creationId xmlns:a16="http://schemas.microsoft.com/office/drawing/2014/main" id="{00000000-0008-0000-0000-00000D000000}"/>
            </a:ext>
          </a:extLst>
        </xdr:cNvPr>
        <xdr:cNvSpPr/>
      </xdr:nvSpPr>
      <xdr:spPr>
        <a:xfrm>
          <a:off x="10365619" y="8924771"/>
          <a:ext cx="2791582" cy="993323"/>
        </a:xfrm>
        <a:prstGeom prst="roundRect">
          <a:avLst/>
        </a:prstGeom>
        <a:solidFill>
          <a:srgbClr val="00206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400"/>
            <a:t>Opslaan als PDF</a:t>
          </a:r>
        </a:p>
        <a:p>
          <a:pPr algn="l"/>
          <a:r>
            <a:rPr lang="en-GB" sz="1400"/>
            <a:t>(</a:t>
          </a:r>
          <a:r>
            <a:rPr lang="en-GB" sz="1200"/>
            <a:t>Sla eerst Excelfile op. PDF komt in zelfde map)</a:t>
          </a:r>
          <a:r>
            <a:rPr lang="en-GB" sz="1400"/>
            <a:t> </a:t>
          </a:r>
        </a:p>
      </xdr:txBody>
    </xdr:sp>
    <xdr:clientData/>
  </xdr:twoCellAnchor>
  <xdr:twoCellAnchor editAs="oneCell">
    <xdr:from>
      <xdr:col>11</xdr:col>
      <xdr:colOff>2177142</xdr:colOff>
      <xdr:row>33</xdr:row>
      <xdr:rowOff>193826</xdr:rowOff>
    </xdr:from>
    <xdr:to>
      <xdr:col>12</xdr:col>
      <xdr:colOff>208702</xdr:colOff>
      <xdr:row>34</xdr:row>
      <xdr:rowOff>174742</xdr:rowOff>
    </xdr:to>
    <xdr:pic macro="[0]!SavePDF">
      <xdr:nvPicPr>
        <xdr:cNvPr id="14" name="Afbeelding 13" descr="Afbeeldingsresultaat voor handje muisklik">
          <a:extLst>
            <a:ext uri="{FF2B5EF4-FFF2-40B4-BE49-F238E27FC236}">
              <a16:creationId xmlns:a16="http://schemas.microsoft.com/office/drawing/2014/main" id="{00000000-0008-0000-0000-00000E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9031" t="49567"/>
        <a:stretch/>
      </xdr:blipFill>
      <xdr:spPr bwMode="auto">
        <a:xfrm flipH="1">
          <a:off x="12398828" y="9490226"/>
          <a:ext cx="451484" cy="5162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2105819</xdr:colOff>
      <xdr:row>31</xdr:row>
      <xdr:rowOff>45742</xdr:rowOff>
    </xdr:from>
    <xdr:to>
      <xdr:col>7</xdr:col>
      <xdr:colOff>2398634</xdr:colOff>
      <xdr:row>33</xdr:row>
      <xdr:rowOff>225464</xdr:rowOff>
    </xdr:to>
    <xdr:pic>
      <xdr:nvPicPr>
        <xdr:cNvPr id="15" name="Afbeelding 14">
          <a:extLst>
            <a:ext uri="{FF2B5EF4-FFF2-40B4-BE49-F238E27FC236}">
              <a16:creationId xmlns:a16="http://schemas.microsoft.com/office/drawing/2014/main" id="{00000000-0008-0000-0000-00000F000000}"/>
            </a:ext>
          </a:extLst>
        </xdr:cNvPr>
        <xdr:cNvPicPr/>
      </xdr:nvPicPr>
      <xdr:blipFill rotWithShape="1">
        <a:blip xmlns:r="http://schemas.openxmlformats.org/officeDocument/2006/relationships" r:embed="rId2"/>
        <a:srcRect l="8846" t="26044" r="79683" b="33170"/>
        <a:stretch/>
      </xdr:blipFill>
      <xdr:spPr bwMode="auto">
        <a:xfrm>
          <a:off x="6594475" y="9189742"/>
          <a:ext cx="273249" cy="572468"/>
        </a:xfrm>
        <a:prstGeom prst="rect">
          <a:avLst/>
        </a:prstGeom>
        <a:ln>
          <a:noFill/>
        </a:ln>
        <a:extLst>
          <a:ext uri="{53640926-AAD7-44D8-BBD7-CCE9431645EC}">
            <a14:shadowObscured xmlns:a14="http://schemas.microsoft.com/office/drawing/2010/main"/>
          </a:ext>
        </a:extLst>
      </xdr:spPr>
    </xdr:pic>
    <xdr:clientData/>
  </xdr:twoCellAnchor>
  <xdr:twoCellAnchor>
    <xdr:from>
      <xdr:col>12</xdr:col>
      <xdr:colOff>9896</xdr:colOff>
      <xdr:row>23</xdr:row>
      <xdr:rowOff>2</xdr:rowOff>
    </xdr:from>
    <xdr:to>
      <xdr:col>16</xdr:col>
      <xdr:colOff>0</xdr:colOff>
      <xdr:row>24</xdr:row>
      <xdr:rowOff>57643</xdr:rowOff>
    </xdr:to>
    <xdr:sp macro="" textlink="">
      <xdr:nvSpPr>
        <xdr:cNvPr id="16" name="Pijl-omhoog 15">
          <a:extLst>
            <a:ext uri="{FF2B5EF4-FFF2-40B4-BE49-F238E27FC236}">
              <a16:creationId xmlns:a16="http://schemas.microsoft.com/office/drawing/2014/main" id="{00000000-0008-0000-0000-000010000000}"/>
            </a:ext>
          </a:extLst>
        </xdr:cNvPr>
        <xdr:cNvSpPr/>
      </xdr:nvSpPr>
      <xdr:spPr>
        <a:xfrm rot="5400000">
          <a:off x="11409937" y="3961881"/>
          <a:ext cx="438641" cy="2283724"/>
        </a:xfrm>
        <a:prstGeom prst="upArrow">
          <a:avLst/>
        </a:prstGeom>
        <a:solidFill>
          <a:schemeClr val="accent5">
            <a:lumMod val="20000"/>
            <a:lumOff val="80000"/>
            <a:alpha val="23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5</xdr:col>
          <xdr:colOff>922020</xdr:colOff>
          <xdr:row>15</xdr:row>
          <xdr:rowOff>388620</xdr:rowOff>
        </xdr:from>
        <xdr:to>
          <xdr:col>6</xdr:col>
          <xdr:colOff>228600</xdr:colOff>
          <xdr:row>18</xdr:row>
          <xdr:rowOff>45720</xdr:rowOff>
        </xdr:to>
        <xdr:sp macro="" textlink="">
          <xdr:nvSpPr>
            <xdr:cNvPr id="3077" name="Spinner 5" hidden="1">
              <a:extLst>
                <a:ext uri="{63B3BB69-23CF-44E3-9099-C40C66FF867C}">
                  <a14:compatExt spid="_x0000_s3077"/>
                </a:ext>
                <a:ext uri="{FF2B5EF4-FFF2-40B4-BE49-F238E27FC236}">
                  <a16:creationId xmlns:a16="http://schemas.microsoft.com/office/drawing/2014/main" id="{00000000-0008-0000-0000-000005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xdr:from>
      <xdr:col>5</xdr:col>
      <xdr:colOff>22135</xdr:colOff>
      <xdr:row>24</xdr:row>
      <xdr:rowOff>72744</xdr:rowOff>
    </xdr:from>
    <xdr:to>
      <xdr:col>6</xdr:col>
      <xdr:colOff>936171</xdr:colOff>
      <xdr:row>25</xdr:row>
      <xdr:rowOff>195026</xdr:rowOff>
    </xdr:to>
    <xdr:sp macro="" textlink="">
      <xdr:nvSpPr>
        <xdr:cNvPr id="19" name="Pijl-rechts 18">
          <a:extLst>
            <a:ext uri="{FF2B5EF4-FFF2-40B4-BE49-F238E27FC236}">
              <a16:creationId xmlns:a16="http://schemas.microsoft.com/office/drawing/2014/main" id="{00000000-0008-0000-0000-000013000000}"/>
            </a:ext>
          </a:extLst>
        </xdr:cNvPr>
        <xdr:cNvSpPr/>
      </xdr:nvSpPr>
      <xdr:spPr>
        <a:xfrm>
          <a:off x="5288099" y="6944351"/>
          <a:ext cx="1920965" cy="584925"/>
        </a:xfrm>
        <a:prstGeom prst="rightArrow">
          <a:avLst/>
        </a:prstGeom>
        <a:solidFill>
          <a:srgbClr val="FFFF00">
            <a:alpha val="44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6</xdr:col>
          <xdr:colOff>22860</xdr:colOff>
          <xdr:row>22</xdr:row>
          <xdr:rowOff>137160</xdr:rowOff>
        </xdr:from>
        <xdr:to>
          <xdr:col>6</xdr:col>
          <xdr:colOff>297180</xdr:colOff>
          <xdr:row>23</xdr:row>
          <xdr:rowOff>411480</xdr:rowOff>
        </xdr:to>
        <xdr:sp macro="" textlink="">
          <xdr:nvSpPr>
            <xdr:cNvPr id="3080" name="Spinner 8" hidden="1">
              <a:extLst>
                <a:ext uri="{63B3BB69-23CF-44E3-9099-C40C66FF867C}">
                  <a14:compatExt spid="_x0000_s3080"/>
                </a:ext>
                <a:ext uri="{FF2B5EF4-FFF2-40B4-BE49-F238E27FC236}">
                  <a16:creationId xmlns:a16="http://schemas.microsoft.com/office/drawing/2014/main" id="{00000000-0008-0000-0000-000008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editAs="oneCell">
    <xdr:from>
      <xdr:col>8</xdr:col>
      <xdr:colOff>19537</xdr:colOff>
      <xdr:row>18</xdr:row>
      <xdr:rowOff>38386</xdr:rowOff>
    </xdr:from>
    <xdr:to>
      <xdr:col>11</xdr:col>
      <xdr:colOff>473799</xdr:colOff>
      <xdr:row>22</xdr:row>
      <xdr:rowOff>34715</xdr:rowOff>
    </xdr:to>
    <xdr:sp macro="" textlink="">
      <xdr:nvSpPr>
        <xdr:cNvPr id="22" name="Gebogen pijl 2">
          <a:extLst>
            <a:ext uri="{FF2B5EF4-FFF2-40B4-BE49-F238E27FC236}">
              <a16:creationId xmlns:a16="http://schemas.microsoft.com/office/drawing/2014/main" id="{00000000-0008-0000-0000-000016000000}"/>
            </a:ext>
          </a:extLst>
        </xdr:cNvPr>
        <xdr:cNvSpPr/>
      </xdr:nvSpPr>
      <xdr:spPr>
        <a:xfrm rot="5400000">
          <a:off x="8818146" y="3605948"/>
          <a:ext cx="1302615" cy="3812234"/>
        </a:xfrm>
        <a:prstGeom prst="bentArrow">
          <a:avLst>
            <a:gd name="adj1" fmla="val 25000"/>
            <a:gd name="adj2" fmla="val 31654"/>
            <a:gd name="adj3" fmla="val 25000"/>
            <a:gd name="adj4" fmla="val 43750"/>
          </a:avLst>
        </a:prstGeom>
        <a:solidFill>
          <a:schemeClr val="accent1">
            <a:alpha val="62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tx1"/>
            </a:solidFill>
          </a:endParaRPr>
        </a:p>
      </xdr:txBody>
    </xdr:sp>
    <xdr:clientData/>
  </xdr:twoCellAnchor>
  <mc:AlternateContent xmlns:mc="http://schemas.openxmlformats.org/markup-compatibility/2006">
    <mc:Choice xmlns:a14="http://schemas.microsoft.com/office/drawing/2010/main" Requires="a14">
      <xdr:twoCellAnchor>
        <xdr:from>
          <xdr:col>15</xdr:col>
          <xdr:colOff>525780</xdr:colOff>
          <xdr:row>6</xdr:row>
          <xdr:rowOff>45720</xdr:rowOff>
        </xdr:from>
        <xdr:to>
          <xdr:col>15</xdr:col>
          <xdr:colOff>769620</xdr:colOff>
          <xdr:row>8</xdr:row>
          <xdr:rowOff>137160</xdr:rowOff>
        </xdr:to>
        <xdr:sp macro="" textlink="">
          <xdr:nvSpPr>
            <xdr:cNvPr id="3093" name="Spinner 21" hidden="1">
              <a:extLst>
                <a:ext uri="{63B3BB69-23CF-44E3-9099-C40C66FF867C}">
                  <a14:compatExt spid="_x0000_s3093"/>
                </a:ext>
                <a:ext uri="{FF2B5EF4-FFF2-40B4-BE49-F238E27FC236}">
                  <a16:creationId xmlns:a16="http://schemas.microsoft.com/office/drawing/2014/main" id="{00000000-0008-0000-0000-000015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xdr:from>
      <xdr:col>7</xdr:col>
      <xdr:colOff>1816799</xdr:colOff>
      <xdr:row>13</xdr:row>
      <xdr:rowOff>1445</xdr:rowOff>
    </xdr:from>
    <xdr:to>
      <xdr:col>8</xdr:col>
      <xdr:colOff>431864</xdr:colOff>
      <xdr:row>14</xdr:row>
      <xdr:rowOff>13782</xdr:rowOff>
    </xdr:to>
    <xdr:sp macro="[0]!celg4kopierennaarh4" textlink="">
      <xdr:nvSpPr>
        <xdr:cNvPr id="23" name="Pijl-omhoog 6">
          <a:extLst>
            <a:ext uri="{FF2B5EF4-FFF2-40B4-BE49-F238E27FC236}">
              <a16:creationId xmlns:a16="http://schemas.microsoft.com/office/drawing/2014/main" id="{00000000-0008-0000-0000-000017000000}"/>
            </a:ext>
          </a:extLst>
        </xdr:cNvPr>
        <xdr:cNvSpPr/>
      </xdr:nvSpPr>
      <xdr:spPr>
        <a:xfrm rot="10800000">
          <a:off x="9021163" y="3451227"/>
          <a:ext cx="1233574" cy="455682"/>
        </a:xfrm>
        <a:prstGeom prst="upArrow">
          <a:avLst/>
        </a:prstGeom>
        <a:solidFill>
          <a:schemeClr val="accent1">
            <a:alpha val="23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4</xdr:col>
      <xdr:colOff>1622458</xdr:colOff>
      <xdr:row>12</xdr:row>
      <xdr:rowOff>104526</xdr:rowOff>
    </xdr:from>
    <xdr:to>
      <xdr:col>7</xdr:col>
      <xdr:colOff>3575</xdr:colOff>
      <xdr:row>13</xdr:row>
      <xdr:rowOff>158068</xdr:rowOff>
    </xdr:to>
    <xdr:sp macro="" textlink="">
      <xdr:nvSpPr>
        <xdr:cNvPr id="25" name="Pijl-rechts 5">
          <a:extLst>
            <a:ext uri="{FF2B5EF4-FFF2-40B4-BE49-F238E27FC236}">
              <a16:creationId xmlns:a16="http://schemas.microsoft.com/office/drawing/2014/main" id="{00000000-0008-0000-0000-000019000000}"/>
            </a:ext>
          </a:extLst>
        </xdr:cNvPr>
        <xdr:cNvSpPr/>
      </xdr:nvSpPr>
      <xdr:spPr>
        <a:xfrm>
          <a:off x="1986398" y="2697601"/>
          <a:ext cx="3260192" cy="576706"/>
        </a:xfrm>
        <a:prstGeom prst="rightArrow">
          <a:avLst>
            <a:gd name="adj1" fmla="val 50000"/>
            <a:gd name="adj2" fmla="val 41130"/>
          </a:avLst>
        </a:prstGeom>
        <a:solidFill>
          <a:schemeClr val="accent1">
            <a:alpha val="48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8</xdr:col>
      <xdr:colOff>55418</xdr:colOff>
      <xdr:row>9</xdr:row>
      <xdr:rowOff>126999</xdr:rowOff>
    </xdr:from>
    <xdr:to>
      <xdr:col>15</xdr:col>
      <xdr:colOff>1080653</xdr:colOff>
      <xdr:row>12</xdr:row>
      <xdr:rowOff>26957</xdr:rowOff>
    </xdr:to>
    <xdr:sp macro="" textlink="">
      <xdr:nvSpPr>
        <xdr:cNvPr id="27" name="Pijl-rechts 11">
          <a:extLst>
            <a:ext uri="{FF2B5EF4-FFF2-40B4-BE49-F238E27FC236}">
              <a16:creationId xmlns:a16="http://schemas.microsoft.com/office/drawing/2014/main" id="{00000000-0008-0000-0000-00001B000000}"/>
            </a:ext>
          </a:extLst>
        </xdr:cNvPr>
        <xdr:cNvSpPr/>
      </xdr:nvSpPr>
      <xdr:spPr>
        <a:xfrm>
          <a:off x="9878291" y="2108199"/>
          <a:ext cx="9531926" cy="578831"/>
        </a:xfrm>
        <a:prstGeom prst="rightArrow">
          <a:avLst/>
        </a:prstGeom>
        <a:solidFill>
          <a:schemeClr val="accent5">
            <a:lumMod val="20000"/>
            <a:lumOff val="80000"/>
            <a:alpha val="4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8</xdr:col>
      <xdr:colOff>1354</xdr:colOff>
      <xdr:row>12</xdr:row>
      <xdr:rowOff>237294</xdr:rowOff>
    </xdr:from>
    <xdr:to>
      <xdr:col>11</xdr:col>
      <xdr:colOff>2057426</xdr:colOff>
      <xdr:row>14</xdr:row>
      <xdr:rowOff>117750</xdr:rowOff>
    </xdr:to>
    <xdr:sp macro="" textlink="">
      <xdr:nvSpPr>
        <xdr:cNvPr id="28" name="Gebogen pijl 14">
          <a:extLst>
            <a:ext uri="{FF2B5EF4-FFF2-40B4-BE49-F238E27FC236}">
              <a16:creationId xmlns:a16="http://schemas.microsoft.com/office/drawing/2014/main" id="{00000000-0008-0000-0000-00001C000000}"/>
            </a:ext>
          </a:extLst>
        </xdr:cNvPr>
        <xdr:cNvSpPr/>
      </xdr:nvSpPr>
      <xdr:spPr>
        <a:xfrm rot="5400000">
          <a:off x="9792904" y="670192"/>
          <a:ext cx="1103276" cy="5423630"/>
        </a:xfrm>
        <a:prstGeom prst="bentArrow">
          <a:avLst>
            <a:gd name="adj1" fmla="val 25000"/>
            <a:gd name="adj2" fmla="val 22210"/>
            <a:gd name="adj3" fmla="val 25000"/>
            <a:gd name="adj4" fmla="val 43750"/>
          </a:avLst>
        </a:prstGeom>
        <a:solidFill>
          <a:schemeClr val="accent1">
            <a:alpha val="5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tx1"/>
            </a:solidFill>
          </a:endParaRPr>
        </a:p>
      </xdr:txBody>
    </xdr:sp>
    <xdr:clientData/>
  </xdr:twoCellAnchor>
  <xdr:twoCellAnchor editAs="oneCell">
    <xdr:from>
      <xdr:col>4</xdr:col>
      <xdr:colOff>712108</xdr:colOff>
      <xdr:row>13</xdr:row>
      <xdr:rowOff>41729</xdr:rowOff>
    </xdr:from>
    <xdr:to>
      <xdr:col>4</xdr:col>
      <xdr:colOff>2302782</xdr:colOff>
      <xdr:row>16</xdr:row>
      <xdr:rowOff>212506</xdr:rowOff>
    </xdr:to>
    <xdr:pic>
      <xdr:nvPicPr>
        <xdr:cNvPr id="4" name="Picture 3">
          <a:extLst>
            <a:ext uri="{FF2B5EF4-FFF2-40B4-BE49-F238E27FC236}">
              <a16:creationId xmlns:a16="http://schemas.microsoft.com/office/drawing/2014/main" id="{00000000-0008-0000-0000-000004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8029" t="9823" r="21174" b="11981"/>
        <a:stretch/>
      </xdr:blipFill>
      <xdr:spPr>
        <a:xfrm>
          <a:off x="1071337" y="3176815"/>
          <a:ext cx="1588769" cy="1353511"/>
        </a:xfrm>
        <a:prstGeom prst="rect">
          <a:avLst/>
        </a:prstGeom>
      </xdr:spPr>
    </xdr:pic>
    <xdr:clientData/>
  </xdr:twoCellAnchor>
  <xdr:twoCellAnchor editAs="oneCell">
    <xdr:from>
      <xdr:col>5</xdr:col>
      <xdr:colOff>21774</xdr:colOff>
      <xdr:row>21</xdr:row>
      <xdr:rowOff>32370</xdr:rowOff>
    </xdr:from>
    <xdr:to>
      <xdr:col>5</xdr:col>
      <xdr:colOff>529846</xdr:colOff>
      <xdr:row>22</xdr:row>
      <xdr:rowOff>22027</xdr:rowOff>
    </xdr:to>
    <xdr:pic macro="[0]!Zetventilatiewwenstoffilteropnul">
      <xdr:nvPicPr>
        <xdr:cNvPr id="24" name="Afbeelding 13" descr="Afbeeldingsresultaat voor handje muisklik">
          <a:extLst>
            <a:ext uri="{FF2B5EF4-FFF2-40B4-BE49-F238E27FC236}">
              <a16:creationId xmlns:a16="http://schemas.microsoft.com/office/drawing/2014/main" id="{00000000-0008-0000-0000-000018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9031" t="49567"/>
        <a:stretch/>
      </xdr:blipFill>
      <xdr:spPr bwMode="auto">
        <a:xfrm rot="16200000" flipH="1">
          <a:off x="3091401" y="5638657"/>
          <a:ext cx="451484" cy="4947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1546909</xdr:colOff>
      <xdr:row>13</xdr:row>
      <xdr:rowOff>272256</xdr:rowOff>
    </xdr:from>
    <xdr:to>
      <xdr:col>11</xdr:col>
      <xdr:colOff>2069400</xdr:colOff>
      <xdr:row>22</xdr:row>
      <xdr:rowOff>24999</xdr:rowOff>
    </xdr:to>
    <xdr:sp macro="" textlink="">
      <xdr:nvSpPr>
        <xdr:cNvPr id="26" name="Pijl-rechts 5">
          <a:extLst>
            <a:ext uri="{FF2B5EF4-FFF2-40B4-BE49-F238E27FC236}">
              <a16:creationId xmlns:a16="http://schemas.microsoft.com/office/drawing/2014/main" id="{00000000-0008-0000-0000-00001A000000}"/>
            </a:ext>
          </a:extLst>
        </xdr:cNvPr>
        <xdr:cNvSpPr/>
      </xdr:nvSpPr>
      <xdr:spPr>
        <a:xfrm rot="5400000">
          <a:off x="11347926" y="4524696"/>
          <a:ext cx="2735429" cy="522491"/>
        </a:xfrm>
        <a:prstGeom prst="rightArrow">
          <a:avLst>
            <a:gd name="adj1" fmla="val 50000"/>
            <a:gd name="adj2" fmla="val 41130"/>
          </a:avLst>
        </a:prstGeom>
        <a:solidFill>
          <a:schemeClr val="accent1">
            <a:alpha val="5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5</xdr:col>
          <xdr:colOff>441960</xdr:colOff>
          <xdr:row>6</xdr:row>
          <xdr:rowOff>121920</xdr:rowOff>
        </xdr:from>
        <xdr:to>
          <xdr:col>6</xdr:col>
          <xdr:colOff>152400</xdr:colOff>
          <xdr:row>7</xdr:row>
          <xdr:rowOff>213360</xdr:rowOff>
        </xdr:to>
        <xdr:sp macro="" textlink="">
          <xdr:nvSpPr>
            <xdr:cNvPr id="3104" name="Button 32" hidden="1">
              <a:extLst>
                <a:ext uri="{63B3BB69-23CF-44E3-9099-C40C66FF867C}">
                  <a14:compatExt spid="_x0000_s3104"/>
                </a:ext>
                <a:ext uri="{FF2B5EF4-FFF2-40B4-BE49-F238E27FC236}">
                  <a16:creationId xmlns:a16="http://schemas.microsoft.com/office/drawing/2014/main" id="{00000000-0008-0000-0000-000020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Resetten</a:t>
              </a:r>
            </a:p>
          </xdr:txBody>
        </xdr:sp>
        <xdr:clientData fPrintsWithSheet="0"/>
      </xdr:twoCellAnchor>
    </mc:Choice>
    <mc:Fallback/>
  </mc:AlternateContent>
</xdr:wsDr>
</file>

<file path=xl/persons/person.xml><?xml version="1.0" encoding="utf-8"?>
<personList xmlns="http://schemas.microsoft.com/office/spreadsheetml/2018/threadedcomments" xmlns:x="http://schemas.openxmlformats.org/spreadsheetml/2006/main">
  <person displayName="Hassan Pishgar" id="{1C4AB5D7-AC8A-4616-BA28-50EF781539E7}" userId="Hassan Pishgar" providerId="Non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21B95E9-9143-4162-A6B0-5795DCB016E8}" name="Staltechniek" displayName="Staltechniek" ref="B2:C11" totalsRowShown="0">
  <autoFilter ref="B2:C11" xr:uid="{0198291B-8A3D-410B-B4E0-528D95914D0F}"/>
  <tableColumns count="2">
    <tableColumn id="1" xr3:uid="{EDF7C29A-E204-4C7C-AAAA-959DC7A5B47E}" name="Staltechniek" dataDxfId="1"/>
    <tableColumn id="2" xr3:uid="{48FBA627-9745-4B43-A00D-51A65CF26FBD}" name="Reductiepercentage" dataDxfId="0"/>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I4" dT="2026-06-19T10:30:48.80" personId="{1C4AB5D7-AC8A-4616-BA28-50EF781539E7}" id="{BE94CF76-D57C-4769-84FB-DD625402E5F8}">
    <text>In the original file is 77.1%</text>
  </threadedComment>
</ThreadedComments>
</file>

<file path=xl/worksheets/_rels/sheet1.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4">
    <pageSetUpPr fitToPage="1"/>
  </sheetPr>
  <dimension ref="C1:U50"/>
  <sheetViews>
    <sheetView showGridLines="0" tabSelected="1" topLeftCell="A4" zoomScale="85" zoomScaleNormal="85" zoomScaleSheetLayoutView="64" workbookViewId="0">
      <selection activeCell="F14" sqref="F14:G16"/>
    </sheetView>
  </sheetViews>
  <sheetFormatPr defaultColWidth="8.88671875" defaultRowHeight="15.6" x14ac:dyDescent="0.3"/>
  <cols>
    <col min="1" max="1" width="1" style="64" customWidth="1"/>
    <col min="2" max="2" width="2.109375" style="64" customWidth="1"/>
    <col min="3" max="3" width="4.109375" style="64" customWidth="1"/>
    <col min="4" max="4" width="19.33203125" style="46" hidden="1" customWidth="1"/>
    <col min="5" max="5" width="44.88671875" style="46" customWidth="1"/>
    <col min="6" max="6" width="14.5546875" style="46" customWidth="1"/>
    <col min="7" max="7" width="13.6640625" style="46" customWidth="1"/>
    <col min="8" max="8" width="38.109375" style="46" customWidth="1"/>
    <col min="9" max="9" width="12.88671875" style="46" customWidth="1"/>
    <col min="10" max="10" width="10.6640625" style="46" customWidth="1"/>
    <col min="11" max="11" width="25.33203125" style="46" customWidth="1"/>
    <col min="12" max="12" width="35.5546875" style="46" customWidth="1"/>
    <col min="13" max="13" width="13.33203125" style="46" customWidth="1"/>
    <col min="14" max="14" width="11.44140625" style="46" customWidth="1"/>
    <col min="15" max="15" width="16.6640625" style="46" customWidth="1"/>
    <col min="16" max="16" width="15.6640625" style="46" customWidth="1"/>
    <col min="17" max="17" width="16.88671875" style="46" customWidth="1"/>
    <col min="18" max="18" width="4.33203125" style="64" customWidth="1"/>
    <col min="19" max="19" width="24" style="64" bestFit="1" customWidth="1"/>
    <col min="20" max="20" width="11.33203125" style="64" bestFit="1" customWidth="1"/>
    <col min="21" max="16384" width="8.88671875" style="64"/>
  </cols>
  <sheetData>
    <row r="1" spans="3:21" ht="25.2" customHeight="1" x14ac:dyDescent="0.5">
      <c r="D1" s="145"/>
      <c r="E1" s="146" t="s">
        <v>219</v>
      </c>
      <c r="F1" s="145"/>
      <c r="G1" s="145"/>
      <c r="H1" s="145"/>
      <c r="I1" s="145"/>
      <c r="J1" s="145"/>
      <c r="K1" s="147" t="s">
        <v>151</v>
      </c>
      <c r="L1" s="145"/>
      <c r="M1" s="298"/>
      <c r="N1" s="299"/>
      <c r="O1" s="299"/>
      <c r="P1" s="299"/>
      <c r="Q1" s="299"/>
    </row>
    <row r="2" spans="3:21" ht="2.4" customHeight="1" thickBot="1" x14ac:dyDescent="0.35">
      <c r="D2" s="145"/>
      <c r="E2" s="94"/>
      <c r="F2" s="94"/>
      <c r="G2" s="94"/>
      <c r="H2" s="94"/>
      <c r="I2" s="94"/>
      <c r="J2" s="94"/>
      <c r="K2" s="94"/>
      <c r="L2" s="94"/>
      <c r="M2" s="240"/>
      <c r="N2" s="240"/>
      <c r="O2" s="240"/>
      <c r="P2" s="240"/>
      <c r="Q2" s="240"/>
    </row>
    <row r="3" spans="3:21" ht="19.2" customHeight="1" thickBot="1" x14ac:dyDescent="0.4">
      <c r="F3" s="104"/>
      <c r="G3" s="104"/>
      <c r="H3" s="246" t="s">
        <v>200</v>
      </c>
      <c r="I3" s="243"/>
      <c r="J3" s="243"/>
      <c r="K3" s="243"/>
      <c r="L3" s="243"/>
      <c r="M3" s="243"/>
      <c r="N3" s="243"/>
      <c r="O3" s="243"/>
      <c r="P3" s="243"/>
      <c r="Q3" s="244"/>
    </row>
    <row r="4" spans="3:21" ht="18" customHeight="1" x14ac:dyDescent="0.35">
      <c r="E4" s="227" t="s">
        <v>198</v>
      </c>
      <c r="F4" s="115" t="s">
        <v>144</v>
      </c>
      <c r="G4" s="260"/>
      <c r="H4" s="234" t="s">
        <v>191</v>
      </c>
      <c r="I4" s="242"/>
      <c r="J4" s="242"/>
      <c r="K4" s="242"/>
      <c r="L4" s="242"/>
      <c r="M4" s="242"/>
      <c r="N4" s="242"/>
      <c r="O4" s="242"/>
      <c r="P4" s="242"/>
      <c r="Q4" s="245"/>
    </row>
    <row r="5" spans="3:21" ht="18" customHeight="1" x14ac:dyDescent="0.35">
      <c r="E5" s="228" t="s">
        <v>198</v>
      </c>
      <c r="F5" s="116" t="s">
        <v>145</v>
      </c>
      <c r="H5" s="231" t="s">
        <v>192</v>
      </c>
      <c r="I5" s="232"/>
      <c r="J5" s="232"/>
      <c r="K5" s="232"/>
      <c r="L5" s="232"/>
      <c r="M5" s="232"/>
      <c r="N5" s="232"/>
      <c r="O5" s="232"/>
      <c r="P5" s="232"/>
      <c r="Q5" s="233"/>
    </row>
    <row r="6" spans="3:21" ht="17.399999999999999" customHeight="1" thickBot="1" x14ac:dyDescent="0.4">
      <c r="E6" s="117">
        <f ca="1">TODAY()</f>
        <v>46202</v>
      </c>
      <c r="F6" s="118" t="s">
        <v>0</v>
      </c>
      <c r="H6" s="234" t="s">
        <v>193</v>
      </c>
      <c r="I6" s="229"/>
      <c r="J6" s="229"/>
      <c r="K6" s="229"/>
      <c r="L6" s="229"/>
      <c r="M6" s="229"/>
      <c r="N6" s="229"/>
      <c r="O6" s="229"/>
      <c r="P6" s="229"/>
      <c r="Q6" s="230"/>
      <c r="U6" s="300"/>
    </row>
    <row r="7" spans="3:21" ht="18" customHeight="1" thickBot="1" x14ac:dyDescent="0.4">
      <c r="E7" s="46" t="s">
        <v>34</v>
      </c>
      <c r="H7" s="140" t="s">
        <v>216</v>
      </c>
      <c r="I7" s="135"/>
      <c r="J7" s="135"/>
      <c r="K7" s="136"/>
      <c r="L7" s="137"/>
      <c r="M7" s="138"/>
      <c r="N7" s="138"/>
      <c r="O7" s="138"/>
      <c r="P7" s="138"/>
      <c r="Q7" s="139"/>
    </row>
    <row r="8" spans="3:21" ht="19.2" customHeight="1" thickBot="1" x14ac:dyDescent="0.4">
      <c r="D8" s="190">
        <f>IF(H20="ja",IF(LEGPLUIMVEE!H14+LEGPLUIMVEE!F19&lt;0.48,(LEGPLUIMVEE!H14+LEGPLUIMVEE!F19)*0.365/0.35,IF(LEGPLUIMVEE!H14+LEGPLUIMVEE!F19&lt;0.95,(LEGPLUIMVEE!H14+LEGPLUIMVEE!F19)*0.94/0.9,IF(LEGPLUIMVEE!H14+LEGPLUIMVEE!F19&lt;1.11,(LEGPLUIMVEE!H14+LEGPLUIMVEE!F19)*1.063/1,IF(LEGPLUIMVEE!H14+LEGPLUIMVEE!F19&lt;4.55,(LEGPLUIMVEE!H14+LEGPLUIMVEE!F19)*1.431/1.4)))),IF(H20="nee",IF(LEGPLUIMVEE!H14+LEGPLUIMVEE!F19&lt;0.48,(LEGPLUIMVEE!H14+LEGPLUIMVEE!F19)*0.44/0.4,IF(LEGPLUIMVEE!H14+LEGPLUIMVEE!F19&lt;1.04,(LEGPLUIMVEE!H14+LEGPLUIMVEE!F19)*1.0484/1,IF(LEGPLUIMVEE!H14+LEGPLUIMVEE!F19&lt;1.15,(LEGPLUIMVEE!H14+LEGPLUIMVEE!F19)*1.031/1,IF(LEGPLUIMVEE!H14+LEGPLUIMVEE!F19&lt;1.52,(LEGPLUIMVEE!H14+LEGPLUIMVEE!F19)*1.265/1.25,IF(LEGPLUIMVEE!H14+LEGPLUIMVEE!F19&lt;1.63,(LEGPLUIMVEE!H14+LEGPLUIMVEE!F19)*1.2/1.25,IF(LEGPLUIMVEE!H14+LEGPLUIMVEE!F19&lt;1.85,(LEGPLUIMVEE!H14+LEGPLUIMVEE!F19)*1.711/1.8,IF(LEGPLUIMVEE!H14+LEGPLUIMVEE!F19&lt;4.7,(LEGPLUIMVEE!H14+LEGPLUIMVEE!F19)*1.7/1.8))))))),LEGPLUIMVEE!H14+LEGPLUIMVEE!F19))</f>
        <v>0</v>
      </c>
      <c r="E8" s="336"/>
      <c r="H8" s="155"/>
      <c r="I8" s="156"/>
      <c r="J8" s="156"/>
      <c r="K8" s="157"/>
      <c r="L8" s="158"/>
      <c r="M8" s="63"/>
      <c r="N8" s="63"/>
      <c r="O8" s="63"/>
      <c r="P8" s="63"/>
      <c r="Q8" s="63"/>
    </row>
    <row r="9" spans="3:21" ht="16.2" customHeight="1" thickBot="1" x14ac:dyDescent="0.35">
      <c r="D9" s="190">
        <v>2.1722222222222221</v>
      </c>
      <c r="E9" s="337"/>
      <c r="F9" s="114"/>
      <c r="H9" s="193"/>
      <c r="I9" s="202" t="s">
        <v>175</v>
      </c>
      <c r="J9" s="203"/>
      <c r="K9" s="204"/>
      <c r="L9" s="210" t="s">
        <v>114</v>
      </c>
    </row>
    <row r="10" spans="3:21" ht="21" customHeight="1" thickBot="1" x14ac:dyDescent="0.35">
      <c r="D10" s="190">
        <f>IF($H$13="parallel geschakeld met warmtewisselaar",IF(D19&lt;70,D19*1.09/100,IF(D19&lt;108,D19*1.05/100,IF(D19&lt;130,D19*1.015/100,IF(D19&lt;500,D19*1.013/100,IF(D19&lt;802,D19*0.95/100,0))))))</f>
        <v>0</v>
      </c>
      <c r="E10" s="349" t="str">
        <f>IF(H17&lt;0,"Klik een keer op de pijl met ventilatiehoeveelheid tussen droogtunnel en warmtewisselaar","   ")</f>
        <v xml:space="preserve">   </v>
      </c>
      <c r="F10" s="350"/>
      <c r="G10" s="319"/>
      <c r="H10" s="256" t="str">
        <f>IF(E19="Kies een categorie","   ",IF(E24="OLIEFILM BIJ VOLIERE MET SPROEIKOPPEN",IF(H11="droogtunnel (platen) 55%","Oliefilm dmv leidingen en droogtunnel kunnen niet gecombineerd worden",IF(H11="droogtunnel (banden) 30%","Oliefilm met leidingen en droogtunnel kunnen niet gecombineerd worden","    ")),IF(E24="strooiselschuif icm OLIEFILM BIJ VOLIERE MET SPROEIKOPPEN",IF(H11="droogtunnel (platen) 55%","Oliefilm met leidingen en droogtunnel kunnen niet gecombineerd worden",IF(H11="droogtunnel (banden) 30%","Oliefilm met leidingen en droogtunnel kunnen niet gecombineerd worden","    ")),IF(H11="geen droogtunnel","    ",IF(E19="koloniehuisvesting","   ",IF(E19="volierehuisvesting","   ",IF(E19="grondhuisvesting","Droogtunnel alleen bij mestbanden onder de roosters")))))))</f>
        <v xml:space="preserve">   </v>
      </c>
      <c r="J10" s="206"/>
      <c r="K10" s="206"/>
      <c r="Q10" s="159"/>
    </row>
    <row r="11" spans="3:21" ht="19.95" customHeight="1" x14ac:dyDescent="0.3">
      <c r="D11" s="50" t="s">
        <v>147</v>
      </c>
      <c r="E11" s="351"/>
      <c r="F11" s="350"/>
      <c r="G11" s="319"/>
      <c r="H11" s="65" t="s">
        <v>109</v>
      </c>
      <c r="I11" s="148"/>
      <c r="J11" s="86">
        <f>IF(L25="GEEN TECHNIEK",F13-H14,IF(L9="nee",J30-J13-J16-J19-J26-J28,0))</f>
        <v>0</v>
      </c>
      <c r="K11" s="46" t="s">
        <v>86</v>
      </c>
      <c r="M11" s="48"/>
      <c r="Q11" s="160"/>
    </row>
    <row r="12" spans="3:21" ht="13.2" customHeight="1" thickBot="1" x14ac:dyDescent="0.35">
      <c r="D12" s="50" t="s">
        <v>143</v>
      </c>
      <c r="F12" s="114"/>
      <c r="H12" s="264">
        <f>IF(E19="Kies een categorie",0,IF(H10="Oliefilm dmv leidingen en droogtunnel kunnen niet gecombineerd worden","error",IF(H13="parallel geschakeld met warmtewisselaar",'legh WW+droogt'!$S$74*(1-E28),IF(H11="droogtunnel (banden) 30%",30%*(1-E28),IF(H11="droogtunnel (platen) 55%",55%*(1-E28),0)))))</f>
        <v>0</v>
      </c>
      <c r="I12" s="148"/>
      <c r="J12" s="149"/>
      <c r="K12" s="149"/>
      <c r="Q12" s="160"/>
    </row>
    <row r="13" spans="3:21" ht="62.4" x14ac:dyDescent="0.3">
      <c r="D13" s="50" t="s">
        <v>130</v>
      </c>
      <c r="F13" s="293">
        <f>IF(E19="Kies een categorie",0,IF(H10="Geen droogtunnel mogelijk",0,IF(H12="geen droogtunnel",0,IF(E19="opfok leghennen grondhuisvesting",'Max waarden'!$B$6,IF(E19="opfok leghennen VOLIERE",'Max waarden'!$B$6,IF(E19="OPFOK LEGHENNEN KOOI/KOLONIE",'Max waarden'!$B$6,IF(H11="droogtunnel (platen) 55%",2,IF(H11="droogtunnel (banden) 30%",2,0))))))))</f>
        <v>0</v>
      </c>
      <c r="G13" s="294" t="s">
        <v>86</v>
      </c>
      <c r="H13" s="103" t="s">
        <v>139</v>
      </c>
      <c r="I13" s="148"/>
      <c r="J13" s="62">
        <f>IF(L25="GEEN TECHNIEK",0,IF(L9="ja",F13-H14,0))</f>
        <v>0</v>
      </c>
      <c r="K13" s="46" t="s">
        <v>86</v>
      </c>
      <c r="M13" s="338" t="str">
        <f>IF(L9="ja",IF(L25="Geen techniek","Er is geen overige techniek gekozen. Bovenstaande ja voegt niks toe","  "),"   ")</f>
        <v xml:space="preserve">   </v>
      </c>
      <c r="N13" s="339"/>
      <c r="O13" s="339"/>
      <c r="P13" s="340"/>
      <c r="Q13" s="160"/>
      <c r="S13" s="301"/>
    </row>
    <row r="14" spans="3:21" ht="34.950000000000003" customHeight="1" thickBot="1" x14ac:dyDescent="0.4">
      <c r="D14" s="50" t="s">
        <v>147</v>
      </c>
      <c r="E14" s="67"/>
      <c r="F14" s="322" t="str">
        <f>IF(J30=0,"   ",IF(H12&gt;0,IF(H13="parallel geschakeld met warmtewisselaar",IF(F19&gt;1.15,"Bij buitentemperatuur onder -5˚C, te weinig ventilatie voor luchtdroging. Verlaag # m3 warmtewisselaar","  "),IF(F13+F19+F25+F26&gt;J30,"Dit volume door droogtunnel wordt niet volledig benut. Verlaag ventilatie filter of warmtewisselaar.","     ")),"  "))</f>
        <v xml:space="preserve">   </v>
      </c>
      <c r="G14" s="323"/>
      <c r="H14" s="92">
        <f>IF(H10="Geen droogtunnel mogelijk",0,IF(H11="geen droogtunnel",0,IF(H13="PARALLEL GESCHAKELD MET WARMTEWISSELAAR",0,F13)))</f>
        <v>0</v>
      </c>
      <c r="I14" s="292" t="s">
        <v>86</v>
      </c>
      <c r="J14" s="354" t="str">
        <f>IF(H13="serie geschakeld met warmtewisselaar",IF(D8&gt;D9,"Klik een keer op de pijl rechts onder ‘serie geschakeld’","   "),"   ")</f>
        <v xml:space="preserve">   </v>
      </c>
      <c r="K14" s="355"/>
      <c r="L14" s="355"/>
      <c r="M14" s="344" t="str">
        <f>IF(L25="luchtconditioneringsunit","   ",
IF(L25="geen techniek","    ",
IF(L25="chemische wasser 35%","    ",
IF(L25="chemische wasser 70%","    ",
IF(L25="bio wasser 60%","    ",
IF(L25="bio wasser 75%","    ",
IF(L25="waterluchtwassysteem","   ",
IF(L25="biofilter","    ",
IF(L25="Droogfilterwand","   ",
IF(L25="luchtconditioneringsunit met chemische reinigingsstap","   ",
IF(L25="ionisatiefilter",
IF(E24="IONISATIE MET KOOLSTOFBORSTELTJES","Het ionisatiefilter kan niet gecombineerd worden met een ionisatietechniek in de stal",
IF(E24="IONISATIE MET KOOLSTOFBORSTELTJES icm strooiselschuif","Het ionisatiefilter kan niet gecombineerd worden met een ionisatietechniek in de stal",
IF(E24="IONISATIE ICM INTERNE LUCHTCIRCULATIE","Het ionisatiefilter kan niet gecombineerd worden met een ionisatietechniek in de stal",
IF(E24="IONISATIE ICM INTERNE LUCHTCIRCULATIE ICM STROOISELSCHUIF","Het ionisatiefilter kan niet gecombineerd worden met een ionisatietechniek in de stal","   ")))))))))))))))</f>
        <v xml:space="preserve">    </v>
      </c>
      <c r="N14" s="346"/>
      <c r="O14" s="346"/>
      <c r="P14" s="347"/>
      <c r="Q14" s="341" t="s">
        <v>148</v>
      </c>
      <c r="T14" s="302"/>
    </row>
    <row r="15" spans="3:21" ht="28.2" customHeight="1" x14ac:dyDescent="0.35">
      <c r="C15" s="304" t="s">
        <v>131</v>
      </c>
      <c r="D15" s="50" t="s">
        <v>195</v>
      </c>
      <c r="E15" s="67"/>
      <c r="F15" s="324"/>
      <c r="G15" s="324"/>
      <c r="H15" s="187" t="str">
        <f>IF(H14+F19+H21=0,"Geen warmtewisselaar","Warmtewisselaar")</f>
        <v>Geen warmtewisselaar</v>
      </c>
      <c r="I15" s="352" t="str">
        <f>IF(E24="OLIEFILM BIJ VOLIERE MET SPROEIKOPPEN",IF(F19&gt;0,"Oliefilm met leidingen niet combineren met warmtewisselaar","   "),"  ")</f>
        <v xml:space="preserve">  </v>
      </c>
      <c r="J15" s="353"/>
      <c r="K15" s="353"/>
      <c r="L15" s="353"/>
      <c r="M15" s="319"/>
      <c r="N15" s="319"/>
      <c r="O15" s="319"/>
      <c r="P15" s="340"/>
      <c r="Q15" s="342"/>
      <c r="T15" s="303" t="s">
        <v>34</v>
      </c>
    </row>
    <row r="16" spans="3:21" ht="30.6" customHeight="1" thickBot="1" x14ac:dyDescent="0.35">
      <c r="D16" s="50" t="s">
        <v>196</v>
      </c>
      <c r="F16" s="325"/>
      <c r="G16" s="325"/>
      <c r="H16" s="224" t="str">
        <f>IF(H15="warmtewisselaar","Reductiepercentage WW 80%","   ")</f>
        <v xml:space="preserve">   </v>
      </c>
      <c r="I16" s="63"/>
      <c r="J16" s="62">
        <f>IF(L25="geen techniek",H14+F19+H21,IF(J18="ja",0,F19+H14))</f>
        <v>0</v>
      </c>
      <c r="K16" s="128" t="s">
        <v>86</v>
      </c>
      <c r="Q16" s="342"/>
    </row>
    <row r="17" spans="4:20" ht="19.2" customHeight="1" thickBot="1" x14ac:dyDescent="0.35">
      <c r="D17" s="50" t="s">
        <v>197</v>
      </c>
      <c r="H17" s="265">
        <f>ROUND(IF(E19="Kies een categorie",0,IF(F13+F19=0,0,IF(I15="Oliefilm met leidingen niet combineren met warmtewisselaar","error",IF(H13="serie geschakeld met warmtewisselaar",('legh WW+droogt'!$O$74-'legh WW+droogt'!$P$74)*(1-E28),'legh WW+droogt'!$N$74*(1-E28))))),4)</f>
        <v>0</v>
      </c>
      <c r="I17" s="188" t="str">
        <f>"Lucht WW door overige techniek?"</f>
        <v>Lucht WW door overige techniek?</v>
      </c>
      <c r="J17" s="209"/>
      <c r="K17" s="186"/>
      <c r="L17" s="318"/>
      <c r="M17" s="319"/>
      <c r="Q17" s="342"/>
    </row>
    <row r="18" spans="4:20" ht="19.2" customHeight="1" thickBot="1" x14ac:dyDescent="0.5">
      <c r="E18" s="124" t="s">
        <v>194</v>
      </c>
      <c r="H18" s="226" t="s">
        <v>158</v>
      </c>
      <c r="I18" s="142"/>
      <c r="J18" s="210" t="s">
        <v>114</v>
      </c>
      <c r="L18" s="318"/>
      <c r="M18" s="319"/>
      <c r="Q18" s="342"/>
    </row>
    <row r="19" spans="4:20" ht="21" customHeight="1" x14ac:dyDescent="0.3">
      <c r="D19" s="132">
        <v>0</v>
      </c>
      <c r="E19" s="331" t="s">
        <v>147</v>
      </c>
      <c r="F19" s="290">
        <f>IF(E19="kies een categorie",0,IF(F13+F25&gt;J30,0,D19/100))</f>
        <v>0</v>
      </c>
      <c r="G19" s="46" t="s">
        <v>86</v>
      </c>
      <c r="H19" s="224" t="str">
        <f>IF(F20=0,"    ","Reductie% droge stoffilter 99%")</f>
        <v>Reductie% droge stoffilter 99%</v>
      </c>
      <c r="J19" s="134">
        <f>IF(L25="geen techniek",0,IF(J18="ja",F19+H14,0))</f>
        <v>0</v>
      </c>
      <c r="K19" s="133" t="s">
        <v>86</v>
      </c>
      <c r="M19" s="344" t="str">
        <f>IF(E24="OLIEFILM BIJ VOLIERE MET SPROEIKOPPEN",IF(H25&gt;0,"Oliefilm dmv leidingen niet combineren met techniek buiten de stal",IF(L27&gt;0,"Oliefilm dmv leidingen niet combineren met techniek buiten de stal","    ")),IF(E24="strooiselschuif icm OLIEFILM BIJ VOLIERE MET SPROEIKOPPEN",IF(H25&gt;0,"Oliefilm dmv leidingen niet combineren met techniek buiten de stal",IF(L27&gt;0,"Oliefilm dmv leidingen niet combineren met techniek buiten de stal","    ")),"    "))</f>
        <v xml:space="preserve">    </v>
      </c>
      <c r="N19" s="345"/>
      <c r="O19" s="345"/>
      <c r="Q19" s="342"/>
    </row>
    <row r="20" spans="4:20" ht="25.2" customHeight="1" thickBot="1" x14ac:dyDescent="0.35">
      <c r="D20" s="132">
        <f>MAX(0,D19-F13*100)</f>
        <v>0</v>
      </c>
      <c r="E20" s="332"/>
      <c r="F20" s="46" t="s">
        <v>157</v>
      </c>
      <c r="H20" s="88" t="s">
        <v>114</v>
      </c>
      <c r="I20" s="133"/>
      <c r="J20" s="143" t="str">
        <f>IF(J18="nee","     ",IF(L25="geen techniek",IF(J18="ja","Indien 'geen techniek', dan is er geen luchtstroom"),"   "))</f>
        <v xml:space="preserve">     </v>
      </c>
      <c r="M20" s="345"/>
      <c r="N20" s="345"/>
      <c r="O20" s="345"/>
      <c r="Q20" s="342"/>
    </row>
    <row r="21" spans="4:20" ht="19.5" customHeight="1" thickBot="1" x14ac:dyDescent="0.35">
      <c r="E21" s="333"/>
      <c r="F21" s="126" t="str">
        <f>IF(J30=0,"   ",F19/J30)</f>
        <v xml:space="preserve">   </v>
      </c>
      <c r="G21" s="127"/>
      <c r="H21" s="131"/>
      <c r="I21" s="316" t="str">
        <f>IF(J16=0,
IF(J11=0,"   ",
IF(J11&gt;0,
IF(L25="chemische wasser 35%","Alle lucht moet door overige techniek vanwege ammoniak en/of geur",
IF(L25="chemische wasser 70%","Alle lucht moet door overige techniek vanwege ammoniak en/of geur",
IF(L25="Bio wasser 60%","Alle lucht moet door overige techniek vanwege ammoniak en/of geur",
IF(L25="Bio wasser 75%","Alle lucht moet door overige techniek vanwege ammoniak en/of geur",
IF(L25="Biofilter","Alle lucht moet door overige techniek vanwege ammoniak en/of geur",
IF(L25="Luchtconditioneringsunit","Alle lucht moet door luchtconditionering",
IF(L25="luchtconditioneringsunit met chemische reinigingsstap","Alle lucht moet door luchtconditionering","   "))))))),"   ")),
IF(J16&gt;0,
IF(L25="chemische wasser 35%","Alle lucht moet door overige techniek vanwege ammoniak en/of geur",
IF(L25="chemische wasser 70%","Alle lucht moet door overige techniek vanwege ammoniak en/of geur",
IF(L25="Bio wasser 60%","Alle lucht moet door overige techniek vanwege ammoniak en/of geur",
IF(L25="Bio wasser 75%","Alle lucht moet door overige techniek vanwege ammoniak en/of geur",
IF(L25="Biofilter","Alle lucht moet door overige techniek vanwege ammoniak en/of geur",
IF(L25="Luchtconditioneringsunit","    ",
IF(L25="Luchtconditioneringsunit met chemische reinigingsstap","Alle lucht moet door overige techniek vanwege ammoniak en/of geur","   "))))))),"  "))</f>
        <v xml:space="preserve">   </v>
      </c>
      <c r="J21" s="317"/>
      <c r="K21" s="317"/>
      <c r="M21" s="345"/>
      <c r="N21" s="345"/>
      <c r="O21" s="345"/>
      <c r="Q21" s="342"/>
    </row>
    <row r="22" spans="4:20" ht="37.950000000000003" customHeight="1" thickBot="1" x14ac:dyDescent="0.4">
      <c r="E22" s="297" t="str">
        <f>IF(F19&gt;0,"Zet ventilatie door WW en/of stoffilter in 1 klik op 0 m3",IF(F25&gt;0,"Zet ventilatie door WW en/of stoffilter in 1 klik op 0 m3","  "))</f>
        <v xml:space="preserve">  </v>
      </c>
      <c r="F22" s="348" t="str">
        <f>IF(J30=0,"    ",IF(D24&gt;100*F25+1,".                 Klik aantal malen op pijltje omlaag als u m3 ventilatie                         .                  door stoffilter wilt verminderen of verlaag debiet ww","     "))</f>
        <v xml:space="preserve">    </v>
      </c>
      <c r="G22" s="319"/>
      <c r="H22" s="319"/>
      <c r="I22" s="317"/>
      <c r="J22" s="317"/>
      <c r="K22" s="317"/>
      <c r="M22" s="344" t="str">
        <f>IF(F19+H14&gt;0,
IF(OR(L25="Luchtconditioneringsunit",L25="Luchtconditioneringsunit met chemische reinigingsstap"),"Twee keer eenzelfde type techniek in de uitgaande luchtstroom is niet logisch",
IF(H20="ja",
IF(J18="ja",IF(L25="geen techniek","    ",
IF(L25="chemische wasser 35%","Deze combinatie met WW met stoffilter is toepasbaar, maar niet zinvol",
IF(L25="chemische wasser 70%","Deze combinatie met WW met stoffilter is toepasbaar, maar niet zinvol",
IF(L25="bio wasser 60%","Deze combinatie met WW met stoffilter is toepasbaar, maar niet zinvol",
IF(L25="bio wasser 75%","Deze combinatie met WW met stoffilter is toepasbaar, maar niet zinvol",
IF(L25="ionisatiefilter","    ",
IF(L25="waterluchtwassysteem","Deze combinatie met WW met stoffilter is toepasbaar, maar niet zinvol",
IF(L25="biofilter","Deze combinatie met WW met stoffilter is toepasbaar, maar niet zinvol",
IF(L25="droogfilterwand","Deze combinatie met WW met stoffilter is toepasbaar, maar niet zinvol","    "))))))))),"  "),"   ")),"   ")</f>
        <v xml:space="preserve">   </v>
      </c>
      <c r="N22" s="346"/>
      <c r="O22" s="346"/>
      <c r="P22" s="340"/>
      <c r="Q22" s="342"/>
    </row>
    <row r="23" spans="4:20" ht="20.399999999999999" customHeight="1" thickBot="1" x14ac:dyDescent="0.4">
      <c r="E23" s="87" t="s">
        <v>108</v>
      </c>
      <c r="H23" s="210" t="s">
        <v>208</v>
      </c>
      <c r="I23" s="317"/>
      <c r="J23" s="317"/>
      <c r="K23" s="317"/>
      <c r="L23" s="189" t="s">
        <v>141</v>
      </c>
      <c r="M23" s="85"/>
      <c r="N23" s="85"/>
      <c r="Q23" s="342"/>
    </row>
    <row r="24" spans="4:20" ht="34.200000000000003" customHeight="1" x14ac:dyDescent="0.35">
      <c r="D24" s="132">
        <v>0</v>
      </c>
      <c r="E24" s="100" t="s">
        <v>126</v>
      </c>
      <c r="H24" s="224" t="str">
        <f>IF(H23="GEEN filter",IF(F25&gt;0,"Zet ventilatie links op nul","  "),IF(H23="DROGE STOFFILTER 99%","Reductie% DROGE STOFFILTER 99%","Reductie% droogfilterunit 40%"))</f>
        <v xml:space="preserve">  </v>
      </c>
      <c r="I24" s="326" t="str">
        <f>IF(F25&gt;0,
IF(L25="chemische wasser 35%","Alle lucht moet door de luchtwasser of biofilter. De combinatie met stoffilter of droogfilterunit is daarom niet mogelijk.",
IF(L25="chemische wasser 70%","Alle lucht moet door de luchtwasser of biofilter. De combinatie met stoffilter of droogfilterunit is daarom niet mogelijk.",
IF(L25="bio wasser 60%","Alle lucht moet door de luchtwasser of biofilter. De combinatie met stoffilter of droogfilterunit is daarom niet mogelijk.",
IF(L25="bio wasser 75%","Alle lucht moet door de luchtwasser of biofilter. De combinatie met stoffilter of droogfilterunit is daarom niet mogelijk.",
IF(L25="biofilter","Alle lucht moet door de luchtwasser of biofilter. De combinatie met stoffilter of droogfilterunit is daarom niet mogelijk.",
IF(L25="luchtconditioneringsunit met chemische reinigingsstap","Alle lucht moet door de luchtwasser of biofilter. De combinatie met stoffilter of droogfilterunit is daarom niet mogelijk.","  ")))))),"   ")</f>
        <v xml:space="preserve">   </v>
      </c>
      <c r="J24" s="327"/>
      <c r="K24" s="328"/>
      <c r="L24" s="225" t="str">
        <f>IF(L25="chemische wasser 35%","Potentieel reductie: 35%",
IF(L25="chemische wasser 70%","Potentieel reductie: 70%",
IF(L25="bio wasser 60%","Potentieel reductie: 60%",
IF(L25="bio wasser 75%","Potentieel reductie: 75%",
IF(L25="biofilter","Potentieel reductie: 80%",
IF(L25="waterluchtwassysteem","Potentieel reductie: 33%",
IF(L25="droogfilterwand","Potentieel reductie: 40%",
IF(L25="ionisatiefilter","Potentieel reductie: 57%",
IF(L25="luchtconditioneringsunit","Potentieel reductie: 80%",
IF(L25="Luchtconditioneringsunit met chemische reinigingsstap","Potentieel reductie: 55%","  "))))))))))</f>
        <v xml:space="preserve">  </v>
      </c>
      <c r="M24" s="101"/>
      <c r="N24" s="102"/>
      <c r="O24" s="197"/>
      <c r="Q24" s="343"/>
    </row>
    <row r="25" spans="4:20" ht="36.6" customHeight="1" thickBot="1" x14ac:dyDescent="0.4">
      <c r="E25" s="334" t="str">
        <f>IF(E24="strooiselschuif",IF(E19="volierehuisvesting","   ","Deze techniek kan alleen bij leghennen volière"),
IF(E24="OLIEFILM BIJ VOLIERE MET SPROEIKOPPEN",IF(E19="volierehuisvesting","   ","Deze techniek kan alleen bij leghennen volière"),
IF(E24="IONISATIE MET KOOLSTOFBORSTELTJES icm strooiselschuif",IF(E19="volierehuisvesting","   ","Deze techniek kan alleen bij leghennen volière"),
IF(E24="OLIEFILM BIJ VOLIERE MET SPROEIKOPPEN",IF(E19="volierehuisvesting","   "),
IF(E24="OLIEFILM MET ROBOT",IF(E19="grondhuisvesting","    ","Deze techniek kan alleen bij grondhuisvesting"),
IF(E24="strooiselschuif icm OLIEFILM BIJ VOLIERE MET SPROEIKOPPEN",IF(E19="volierehuisvesting","   ","Deze techniek kan alleen bij leghennen volière"),
IF(E24="IONISATIE MET KOOLSTOFBORSTELTJES","   ",
IF(E24="IONISATIE MET KOOLSTOFBORSTELTJES icm strooiselschuif",IF(E19="leghennen koloniehuisvesting","Deze techniek niet bij koloniehuisvesting","     "),
IF(E24="IONISATIE ICM INTERNE LUCHTCIRCULATIE ICM STROOISELSCHUIF",IF(E19="volierehuisvesting","    ","Deze techniek kan alleen bij leghennen volière"),"   ")))))))))</f>
        <v xml:space="preserve">   </v>
      </c>
      <c r="F25" s="291">
        <f>IF(E19="kies een categorie",0,
IF(F13*100+D20+D24&gt;J30*100,(J30*100-D20-F13*100)/100,
D24/100))</f>
        <v>0</v>
      </c>
      <c r="G25" s="223" t="s">
        <v>86</v>
      </c>
      <c r="H25" s="266">
        <f>ROUND(IF(H24="Zet ventilatie links op nul","error",(IF(H15="warmtewisselaar",'legh WW+droogt'!$U$74*(1-E28),IF(H12&gt;0,'legh WW+droogt'!$U$74*(1-E28),'legh WW+droogt'!$T$74*(1-E28))))),4)</f>
        <v>0</v>
      </c>
      <c r="I25" s="329"/>
      <c r="J25" s="330"/>
      <c r="K25" s="330"/>
      <c r="L25" s="289" t="s">
        <v>129</v>
      </c>
      <c r="M25" s="320"/>
      <c r="N25" s="321"/>
      <c r="O25" s="319"/>
      <c r="Q25" s="343"/>
    </row>
    <row r="26" spans="4:20" ht="40.200000000000003" customHeight="1" x14ac:dyDescent="0.35">
      <c r="E26" s="335"/>
      <c r="F26" s="68">
        <f>MAX(J30-F13-F19-F25,0)</f>
        <v>0</v>
      </c>
      <c r="G26" s="46" t="s">
        <v>86</v>
      </c>
      <c r="H26" s="89"/>
      <c r="J26" s="62">
        <f>IF(L25="geen techniek",0,F26)</f>
        <v>0</v>
      </c>
      <c r="K26" s="83" t="s">
        <v>86</v>
      </c>
      <c r="L26" s="108" t="s">
        <v>150</v>
      </c>
      <c r="M26" s="356" t="str">
        <f>IF(OR(L25="Luchtconditioneringsunit",L25="LUCHTCONDITIONERINGSUNIT MET CHEMISCHE REINIGINGSSTAP"),
IF(F25&gt;0,"Alle lucht moet door luchtconditioneringsunit, dus niet combineren met droge stoffilter of droogfilterunit","    "),"   ")</f>
        <v xml:space="preserve">   </v>
      </c>
      <c r="N26" s="357"/>
      <c r="O26" s="357"/>
      <c r="P26" s="358"/>
      <c r="Q26" s="343"/>
    </row>
    <row r="27" spans="4:20" ht="24.45" customHeight="1" x14ac:dyDescent="0.55000000000000004">
      <c r="D27" s="64"/>
      <c r="E27" s="295" t="s">
        <v>149</v>
      </c>
      <c r="F27" s="89" t="s">
        <v>128</v>
      </c>
      <c r="G27" s="89"/>
      <c r="H27" s="89" t="s">
        <v>34</v>
      </c>
      <c r="J27" s="62"/>
      <c r="L27" s="247">
        <f>IF(M14="Het ionisatiefilter kan niet gecombineerd worden met een ionisatietechniek in de stal","error",
IF(I21="Alle lucht moet door overige techniek vanwege ammoniak en/of geur","error",
IF(I21="Alle lucht moet door luchtconditionering","error",
IF(I24="Alle lucht moet door de luchtwasser of biofilter. De combinatie met stoffilter of droogfilterunit is daarom niet mogelijk.","error",
IF(I21="Twee keer eenzelfde type techniek in de uitgaande luchtstroom is niet logisch","error",
IF(M22="Twee keer eenzelfde type techniek in de uitgaande luchtstroom is niet logisch","error",
IF(M26="Alle lucht moet door luchtconditioneringsunit, dus niet combineren met droge stoffilter of droogfilterunit","error",'legh WW+droogt'!$I$10*(1-E28))))))))</f>
        <v>0</v>
      </c>
      <c r="M27" s="359"/>
      <c r="N27" s="360"/>
      <c r="O27" s="360"/>
      <c r="P27" s="361"/>
      <c r="Q27" s="112">
        <f>ROUNDDOWN(IF(F25&lt;0,"error",IF(H17&lt;0,"error",IF(E19="Kies een categorie",0,IF(M19="Oliefilm dmv leidingen niet combineren met techniek buiten de stal","error",IF(G28&lt;&gt;J30,"error",MAX(H25+0.5%,(H17+0.5%),100%-(1-E28)+(H12+H25+H17)+L27)))))),2)</f>
        <v>0</v>
      </c>
      <c r="S27" s="56"/>
      <c r="T27" s="56"/>
    </row>
    <row r="28" spans="4:20" ht="19.95" customHeight="1" thickBot="1" x14ac:dyDescent="0.35">
      <c r="D28" s="64"/>
      <c r="E28" s="296">
        <f>IF(E25="deze combinatie kan niet","    ",
IF(E25="Deze techniek kan alleen bij leghennen volière",0,
IF(E25="Deze techniek kan alleen bij grondhuisvesting",0,
IF(E24="OLIEFILM BIJ VOLIERE MET SPROEIKOPPEN",15%,
IF(E24="OLIEFILM MET ROBOT",30%,
IF(E24="strooiselschuif",20%,
IF(E24="OLIEFILM BIJ VOLIERE MET SPROEIKOPPEN",15%,
IF(E24="IONISATIE MET KOOLSTOFBORSTELTJES",31%,
IF(E24="strooiselschuif icm OLIEFILM BIJ VOLIERE MET SPROEIKOPPEN",20%+(1-20%)*15%,
IF(E24="IONISATIE MET KOOLSTOFBORSTELTJES icm strooiselschuif",45%,
IF(E24="IONISATIE ICM INTERNE LUCHTCIRCULATIE",50%,
IF(E24="IONISATIE ICM INTERNE LUCHTCIRCULATIE ICM STROOISELSCHUIF",60%,0))))))))))))</f>
        <v>0</v>
      </c>
      <c r="F28" s="129"/>
      <c r="G28" s="90">
        <f>J11+J13+J16+J19+J26+J28</f>
        <v>0</v>
      </c>
      <c r="H28" s="196"/>
      <c r="J28" s="62">
        <f>F25+F26-H21-J26</f>
        <v>0</v>
      </c>
      <c r="K28" s="46" t="s">
        <v>86</v>
      </c>
      <c r="L28" s="125"/>
      <c r="Q28" s="130"/>
    </row>
    <row r="29" spans="4:20" ht="22.95" customHeight="1" thickBot="1" x14ac:dyDescent="0.4">
      <c r="D29" s="64"/>
      <c r="F29" s="91"/>
      <c r="G29" s="170"/>
      <c r="K29" s="215" t="str">
        <f>IF(G28&lt;&gt;J30,"Optelsom debiet klopt niet. Verlaag debiet warmtewisselaar of stoffilter c.q. droogfilter!","   ")</f>
        <v xml:space="preserve">   </v>
      </c>
      <c r="L29" s="241"/>
      <c r="M29" s="241"/>
      <c r="N29" s="62"/>
      <c r="Q29" s="113"/>
    </row>
    <row r="30" spans="4:20" ht="19.8" x14ac:dyDescent="0.35">
      <c r="D30" s="64" t="s">
        <v>126</v>
      </c>
      <c r="E30" s="105"/>
      <c r="F30" s="106"/>
      <c r="G30" s="107"/>
      <c r="H30" s="109" t="s">
        <v>142</v>
      </c>
      <c r="J30" s="110">
        <f>IF(E19="Kies een categorie",0,IF(E19="volierehuisvesting",'legh WW+droogt'!$I$2,IF(E19="grondhuisvesting",'legh WW+droogt'!$I$2,IF(E19="koloniehuisvesting",'legh WW+droogt'!$I$2,))))</f>
        <v>0</v>
      </c>
      <c r="K30" s="111" t="s">
        <v>146</v>
      </c>
      <c r="L30" s="248"/>
      <c r="M30" s="165"/>
      <c r="N30" s="238"/>
    </row>
    <row r="31" spans="4:20" x14ac:dyDescent="0.3">
      <c r="D31" s="46" t="s">
        <v>212</v>
      </c>
      <c r="E31" s="64"/>
      <c r="F31" s="64"/>
      <c r="G31" s="64"/>
      <c r="H31" s="64"/>
      <c r="I31" s="64"/>
      <c r="J31" s="64"/>
      <c r="K31" s="64"/>
      <c r="L31" s="64"/>
      <c r="M31" s="64"/>
      <c r="N31" s="64"/>
      <c r="O31" s="64"/>
      <c r="P31" s="64"/>
      <c r="Q31" s="64"/>
    </row>
    <row r="32" spans="4:20" x14ac:dyDescent="0.3">
      <c r="D32" s="94" t="s">
        <v>211</v>
      </c>
      <c r="E32" s="313" t="s">
        <v>159</v>
      </c>
      <c r="F32" s="314"/>
      <c r="G32" s="314"/>
      <c r="H32" s="314"/>
      <c r="I32" s="314"/>
      <c r="J32" s="94"/>
      <c r="K32" s="94"/>
      <c r="L32" s="94"/>
      <c r="M32" s="94"/>
      <c r="N32" s="94"/>
      <c r="O32" s="95"/>
      <c r="P32" s="94"/>
      <c r="Q32" s="94"/>
    </row>
    <row r="33" spans="3:17" x14ac:dyDescent="0.3">
      <c r="D33" s="94" t="s">
        <v>127</v>
      </c>
      <c r="E33" s="315"/>
      <c r="F33" s="315"/>
      <c r="G33" s="315"/>
      <c r="H33" s="315"/>
      <c r="I33" s="315"/>
      <c r="J33" s="94"/>
      <c r="K33" s="94"/>
      <c r="L33" s="94"/>
      <c r="M33" s="94"/>
      <c r="N33" s="94"/>
      <c r="O33" s="95"/>
      <c r="P33" s="94"/>
      <c r="Q33" s="94"/>
    </row>
    <row r="34" spans="3:17" ht="42" customHeight="1" x14ac:dyDescent="0.35">
      <c r="C34" s="150"/>
      <c r="D34" s="94" t="s">
        <v>213</v>
      </c>
      <c r="E34" s="93"/>
      <c r="F34" s="93"/>
      <c r="G34" s="96"/>
      <c r="H34" s="97"/>
      <c r="I34" s="94"/>
      <c r="J34" s="94"/>
      <c r="K34" s="94"/>
      <c r="L34" s="94"/>
      <c r="M34" s="94"/>
      <c r="N34" s="94"/>
      <c r="O34" s="94"/>
      <c r="P34" s="94"/>
      <c r="Q34" s="94"/>
    </row>
    <row r="35" spans="3:17" ht="18" x14ac:dyDescent="0.35">
      <c r="C35" s="150"/>
      <c r="D35" s="104" t="s">
        <v>214</v>
      </c>
      <c r="E35" s="70"/>
      <c r="F35" s="70"/>
      <c r="G35" s="151"/>
      <c r="H35" s="152"/>
      <c r="I35" s="64"/>
      <c r="J35" s="64"/>
      <c r="K35" s="64"/>
      <c r="L35" s="64"/>
      <c r="M35" s="64"/>
      <c r="N35" s="64"/>
      <c r="O35" s="64"/>
      <c r="P35" s="64"/>
      <c r="Q35" s="64"/>
    </row>
    <row r="36" spans="3:17" ht="18" x14ac:dyDescent="0.35">
      <c r="C36" s="150"/>
      <c r="D36" s="104" t="s">
        <v>215</v>
      </c>
      <c r="E36" s="70"/>
      <c r="F36" s="70"/>
      <c r="G36" s="151"/>
      <c r="H36" s="152"/>
      <c r="I36" s="64"/>
      <c r="J36" s="64"/>
      <c r="K36" s="64"/>
      <c r="L36" s="64"/>
      <c r="M36" s="64"/>
      <c r="N36" s="64"/>
      <c r="O36" s="64"/>
      <c r="P36" s="64"/>
      <c r="Q36" s="64"/>
    </row>
    <row r="37" spans="3:17" ht="18" x14ac:dyDescent="0.35">
      <c r="C37" s="150"/>
      <c r="D37" s="94"/>
      <c r="E37" s="70"/>
      <c r="F37" s="70"/>
      <c r="G37" s="151"/>
      <c r="H37" s="152"/>
      <c r="I37" s="64"/>
      <c r="J37" s="64"/>
      <c r="K37" s="64"/>
      <c r="L37" s="64"/>
      <c r="M37" s="64"/>
      <c r="N37" s="64"/>
      <c r="O37" s="64"/>
      <c r="P37" s="64"/>
      <c r="Q37" s="64"/>
    </row>
    <row r="38" spans="3:17" ht="29.4" x14ac:dyDescent="0.55000000000000004">
      <c r="E38" s="153"/>
      <c r="F38" s="70"/>
      <c r="G38" s="64"/>
      <c r="H38" s="64" t="s">
        <v>34</v>
      </c>
      <c r="I38" s="64"/>
      <c r="J38" s="64"/>
      <c r="K38" s="64"/>
      <c r="L38" s="64"/>
      <c r="M38" s="64"/>
      <c r="N38" s="64"/>
      <c r="O38" s="64"/>
      <c r="P38" s="64"/>
      <c r="Q38" s="64"/>
    </row>
    <row r="39" spans="3:17" x14ac:dyDescent="0.3">
      <c r="C39" s="154"/>
      <c r="D39" s="98">
        <f>IF(H22="zonder stoffilter",IF(D40="opfok leghennen",IF(H20="warmtewisselaar 13%",0.2,IF(H20="warmtewisselaar 31%",0.43,IF(H20="warmtewisselaar 37%",0.55,IF(H20="warmtewisselaar 50%",0.78)))),IF(D40="leghennen",IF(H20="warmtewisselaar 13%",0.4,IF(H20="warmtewisselaar 31%",1,IF(H20="warmtewisselaar 37%",1.25,IF(H20="warmtewisselaar 50%",1.8)))),IF(E19="opfok vleeskuikenouderdieren",IF(H20="warmtewisselaar 13%",0.4,IF(H20="warmtewisselaar 31%",1,IF(H20="warmtewisselaar 37%",1.3,IF(H20="warmtewisselaar 50%",1.9)))),IF(D40="vleeskuikenouderdieren",IF(H20="warmtewisselaar 13%",0.6,IF(H20="warmtewisselaar 31%",1.5,IF(H20="warmtewisselaar 37%",1.85,IF(H20="warmtewisselaar 50%",2.9))))))+IF(E19="vleeskuikens",IF(H20="warmtewisselaar 13%",0.35,IF(H20="warmtewisselaar 31%",1,IF(H20="warmtewisselaar 37%",1.3,IF(H20="warmtewisselaar 50%",2,0)))))+IF(E19="vleeseenden",IF(H20="warmtewisselaar 13%",0.8,IF(H20="warmtewisselaar 31%",2.3,IF(H20="warmtewisselaar 37%",3.15,IF(H20="warmtewisselaar 50%",4.8)))))))+IF(E19="kalkoen hennen",IF(H20="warmtewisselaar 13%",1.1,IF(H20="warmtewisselaar 31%",3,IF(H20="warmtewisselaar 37%",3.85,IF(H20="warmtewisselaar 50%",5.6)))))+IF(E19="kalkoen hanen",IF(H20="warmtewisselaar 13%",2.5,IF(H20="warmtewisselaar 31%",6.2,IF(H20="warmtewisselaar 37%",8.2,IF(H20="warmtewisselaar 50%",11.7))))),0)+IF(H22="met stoffilter",IF(D40="opfok leghennen",IF(H20="warmtewisselaar 13%",0.15,IF(H20="warmtewisselaar 31%",0.35,IF(H20="warmtewisselaar 37%",0.4,IF(H20="warmtewisselaar 50%",0.6)))),IF(D40="leghennen",IF(H20="warmtewisselaar 13%",0.35,IF(H20="warmtewisselaar 31%",0.85,IF(H20="warmtewisselaar 37%",1,IF(H20="warmtewisselaar 50%",1.4)))),IF(E19="grondhuisvesting",IF(H20="warmtewisselaar 13%",0.35,IF(H20="warmtewisselaar 31%",0.85,IF(H20="warmtewisselaar 37%",1,IF(H20="warmtewisselaar 50%",1.4)))),IF(E19="opfok vleeskuikenouderdieren",IF(H20="warmtewisselaar 13%",0.35,IF(H20="warmtewisselaar 31%",0.85,IF(H20="warmtewisselaar 37%",1.1,IF(H20="warmtewisselaar 50%",1.45)))),IF(D40="vleeskuikenouderdieren",IF(H20="warmtewisselaar 13%",0.5,IF(H20="warmtewisselaar 31%",1.2,IF(H20="warmtewisselaar 37%",1.5,IF(H20="warmtewisselaar 50%",2.1))))))+IF(E19="vleeskuikens",IF(H20="warmtewisselaar 13%",0.3,IF(H20="warmtewisselaar 31%",0.75,IF(H20="warmtewisselaar 37%",1,IF(H20="warmtewisselaar 50%",1.45,0)))))+IF(E19="vleeseenden",IF(H20="warmtewisselaar 13%",0.7,IF(H20="warmtewisselaar 31%",1.9,IF(H20="warmtewisselaar 37%",2.3,IF(H20="warmtewisselaar 50%",3.6)))))))+IF(E19="kalkoen hennen",IF(H20="warmtewisselaar 13%",0.9,IF(H20="warmtewisselaar 31%",2.5,IF(H20="warmtewisselaar 37%",3,IF(H20="warmtewisselaar 50%",4.3)))))+IF(E19="kalkoen hanen",IF(H20="warmtewisselaar 13%",2.2,IF(H20="warmtewisselaar 31%",5.3,IF(H20="warmtewisselaar 37%",6.2,IF(H20="warmtewisselaar 50%",9)))))),0)</f>
        <v>0</v>
      </c>
      <c r="E39" s="70"/>
      <c r="F39" s="70"/>
      <c r="G39" s="154"/>
      <c r="H39" s="64"/>
      <c r="I39" s="64"/>
      <c r="J39" s="64"/>
      <c r="K39" s="64"/>
      <c r="L39" s="64"/>
      <c r="M39" s="64"/>
      <c r="N39" s="64"/>
      <c r="O39" s="64"/>
      <c r="P39" s="64"/>
      <c r="Q39" s="64"/>
    </row>
    <row r="40" spans="3:17" x14ac:dyDescent="0.3">
      <c r="D40" s="144">
        <f>IF(H24="zonder stoffilter",IF(D41="opfok leghennen",IF(H17="warmtewisselaar 13%",0.2,IF(H17="warmtewisselaar 31%",0.43,IF(H17="warmtewisselaar 37%",0.55,IF(H17="warmtewisselaar 50%",0.78)))),IF(D41="leghennen",IF(H17="warmtewisselaar 13%",0.4,IF(H17="warmtewisselaar 31%",1,IF(H17="warmtewisselaar 37%",1.25,IF(H17="warmtewisselaar 50%",1.8)))),IF(E19="opfok vleeskuikenouderdieren",IF(H17="warmtewisselaar 13%",0.4,IF(H17="warmtewisselaar 31%",1,IF(H17="warmtewisselaar 37%",1.3,IF(H17="warmtewisselaar 50%",1.9)))),IF(D41="vleeskuikenouderdieren",IF(H17="warmtewisselaar 13%",0.6,IF(H17="warmtewisselaar 31%",1.5,IF(H17="warmtewisselaar 37%",1.85,IF(H17="warmtewisselaar 50%",2.9))))))+IF(E19="vleeskuikens",IF(H17="warmtewisselaar 13%",0.35,IF(H17="warmtewisselaar 31%",1,IF(H17="warmtewisselaar 37%",1.3,IF(H17="warmtewisselaar 50%",2,0)))))+IF(E19="vleeseenden",IF(H17="warmtewisselaar 13%",0.8,IF(H17="warmtewisselaar 31%",2.3,IF(H17="warmtewisselaar 37%",3.15,IF(H17="warmtewisselaar 50%",4.8)))))))+IF(E19="kalkoen hennen",IF(H17="warmtewisselaar 13%",1.1,IF(H17="warmtewisselaar 31%",3,IF(H17="warmtewisselaar 37%",3.85,IF(H17="warmtewisselaar 50%",5.6)))))+IF(E19="kalkoen hanen",IF(H17="warmtewisselaar 13%",2.5,IF(H17="warmtewisselaar 31%",6.2,IF(H17="warmtewisselaar 37%",8.2,IF(H17="warmtewisselaar 50%",11.7))))),0)+IF(H24="met stoffilter",IF(D41="opfok leghennen",IF(H17="warmtewisselaar 13%",0.15,IF(H17="warmtewisselaar 31%",0.35,IF(H17="warmtewisselaar 37%",0.4,IF(H17="warmtewisselaar 50%",0.6)))),IF(D41="leghennen",IF(H17="warmtewisselaar 13%",0.35,IF(H17="warmtewisselaar 31%",0.85,IF(H17="warmtewisselaar 37%",1,IF(H17="warmtewisselaar 50%",1.4)))),IF(E19="grondhuisvesting",IF(H17="warmtewisselaar 13%",0.35,IF(H17="warmtewisselaar 31%",0.85,IF(H17="warmtewisselaar 37%",1,IF(H17="warmtewisselaar 50%",1.4)))),IF(E19="opfok vleeskuikenouderdieren",IF(H17="warmtewisselaar 13%",0.35,IF(H17="warmtewisselaar 31%",0.85,IF(H17="warmtewisselaar 37%",1.1,IF(H17="warmtewisselaar 50%",1.45)))),IF(D41="vleeskuikenouderdieren",IF(H17="warmtewisselaar 13%",0.5,IF(H17="warmtewisselaar 31%",1.2,IF(H17="warmtewisselaar 37%",1.5,IF(H17="warmtewisselaar 50%",2.1))))))+IF(E19="vleeskuikens",IF(H17="warmtewisselaar 13%",0.3,IF(H17="warmtewisselaar 31%",0.75,IF(H17="warmtewisselaar 37%",1,IF(H17="warmtewisselaar 50%",1.45,0)))))+IF(E19="vleeseenden",IF(H17="warmtewisselaar 13%",0.7,IF(H17="warmtewisselaar 31%",1.9,IF(H17="warmtewisselaar 37%",2.3,IF(H17="warmtewisselaar 50%",3.6)))))))+IF(E19="kalkoen hennen",IF(H17="warmtewisselaar 13%",0.9,IF(H17="warmtewisselaar 31%",2.5,IF(H17="warmtewisselaar 37%",3,IF(H17="warmtewisselaar 50%",4.3)))))+IF(E19="kalkoen hanen",IF(H17="warmtewisselaar 13%",2.2,IF(H17="warmtewisselaar 31%",5.3,IF(H17="warmtewisselaar 37%",6.2,IF(H17="warmtewisselaar 50%",9)))))),0)</f>
        <v>0</v>
      </c>
      <c r="E40" s="104"/>
      <c r="F40" s="106"/>
      <c r="G40" s="104"/>
      <c r="H40" s="104"/>
      <c r="I40" s="104"/>
      <c r="J40" s="104"/>
      <c r="K40" s="104" t="s">
        <v>34</v>
      </c>
      <c r="L40" s="104"/>
      <c r="M40" s="104"/>
      <c r="N40" s="104"/>
      <c r="O40" s="104"/>
      <c r="P40" s="104"/>
      <c r="Q40" s="104"/>
    </row>
    <row r="41" spans="3:17" x14ac:dyDescent="0.3">
      <c r="D41" s="104">
        <f>IF(E19="OPFOK LEGHENNEN KOOI/KOLONIE","opfok leghennen",IF(E19="opfok leghennen grondhuisvesting","opfok leghennen",IF(E19="opfok leghennen voliere","opfok leghennen",IF(E19="leghennen koloniehuisvesting","leghennen",IF(E19="grondhuisvesting","leghennen",IF(E19="volierehuisvesting","leghennen",IF(E19="vleeskuikenouderdieren groepskooi","vleeskuikenouderdieren",IF(E19="vleeskuikenouderdieren grondhuisvesting","vleeskuikenouderdieren",IF(E19="vleeskuikenouderdieren voliere","vleeskuikenouderdieren",0)))))))))</f>
        <v>0</v>
      </c>
      <c r="E41" s="104"/>
      <c r="F41" s="104"/>
      <c r="G41" s="104"/>
      <c r="H41" s="104"/>
      <c r="I41" s="104"/>
      <c r="J41" s="104"/>
      <c r="K41" s="104"/>
      <c r="L41" s="104"/>
      <c r="M41" s="104"/>
      <c r="N41" s="104"/>
      <c r="O41" s="104"/>
      <c r="P41" s="104"/>
      <c r="Q41" s="104"/>
    </row>
    <row r="42" spans="3:17" x14ac:dyDescent="0.3">
      <c r="D42" s="104"/>
      <c r="E42" s="104"/>
      <c r="F42" s="104"/>
      <c r="G42" s="104"/>
      <c r="H42" s="104"/>
      <c r="I42" s="104"/>
      <c r="J42" s="104"/>
      <c r="K42" s="104"/>
      <c r="L42" s="104"/>
      <c r="M42" s="104"/>
      <c r="N42" s="104"/>
      <c r="O42" s="104"/>
      <c r="P42" s="104"/>
      <c r="Q42" s="104"/>
    </row>
    <row r="50" spans="12:12" ht="18" x14ac:dyDescent="0.4">
      <c r="L50" s="89" t="s">
        <v>135</v>
      </c>
    </row>
  </sheetData>
  <sheetProtection algorithmName="SHA-512" hashValue="fEPImjCahNCtToUYE4LGVT5sbrp91jFFgoMjT6KKKN7edfeoeJFgf1B/Ldf7sw+/NWDadBnhG9Gp/D72S37VFw==" saltValue="0GlFPyFYvs9+VLyZZHbd0w==" spinCount="100000" sheet="1" objects="1" scenarios="1"/>
  <mergeCells count="19">
    <mergeCell ref="E8:E9"/>
    <mergeCell ref="M13:P13"/>
    <mergeCell ref="Q14:Q26"/>
    <mergeCell ref="M19:O21"/>
    <mergeCell ref="M14:P15"/>
    <mergeCell ref="F22:H22"/>
    <mergeCell ref="M22:P22"/>
    <mergeCell ref="E10:G11"/>
    <mergeCell ref="I15:L15"/>
    <mergeCell ref="J14:L14"/>
    <mergeCell ref="M26:P27"/>
    <mergeCell ref="E32:I33"/>
    <mergeCell ref="I21:K23"/>
    <mergeCell ref="L17:M18"/>
    <mergeCell ref="M25:O25"/>
    <mergeCell ref="F14:G16"/>
    <mergeCell ref="I24:K25"/>
    <mergeCell ref="E19:E21"/>
    <mergeCell ref="E25:E26"/>
  </mergeCells>
  <dataValidations count="2">
    <dataValidation type="list" allowBlank="1" showInputMessage="1" showErrorMessage="1" errorTitle="Keuze onjuist" error="Vul dit in met ja of nee." sqref="E24" xr:uid="{00000000-0002-0000-0200-000000000000}">
      <formula1>StalTechDropdown</formula1>
    </dataValidation>
    <dataValidation type="list" allowBlank="1" showInputMessage="1" showErrorMessage="1" errorTitle="Keuze onjuist" error="Vul dit in met ja of nee." sqref="E19:E21" xr:uid="{B6E54418-2C4B-4F28-A0C6-1B994B82D48C}">
      <formula1>$D$14:$D$17</formula1>
    </dataValidation>
  </dataValidations>
  <printOptions horizontalCentered="1"/>
  <pageMargins left="0.1" right="0.1" top="0.1" bottom="0.1" header="0.3" footer="0.3"/>
  <pageSetup paperSize="9" scale="54" orientation="landscape" r:id="rId1"/>
  <rowBreaks count="1" manualBreakCount="1">
    <brk id="42" max="16383" man="1"/>
  </rowBreaks>
  <ignoredErrors>
    <ignoredError sqref="F19" unlockedFormula="1"/>
    <ignoredError sqref="E10" evalError="1"/>
  </ignoredErrors>
  <drawing r:id="rId2"/>
  <legacyDrawing r:id="rId3"/>
  <mc:AlternateContent xmlns:mc="http://schemas.openxmlformats.org/markup-compatibility/2006">
    <mc:Choice Requires="x14">
      <controls>
        <mc:AlternateContent xmlns:mc="http://schemas.openxmlformats.org/markup-compatibility/2006">
          <mc:Choice Requires="x14">
            <control shapeId="3077" r:id="rId4" name="Spinner 5">
              <controlPr defaultSize="0" autoPict="0" macro="[0]!celg4kopierennaarh4">
                <anchor moveWithCells="1" sizeWithCells="1">
                  <from>
                    <xdr:col>5</xdr:col>
                    <xdr:colOff>922020</xdr:colOff>
                    <xdr:row>15</xdr:row>
                    <xdr:rowOff>388620</xdr:rowOff>
                  </from>
                  <to>
                    <xdr:col>6</xdr:col>
                    <xdr:colOff>228600</xdr:colOff>
                    <xdr:row>18</xdr:row>
                    <xdr:rowOff>45720</xdr:rowOff>
                  </to>
                </anchor>
              </controlPr>
            </control>
          </mc:Choice>
        </mc:AlternateContent>
        <mc:AlternateContent xmlns:mc="http://schemas.openxmlformats.org/markup-compatibility/2006">
          <mc:Choice Requires="x14">
            <control shapeId="3080" r:id="rId5" name="Spinner 8">
              <controlPr defaultSize="0" autoPict="0">
                <anchor moveWithCells="1" sizeWithCells="1">
                  <from>
                    <xdr:col>6</xdr:col>
                    <xdr:colOff>22860</xdr:colOff>
                    <xdr:row>22</xdr:row>
                    <xdr:rowOff>137160</xdr:rowOff>
                  </from>
                  <to>
                    <xdr:col>6</xdr:col>
                    <xdr:colOff>297180</xdr:colOff>
                    <xdr:row>23</xdr:row>
                    <xdr:rowOff>411480</xdr:rowOff>
                  </to>
                </anchor>
              </controlPr>
            </control>
          </mc:Choice>
        </mc:AlternateContent>
        <mc:AlternateContent xmlns:mc="http://schemas.openxmlformats.org/markup-compatibility/2006">
          <mc:Choice Requires="x14">
            <control shapeId="3093" r:id="rId6" name="Spinner 21">
              <controlPr defaultSize="0" autoPict="0">
                <anchor moveWithCells="1" sizeWithCells="1">
                  <from>
                    <xdr:col>15</xdr:col>
                    <xdr:colOff>525780</xdr:colOff>
                    <xdr:row>6</xdr:row>
                    <xdr:rowOff>45720</xdr:rowOff>
                  </from>
                  <to>
                    <xdr:col>15</xdr:col>
                    <xdr:colOff>769620</xdr:colOff>
                    <xdr:row>8</xdr:row>
                    <xdr:rowOff>137160</xdr:rowOff>
                  </to>
                </anchor>
              </controlPr>
            </control>
          </mc:Choice>
        </mc:AlternateContent>
        <mc:AlternateContent xmlns:mc="http://schemas.openxmlformats.org/markup-compatibility/2006">
          <mc:Choice Requires="x14">
            <control shapeId="3104" r:id="rId7" name="Button 32">
              <controlPr defaultSize="0" print="0" autoFill="0" autoPict="0" macro="[0]!Defaults">
                <anchor moveWithCells="1" sizeWithCells="1">
                  <from>
                    <xdr:col>5</xdr:col>
                    <xdr:colOff>441960</xdr:colOff>
                    <xdr:row>6</xdr:row>
                    <xdr:rowOff>121920</xdr:rowOff>
                  </from>
                  <to>
                    <xdr:col>6</xdr:col>
                    <xdr:colOff>152400</xdr:colOff>
                    <xdr:row>7</xdr:row>
                    <xdr:rowOff>213360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6">
        <x14:dataValidation type="list" allowBlank="1" showInputMessage="1" showErrorMessage="1" errorTitle="Keuze onjuist" error="Vul dit in met ja of nee." xr:uid="{FF38231A-B636-41EA-B5C4-F19712F253E2}">
          <x14:formula1>
            <xm:f>Reductietechnieken!$B$52:$B$53</xm:f>
          </x14:formula1>
          <xm:sqref>H20</xm:sqref>
        </x14:dataValidation>
        <x14:dataValidation type="list" allowBlank="1" showInputMessage="1" showErrorMessage="1" errorTitle="Keuze onjuist" error="Vul dit in met ja of nee." xr:uid="{00000000-0002-0000-0200-000003000000}">
          <x14:formula1>
            <xm:f>Reductietechnieken!$C$52:$C$53</xm:f>
          </x14:formula1>
          <xm:sqref>J18 L9</xm:sqref>
        </x14:dataValidation>
        <x14:dataValidation type="list" allowBlank="1" showInputMessage="1" showErrorMessage="1" errorTitle="Keuze onjuist" error="Vul dit in met ja of nee." xr:uid="{D5044961-50AB-4719-BCA6-795232D78F44}">
          <x14:formula1>
            <xm:f>Reductietechnieken!$B$49:$B$50</xm:f>
          </x14:formula1>
          <xm:sqref>H13</xm:sqref>
        </x14:dataValidation>
        <x14:dataValidation type="list" allowBlank="1" showInputMessage="1" showErrorMessage="1" errorTitle="Keuze onjuist" error="Dit is niet juist" xr:uid="{4815D49A-E990-4442-97A1-208559A14B9E}">
          <x14:formula1>
            <xm:f>Reductietechnieken!$B$7:$B$9</xm:f>
          </x14:formula1>
          <xm:sqref>H11</xm:sqref>
        </x14:dataValidation>
        <x14:dataValidation type="list" allowBlank="1" showInputMessage="1" showErrorMessage="1" errorTitle="Keuze onjuist" error="Vul dit in met ja of nee." xr:uid="{00000000-0002-0000-0200-000001000000}">
          <x14:formula1>
            <xm:f>Reductietechnieken!$B$32:$B$42</xm:f>
          </x14:formula1>
          <xm:sqref>L25</xm:sqref>
        </x14:dataValidation>
        <x14:dataValidation type="list" allowBlank="1" showInputMessage="1" showErrorMessage="1" errorTitle="Keuze onjuist" error="Vul dit in met ja of nee." xr:uid="{8B34BC77-4608-416B-876B-38677592872C}">
          <x14:formula1>
            <xm:f>Reductietechnieken!$C$56:$C$58</xm:f>
          </x14:formula1>
          <xm:sqref>H23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41E245-70B7-4CB2-BC60-76F41F14EAF2}">
  <sheetPr codeName="Sheet1"/>
  <dimension ref="A2:AW11"/>
  <sheetViews>
    <sheetView topLeftCell="AX1" workbookViewId="0">
      <selection activeCell="BK18" sqref="BK18"/>
    </sheetView>
  </sheetViews>
  <sheetFormatPr defaultRowHeight="13.2" x14ac:dyDescent="0.25"/>
  <cols>
    <col min="1" max="1" width="10.44140625" hidden="1" customWidth="1"/>
    <col min="2" max="2" width="59.44140625" hidden="1" customWidth="1"/>
    <col min="3" max="3" width="20.6640625" hidden="1" customWidth="1"/>
    <col min="4" max="49" width="9.109375" hidden="1" customWidth="1"/>
    <col min="50" max="50" width="9.109375" customWidth="1"/>
  </cols>
  <sheetData>
    <row r="2" spans="2:8" ht="15.6" x14ac:dyDescent="0.3">
      <c r="B2" s="286" t="s">
        <v>108</v>
      </c>
      <c r="C2" s="18" t="s">
        <v>217</v>
      </c>
    </row>
    <row r="3" spans="2:8" ht="15.6" x14ac:dyDescent="0.3">
      <c r="B3" s="46" t="s">
        <v>126</v>
      </c>
      <c r="C3" s="287">
        <v>0</v>
      </c>
      <c r="E3" s="18"/>
    </row>
    <row r="4" spans="2:8" ht="15.6" x14ac:dyDescent="0.3">
      <c r="B4" s="46" t="s">
        <v>212</v>
      </c>
      <c r="C4" s="287">
        <v>0.15</v>
      </c>
      <c r="H4" s="285"/>
    </row>
    <row r="5" spans="2:8" ht="15.6" x14ac:dyDescent="0.3">
      <c r="B5" s="288" t="s">
        <v>211</v>
      </c>
      <c r="C5" s="287">
        <v>0.3</v>
      </c>
    </row>
    <row r="6" spans="2:8" ht="15.6" x14ac:dyDescent="0.3">
      <c r="B6" s="288" t="s">
        <v>127</v>
      </c>
      <c r="C6" s="287">
        <v>0.2</v>
      </c>
    </row>
    <row r="7" spans="2:8" ht="15.6" x14ac:dyDescent="0.3">
      <c r="B7" s="288" t="s">
        <v>213</v>
      </c>
      <c r="C7" s="287">
        <f>20%+(1-20%)*15%</f>
        <v>0.32</v>
      </c>
    </row>
    <row r="8" spans="2:8" ht="15.6" x14ac:dyDescent="0.3">
      <c r="B8" s="288" t="s">
        <v>214</v>
      </c>
      <c r="C8" s="287">
        <v>0.31</v>
      </c>
    </row>
    <row r="9" spans="2:8" ht="15.6" x14ac:dyDescent="0.3">
      <c r="B9" s="288" t="s">
        <v>215</v>
      </c>
      <c r="C9" s="287">
        <v>0.45</v>
      </c>
    </row>
    <row r="10" spans="2:8" ht="15.6" x14ac:dyDescent="0.3">
      <c r="B10" s="288" t="s">
        <v>218</v>
      </c>
      <c r="C10" s="287">
        <v>0.5</v>
      </c>
    </row>
    <row r="11" spans="2:8" ht="15.6" x14ac:dyDescent="0.3">
      <c r="B11" s="288" t="s">
        <v>220</v>
      </c>
      <c r="C11" s="287">
        <v>0.5</v>
      </c>
    </row>
  </sheetData>
  <sheetProtection algorithmName="SHA-512" hashValue="OFKZeQuewYOkdz7isCF9G3hqMi7J1jc32M5JvHFmyWYJW4Ah+jMsD4D07Dp8Lk+msTmvBdSwEqTBUfxJgDNUPg==" saltValue="nu/WbW7cuSxHKg4NqJNaeA==" spinCount="100000" sheet="1" objects="1" scenarios="1"/>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2"/>
  <dimension ref="A1:AV117"/>
  <sheetViews>
    <sheetView topLeftCell="AE1" zoomScale="85" zoomScaleNormal="85" workbookViewId="0">
      <pane ySplit="15" topLeftCell="A40" activePane="bottomLeft" state="frozen"/>
      <selection activeCell="BK18" sqref="BK18"/>
      <selection pane="bottomLeft" activeCell="BB50" sqref="BB50"/>
    </sheetView>
  </sheetViews>
  <sheetFormatPr defaultColWidth="10.33203125" defaultRowHeight="13.2" x14ac:dyDescent="0.25"/>
  <cols>
    <col min="1" max="1" width="14.88671875" hidden="1" customWidth="1"/>
    <col min="2" max="3" width="14.88671875" style="1" hidden="1" customWidth="1"/>
    <col min="4" max="9" width="14.88671875" style="19" hidden="1" customWidth="1"/>
    <col min="10" max="12" width="14.88671875" style="1" hidden="1" customWidth="1"/>
    <col min="13" max="23" width="14.88671875" style="19" hidden="1" customWidth="1"/>
    <col min="24" max="25" width="14.88671875" style="1" hidden="1" customWidth="1"/>
    <col min="26" max="32" width="14.88671875" hidden="1" customWidth="1"/>
    <col min="33" max="33" width="14.88671875" style="1" hidden="1" customWidth="1"/>
    <col min="34" max="38" width="14.88671875" hidden="1" customWidth="1"/>
    <col min="39" max="39" width="14.88671875" style="1" hidden="1" customWidth="1"/>
    <col min="40" max="48" width="14.88671875" hidden="1" customWidth="1"/>
    <col min="49" max="50" width="14.88671875" customWidth="1"/>
    <col min="51" max="51" width="11" customWidth="1"/>
    <col min="52" max="52" width="10.33203125" customWidth="1"/>
  </cols>
  <sheetData>
    <row r="1" spans="1:47" x14ac:dyDescent="0.25">
      <c r="A1" s="29" t="s">
        <v>13</v>
      </c>
      <c r="I1" s="1" t="str">
        <f>LEGPLUIMVEE!$E$19</f>
        <v>KIES EEN CATEGORIE</v>
      </c>
      <c r="J1" s="66"/>
      <c r="Z1" s="205"/>
      <c r="AA1" s="205"/>
      <c r="AB1" s="205"/>
      <c r="AC1" s="205"/>
      <c r="AD1" s="205"/>
      <c r="AE1" s="205"/>
      <c r="AF1" s="205"/>
    </row>
    <row r="2" spans="1:47" x14ac:dyDescent="0.25">
      <c r="A2" s="43" t="s">
        <v>28</v>
      </c>
      <c r="I2" s="7">
        <f>'Max waarden'!$B$7</f>
        <v>8.01</v>
      </c>
      <c r="J2" s="12" t="s">
        <v>8</v>
      </c>
      <c r="Z2" s="205"/>
      <c r="AA2" s="205"/>
      <c r="AB2" s="205"/>
      <c r="AC2" s="205"/>
      <c r="AD2" s="205"/>
      <c r="AE2" s="205"/>
      <c r="AF2" s="205"/>
    </row>
    <row r="3" spans="1:47" x14ac:dyDescent="0.25">
      <c r="A3" s="18" t="s">
        <v>14</v>
      </c>
      <c r="H3" s="19">
        <v>2</v>
      </c>
      <c r="I3" s="310">
        <f>IF(LEGPLUIMVEE!H11="geen droogtunnel",0,IF(I4=42%,1.835,2))</f>
        <v>0</v>
      </c>
      <c r="J3" s="25" t="s">
        <v>8</v>
      </c>
      <c r="Z3" s="205"/>
      <c r="AA3" s="205"/>
      <c r="AB3" s="205"/>
      <c r="AC3" s="205"/>
      <c r="AD3" s="205"/>
      <c r="AE3" s="205"/>
      <c r="AF3" s="205"/>
      <c r="AJ3">
        <f>80%*45</f>
        <v>36</v>
      </c>
    </row>
    <row r="4" spans="1:47" x14ac:dyDescent="0.25">
      <c r="A4" s="18" t="s">
        <v>15</v>
      </c>
      <c r="H4" s="19">
        <v>0.77099999999999991</v>
      </c>
      <c r="I4" s="278">
        <f>IF(LEGPLUIMVEE!$H$11="droogtunnel (platen) 55%",77%,IF(LEGPLUIMVEE!$H$11="droogtunnel (banden) 30%",42.1%,0.001))</f>
        <v>1E-3</v>
      </c>
      <c r="L4" s="1">
        <f>I4*1000</f>
        <v>1</v>
      </c>
      <c r="M4" s="44" t="s">
        <v>29</v>
      </c>
      <c r="N4" s="44"/>
      <c r="O4" s="44"/>
      <c r="P4" s="44" t="s">
        <v>30</v>
      </c>
      <c r="Q4" s="44"/>
      <c r="R4" s="44"/>
      <c r="S4" s="44"/>
      <c r="T4" s="44"/>
      <c r="U4" s="281"/>
      <c r="V4" s="277"/>
      <c r="W4" s="44"/>
      <c r="Z4" s="205"/>
      <c r="AA4" s="205"/>
      <c r="AB4" s="205"/>
      <c r="AC4" s="205"/>
      <c r="AD4" s="205"/>
      <c r="AE4" s="205"/>
      <c r="AF4" s="205"/>
    </row>
    <row r="5" spans="1:47" x14ac:dyDescent="0.25">
      <c r="A5" s="18" t="s">
        <v>7</v>
      </c>
      <c r="H5" s="19">
        <v>2.35</v>
      </c>
      <c r="I5" s="84">
        <f>LEGPLUIMVEE!H14+LEGPLUIMVEE!F19</f>
        <v>0</v>
      </c>
      <c r="J5" s="4">
        <f>IF(LEGPLUIMVEE!$H$11="geen droogtunnel",LEGPLUIMVEE!D8,IF(LEGPLUIMVEE!$H$13="SERIE GESCHAKELD MET WARMTEWISSELAAR",LEGPLUIMVEE!D9,LEGPLUIMVEE!D10))</f>
        <v>0</v>
      </c>
      <c r="K5" s="25" t="s">
        <v>8</v>
      </c>
      <c r="L5" s="25"/>
      <c r="M5" s="45"/>
      <c r="N5" s="45"/>
      <c r="O5" s="45"/>
      <c r="P5" s="1"/>
      <c r="Q5" s="1"/>
      <c r="R5" s="1"/>
      <c r="S5" s="45" t="s">
        <v>34</v>
      </c>
      <c r="T5" s="45"/>
      <c r="U5" s="276"/>
      <c r="V5" s="276"/>
      <c r="W5" s="45"/>
      <c r="AA5" s="198"/>
      <c r="AB5" s="198"/>
      <c r="AC5" s="198"/>
      <c r="AD5" s="198"/>
      <c r="AE5" s="198"/>
      <c r="AF5" s="198"/>
    </row>
    <row r="6" spans="1:47" x14ac:dyDescent="0.25">
      <c r="A6" s="18" t="s">
        <v>5</v>
      </c>
      <c r="H6" s="19">
        <v>0.8</v>
      </c>
      <c r="I6" s="258">
        <f>IF(LEGPLUIMVEE!$H$15="geen warmtewisselaar",0.001,IF(LEGPLUIMVEE!$H$20="ja",95%,80%))</f>
        <v>1E-3</v>
      </c>
      <c r="J6" s="268" t="e">
        <f>J5/I5</f>
        <v>#DIV/0!</v>
      </c>
      <c r="K6" s="19"/>
      <c r="L6" s="19"/>
      <c r="M6" s="44" t="s">
        <v>32</v>
      </c>
      <c r="N6" s="44"/>
      <c r="O6" s="44"/>
      <c r="P6" s="44" t="s">
        <v>31</v>
      </c>
      <c r="Q6" s="44"/>
      <c r="R6" s="44"/>
      <c r="S6" s="44"/>
      <c r="T6" s="44"/>
      <c r="U6" s="44"/>
      <c r="V6" s="44"/>
      <c r="W6" s="44"/>
      <c r="X6" s="19"/>
      <c r="Y6" s="19"/>
      <c r="Z6" s="70"/>
      <c r="AB6" s="192"/>
      <c r="AC6" s="192"/>
      <c r="AD6" s="221" t="s">
        <v>188</v>
      </c>
      <c r="AE6" s="220" t="s">
        <v>189</v>
      </c>
      <c r="AF6" s="192"/>
      <c r="AH6" s="70"/>
    </row>
    <row r="7" spans="1:47" x14ac:dyDescent="0.25">
      <c r="A7" s="18" t="s">
        <v>166</v>
      </c>
      <c r="G7" s="69" t="s">
        <v>34</v>
      </c>
      <c r="H7" s="69">
        <v>5.65</v>
      </c>
      <c r="I7" s="311">
        <f>LEGPLUIMVEE!$F$25</f>
        <v>0</v>
      </c>
      <c r="J7" s="69"/>
      <c r="K7" s="19"/>
      <c r="L7" s="19"/>
      <c r="M7" s="44"/>
      <c r="N7" s="44"/>
      <c r="O7" s="44"/>
      <c r="P7" s="44"/>
      <c r="Q7" s="44"/>
      <c r="R7" s="44"/>
      <c r="S7" s="44"/>
      <c r="T7" s="44"/>
      <c r="U7" s="44"/>
      <c r="V7" s="44"/>
      <c r="W7" s="44"/>
      <c r="X7" s="19"/>
      <c r="Y7" s="19"/>
      <c r="Z7" s="70"/>
      <c r="AA7" s="198"/>
      <c r="AB7" s="198"/>
      <c r="AC7" s="198"/>
      <c r="AD7" s="198" t="s">
        <v>181</v>
      </c>
      <c r="AE7" s="198"/>
      <c r="AF7" s="198"/>
      <c r="AG7" s="44"/>
      <c r="AH7" s="70"/>
    </row>
    <row r="8" spans="1:47" x14ac:dyDescent="0.25">
      <c r="A8" s="18" t="s">
        <v>12</v>
      </c>
      <c r="H8" s="19">
        <v>0</v>
      </c>
      <c r="I8" s="26">
        <f>LEGPLUIMVEE!$E$28</f>
        <v>0</v>
      </c>
      <c r="J8" s="25" t="str">
        <f>LEGPLUIMVEE!$H$20</f>
        <v>NEE</v>
      </c>
      <c r="K8" s="1" t="s">
        <v>199</v>
      </c>
      <c r="U8" s="194"/>
      <c r="V8" s="194"/>
      <c r="W8" s="194"/>
      <c r="AA8" s="212"/>
      <c r="AB8" s="192"/>
      <c r="AC8" s="192"/>
      <c r="AD8" s="212" t="s">
        <v>178</v>
      </c>
      <c r="AE8" s="192"/>
      <c r="AF8" s="192"/>
    </row>
    <row r="9" spans="1:47" x14ac:dyDescent="0.25">
      <c r="A9" s="18" t="s">
        <v>152</v>
      </c>
      <c r="H9" s="19">
        <v>0</v>
      </c>
      <c r="I9" s="26">
        <v>0</v>
      </c>
      <c r="J9" s="1" t="str">
        <f>LEGPLUIMVEE!$L$9</f>
        <v>NEE</v>
      </c>
      <c r="K9" s="1" t="s">
        <v>182</v>
      </c>
      <c r="Z9" s="207"/>
      <c r="AA9" s="201"/>
      <c r="AB9" s="201"/>
      <c r="AC9" s="201"/>
      <c r="AD9" s="201" t="s">
        <v>179</v>
      </c>
      <c r="AE9" s="201"/>
      <c r="AF9" s="201"/>
    </row>
    <row r="10" spans="1:47" x14ac:dyDescent="0.25">
      <c r="A10" s="18" t="s">
        <v>168</v>
      </c>
      <c r="G10" s="171">
        <f>IF(LEGPLUIMVEE!$L$25="chemische wasser 35%",35%,
IF(LEGPLUIMVEE!$L$25="chemische wasser 70%",70%,
IF(LEGPLUIMVEE!$L$25="bio wasser 60%",60.01%,
IF(LEGPLUIMVEE!$L$25="bio wasser 75%",75.01%,
IF(LEGPLUIMVEE!$L$25="biofilter",80.01%,
IF(LEGPLUIMVEE!$L$25="waterluchtwassysteem",33.01%,
IF(LEGPLUIMVEE!$L$25="droogfilterwand",40.01%,
IF(LEGPLUIMVEE!$L$25="ionisatiefilter",57.01%,
IF(LEGPLUIMVEE!$L$25="luchtconditioneringsunit",IF(LEGPLUIMVEE!$M$26="Luchtconditioneringsunit niet combineren met techniek buiten stal","error",80.01%),
IF(LEGPLUIMVEE!$L$25="Luchtconditioneringsunit met chemische reinigingsstap",55%,0))))))))))</f>
        <v>0</v>
      </c>
      <c r="H10" s="171">
        <v>0</v>
      </c>
      <c r="I10" s="222">
        <f>ROUNDDOWN(IF(LEGPLUIMVEE!$H$13="SERIE GESCHAKELD MET WARMTEWISSELAAR",MIN(G10,AD74*G10),IF(LEGPLUIMVEE!$H$13="PARALLEL GESCHAKELD MET WARMTEWISSELAAR",MIN(G10,AE74*G10))),4)</f>
        <v>0</v>
      </c>
      <c r="J10" s="25" t="str">
        <f>LEGPLUIMVEE!$J$18</f>
        <v>NEE</v>
      </c>
      <c r="K10" s="1" t="s">
        <v>2</v>
      </c>
      <c r="N10" s="168"/>
      <c r="O10" s="121"/>
      <c r="P10" s="69" t="s">
        <v>34</v>
      </c>
      <c r="Q10" s="69" t="s">
        <v>34</v>
      </c>
      <c r="R10" s="69" t="s">
        <v>34</v>
      </c>
      <c r="S10" s="69" t="s">
        <v>34</v>
      </c>
      <c r="Y10" s="255"/>
      <c r="Z10" s="208"/>
      <c r="AA10" s="213"/>
      <c r="AB10" s="198"/>
      <c r="AC10" s="198"/>
      <c r="AD10" s="213" t="s">
        <v>180</v>
      </c>
      <c r="AE10" s="198"/>
      <c r="AF10" s="198"/>
    </row>
    <row r="11" spans="1:47" x14ac:dyDescent="0.25">
      <c r="A11" s="18"/>
      <c r="E11" s="69" t="s">
        <v>34</v>
      </c>
      <c r="F11" s="69" t="s">
        <v>183</v>
      </c>
      <c r="G11" s="217">
        <f>IF(LEGPLUIMVEE!$H$13="SERIE GESCHAKELD MET WARMTEWISSELAAR",IF(LEGPLUIMVEE!$H$20="nee",1.01,0.9),IF(LEGPLUIMVEE!$H$13="Parallel GESCHAKELD MET WARMTEWISSELAAR",IF(LEGPLUIMVEE!$H$20="nee",1,0.94)))</f>
        <v>1</v>
      </c>
      <c r="H11" s="69"/>
      <c r="I11" s="211"/>
      <c r="S11" s="173"/>
      <c r="T11" s="162"/>
      <c r="U11" s="162"/>
      <c r="V11" s="162"/>
      <c r="W11" s="162"/>
      <c r="Z11" s="208"/>
      <c r="AA11" s="18"/>
      <c r="AD11" s="18" t="s">
        <v>184</v>
      </c>
    </row>
    <row r="12" spans="1:47" x14ac:dyDescent="0.25">
      <c r="A12" s="18" t="s">
        <v>10</v>
      </c>
      <c r="E12" s="19" t="s">
        <v>34</v>
      </c>
      <c r="G12" s="19" t="s">
        <v>34</v>
      </c>
      <c r="I12" s="27">
        <f>Z74</f>
        <v>0</v>
      </c>
      <c r="J12" s="30" t="s">
        <v>19</v>
      </c>
      <c r="T12" s="14" t="str">
        <f>LEGPLUIMVEE!$H$23</f>
        <v>GEEN FILTER</v>
      </c>
      <c r="U12" s="272"/>
      <c r="V12" s="272"/>
      <c r="W12" s="272"/>
      <c r="Z12" s="208"/>
      <c r="AA12" s="18"/>
      <c r="AD12" s="18" t="s">
        <v>185</v>
      </c>
      <c r="AG12"/>
      <c r="AH12" s="1"/>
      <c r="AI12" s="27"/>
      <c r="AJ12" s="27"/>
      <c r="AL12" s="27"/>
      <c r="AM12" s="27"/>
      <c r="AN12" s="27"/>
    </row>
    <row r="13" spans="1:47" x14ac:dyDescent="0.25">
      <c r="A13" s="18"/>
      <c r="F13" s="254"/>
      <c r="G13" s="69" t="s">
        <v>34</v>
      </c>
      <c r="H13" s="69"/>
      <c r="I13" s="27">
        <f>AP74</f>
        <v>0</v>
      </c>
      <c r="J13" s="30" t="s">
        <v>18</v>
      </c>
      <c r="T13" s="26">
        <f>IF(LEGPLUIMVEE!$H$23="DROGE STOFFILTER 99%",95%,IF(LEGPLUIMVEE!$H$23="DROOGFILTERUNIT 40%",40%,0.0001%))</f>
        <v>9.9999999999999995E-7</v>
      </c>
      <c r="U13" s="26">
        <f>IF(LEGPLUIMVEE!$H$23="DROGE STOFFILTER 99%",IF(LEGPLUIMVEE!$H$13="parallel geschakeld met warmtewisselaar",94%,95%),IF(LEGPLUIMVEE!$H$23="DROOGFILTERUNIT 40%",40%,0%))</f>
        <v>0</v>
      </c>
      <c r="V13" s="26"/>
      <c r="W13" s="26"/>
      <c r="AA13" s="218"/>
      <c r="AB13" s="200"/>
      <c r="AC13" s="200"/>
      <c r="AD13" s="218" t="s">
        <v>186</v>
      </c>
      <c r="AE13" s="200"/>
      <c r="AF13" s="200"/>
      <c r="AG13"/>
      <c r="AH13" s="1"/>
      <c r="AI13" s="27"/>
      <c r="AJ13" s="27"/>
      <c r="AL13" s="27"/>
      <c r="AM13" s="27"/>
      <c r="AN13" s="27"/>
      <c r="AO13" s="27"/>
      <c r="AP13" s="30"/>
    </row>
    <row r="14" spans="1:47" x14ac:dyDescent="0.25">
      <c r="D14" s="19" t="str">
        <f>LEGPLUIMVEE!$H$13</f>
        <v>PARALLEL GESCHAKELD MET WARMTEWISSELAAR</v>
      </c>
      <c r="G14" s="69" t="s">
        <v>34</v>
      </c>
      <c r="H14" s="69" t="str">
        <f>LEGPLUIMVEE!$J$18</f>
        <v>NEE</v>
      </c>
      <c r="I14" s="269"/>
      <c r="M14" s="1"/>
      <c r="N14" s="1"/>
      <c r="O14" s="1"/>
      <c r="P14" s="1"/>
      <c r="Q14" s="1"/>
      <c r="R14" s="1"/>
      <c r="S14" s="1"/>
      <c r="T14" s="1"/>
      <c r="U14" s="259">
        <f>U74</f>
        <v>0</v>
      </c>
      <c r="V14" s="259"/>
      <c r="W14" s="259"/>
      <c r="X14" s="119"/>
      <c r="Y14" s="119"/>
      <c r="Z14" s="1"/>
      <c r="AA14" s="25"/>
      <c r="AB14" s="1"/>
      <c r="AC14" s="1"/>
      <c r="AD14" s="25" t="s">
        <v>187</v>
      </c>
      <c r="AE14" s="1"/>
      <c r="AF14" s="1"/>
      <c r="AH14" s="362" t="s">
        <v>153</v>
      </c>
      <c r="AI14" s="363"/>
      <c r="AJ14" s="363"/>
      <c r="AK14" s="363"/>
      <c r="AL14" s="363"/>
      <c r="AM14" s="363"/>
      <c r="AN14" s="363"/>
      <c r="AO14" s="363"/>
      <c r="AP14" s="364"/>
      <c r="AR14" s="2" t="s">
        <v>154</v>
      </c>
    </row>
    <row r="15" spans="1:47" ht="106.5" customHeight="1" x14ac:dyDescent="0.25">
      <c r="A15" s="28" t="s">
        <v>9</v>
      </c>
      <c r="B15" s="8" t="s">
        <v>1</v>
      </c>
      <c r="C15" s="9" t="s">
        <v>3</v>
      </c>
      <c r="D15" s="20" t="s">
        <v>11</v>
      </c>
      <c r="E15" s="20" t="s">
        <v>160</v>
      </c>
      <c r="F15" s="20" t="s">
        <v>161</v>
      </c>
      <c r="G15" s="257" t="s">
        <v>207</v>
      </c>
      <c r="H15" s="20" t="s">
        <v>169</v>
      </c>
      <c r="I15" s="20" t="s">
        <v>6</v>
      </c>
      <c r="J15" s="9" t="s">
        <v>4</v>
      </c>
      <c r="K15" s="10" t="s">
        <v>23</v>
      </c>
      <c r="L15" s="10" t="s">
        <v>170</v>
      </c>
      <c r="M15" s="10" t="s">
        <v>155</v>
      </c>
      <c r="N15" s="161" t="s">
        <v>163</v>
      </c>
      <c r="O15" s="161" t="s">
        <v>164</v>
      </c>
      <c r="P15" s="10" t="s">
        <v>162</v>
      </c>
      <c r="Q15" s="10" t="s">
        <v>190</v>
      </c>
      <c r="R15" s="10" t="s">
        <v>174</v>
      </c>
      <c r="S15" s="15" t="s">
        <v>203</v>
      </c>
      <c r="T15" s="15" t="s">
        <v>167</v>
      </c>
      <c r="U15" s="169" t="s">
        <v>204</v>
      </c>
      <c r="V15" s="169"/>
      <c r="W15" s="169"/>
      <c r="X15" s="10" t="s">
        <v>205</v>
      </c>
      <c r="Y15" s="176" t="s">
        <v>171</v>
      </c>
      <c r="Z15" s="10" t="s">
        <v>206</v>
      </c>
      <c r="AA15" s="10"/>
      <c r="AB15" s="10"/>
      <c r="AC15" s="10" t="s">
        <v>34</v>
      </c>
      <c r="AD15" s="10" t="s">
        <v>176</v>
      </c>
      <c r="AE15" s="10" t="s">
        <v>177</v>
      </c>
      <c r="AF15" s="10"/>
      <c r="AG15" s="10" t="s">
        <v>165</v>
      </c>
      <c r="AH15" s="31" t="s">
        <v>20</v>
      </c>
      <c r="AI15" s="32" t="s">
        <v>16</v>
      </c>
      <c r="AJ15" s="32" t="s">
        <v>24</v>
      </c>
      <c r="AK15" s="33" t="s">
        <v>21</v>
      </c>
      <c r="AL15" s="32" t="s">
        <v>17</v>
      </c>
      <c r="AM15" s="32" t="s">
        <v>25</v>
      </c>
      <c r="AN15" s="33" t="s">
        <v>22</v>
      </c>
      <c r="AO15" s="32" t="s">
        <v>26</v>
      </c>
      <c r="AP15" s="34" t="s">
        <v>27</v>
      </c>
      <c r="AR15" s="9" t="s">
        <v>156</v>
      </c>
      <c r="AS15" s="9" t="s">
        <v>17</v>
      </c>
      <c r="AT15" s="9" t="s">
        <v>16</v>
      </c>
      <c r="AU15" s="34" t="s">
        <v>27</v>
      </c>
    </row>
    <row r="16" spans="1:47" x14ac:dyDescent="0.25">
      <c r="A16" s="6">
        <v>-20</v>
      </c>
      <c r="B16" s="120">
        <v>6.7796610169491525E-2</v>
      </c>
      <c r="C16" s="307">
        <v>0.72007568238583919</v>
      </c>
      <c r="D16" s="308">
        <f>MIN(C16,J$5)</f>
        <v>0</v>
      </c>
      <c r="E16" s="309">
        <f>IF(I$3=0,0,IF(LEGPLUIMVEE!$H$13="parallel geschakeld met warmtewisselaar",0,MIN(I$3,C16)))</f>
        <v>0</v>
      </c>
      <c r="F16" s="21">
        <f>IF(I$3=0,0,IF(LEGPLUIMVEE!$H$13="serie geschakeld met warmtewisselaar",0,IF(C16&lt;$I$3,C16-D16,MIN($I$3,C16-D16))))</f>
        <v>0</v>
      </c>
      <c r="G16" s="21">
        <f>IF(C16&lt;$I$7,MAX(0,C16-D16-E16-F16,IF(LEGPLUIMVEE!$H$15="warmtewisselaar",IF(LEGPLUIMVEE!$H$13="serie geschakeld met warmtewisselaar",MIN(I$7,MAX(0,C16-D16-F16)),MIN(I$7,MAX(0,'legh WW+droogt'!C16-D16-E16-F16))))),IF(LEGPLUIMVEE!$H$13="parallel geschakeld met warmtewisselaar",MIN(I$7,C16-D16-E16-F16,MIN(I$7,C16-E16-F16)),MIN(I$7,MAX(0,C16-D16-F16))))</f>
        <v>0</v>
      </c>
      <c r="H16" s="21">
        <f>IF(LEGPLUIMVEE!$H$13="parallel geschakeld met warmtewisselaar",IF(LEGPLUIMVEE!$L$9="nee",IF(LEGPLUIMVEE!$J$18="ja",C16-F16-G16,C16-D16-F16-G16),IF(LEGPLUIMVEE!$L$9="ja",IF(LEGPLUIMVEE!$J$18="ja",C16-G16,IF(LEGPLUIMVEE!$J$18="nee",C16-D16-G16)))),IF(LEGPLUIMVEE!$H$13="serie geschakeld met warmtewisselaar",IF(LEGPLUIMVEE!$J$18="ja",C16-G16,C16-D16-F16-G16),C16-D16-F16-G16))</f>
        <v>0.72007568238583919</v>
      </c>
      <c r="I16" s="121">
        <f>IF(C16-D16-E16&lt;0, 0, C16-D16-E16)</f>
        <v>0.72007568238583919</v>
      </c>
      <c r="J16" s="122">
        <v>4.3182999999999998</v>
      </c>
      <c r="K16" s="275">
        <f>(J16/1000)*B16*C16</f>
        <v>2.1081375045740809E-4</v>
      </c>
      <c r="L16" s="164">
        <f>SUM(K$16:K16)/$K$73</f>
        <v>3.4402555344110928E-6</v>
      </c>
      <c r="M16" s="22">
        <f>(((($J16/1000)*(1-$I$8))*$B16*$C16))</f>
        <v>2.1081375045740809E-4</v>
      </c>
      <c r="N16" s="162">
        <f t="shared" ref="N16:N54" si="0">(((($K16)*(1-($I$6*(D16)/C16)))))</f>
        <v>2.1081375045740809E-4</v>
      </c>
      <c r="O16" s="305">
        <f>IF(E16&lt;I$3,P16*(1-I$6*D16/C16),IF(LEGPLUIMVEE!$H$11="droogtunnel (platen) 55%",((K16-P16)/I$4-(K16-P16))*(1-I$6)+K16-(K16-P16)/I$4-IF(D16&gt;E16,(D16-E16)/C16*(K16-P16)),P16*(1-$I$6)+(C16-D16)/C16*(K16-P16*(1-I$6))))</f>
        <v>2.1081375045740809E-4</v>
      </c>
      <c r="P16" s="275">
        <f>IF(E16=0,K16,K16-K16*I$4*E16/C16)</f>
        <v>2.1081375045740809E-4</v>
      </c>
      <c r="Q16" s="181">
        <f t="shared" ref="Q16:Q25" si="1">P16/K16</f>
        <v>1</v>
      </c>
      <c r="R16" s="184">
        <f>O16/K16</f>
        <v>1</v>
      </c>
      <c r="S16" s="166">
        <f t="shared" ref="S16:S41" si="2">IF(F16=0,K16,K16-K16*I$4*F16/C16)</f>
        <v>2.1081375045740809E-4</v>
      </c>
      <c r="T16" s="166">
        <f>K16-(G16/C16)*K16*T$13</f>
        <v>2.1081375045740809E-4</v>
      </c>
      <c r="U16" s="283">
        <f>IF(G16&lt;0.1,K16,IF(C16=F16,S16/(1-I$4),IF(I$3=0,K16-(G16/C16)*K16*U$13,IF(LEGPLUIMVEE!$H$13="Parallel geschakeld met warmtewisselaar",K16-(K16-(K16-S16)/I$4)*(G16/(C16-F16))*U$13,IF(LEGPLUIMVEE!$H$20="ja",K16-(K16-(K16-P16)/I$4)*(G16/(C16-MIN(D16,I$5)))*U$13,K16-(K16-(K16-P16)/I$4)*(G16/(C16-MIN(D15,I$5)))*U$13)))))</f>
        <v>2.1081375045740809E-4</v>
      </c>
      <c r="V16" s="278">
        <f>U16/O16</f>
        <v>1</v>
      </c>
      <c r="W16" s="273">
        <f t="shared" ref="W16:W47" si="3">(K16-O16)*95%</f>
        <v>0</v>
      </c>
      <c r="X16" s="22">
        <f t="shared" ref="X16:X47" si="4">(((($J16/1000)*(1-$I$8))*$B16*$I16)*(1-$I$9))+(((($J16/1000)*(1-$I$8))*$B16*$D16)*(1-$I$6))+(((($J16/1000)*(1-$I$8))*$B16*$E16)*(1-$I$4))</f>
        <v>2.1081375045740809E-4</v>
      </c>
      <c r="Y16" s="177">
        <f t="shared" ref="Y16:Y38" si="5">(((($J16/1000))*$B16*$D16)*(1-$I$6))+(((($J16/1000))*$B16*$E16)*(1-$I$4))</f>
        <v>0</v>
      </c>
      <c r="Z16" s="163">
        <f t="shared" ref="Z16:Z47" si="6">K16-(C16-G16)/C16*K16*$I$10</f>
        <v>2.1081375045740809E-4</v>
      </c>
      <c r="AA16" s="306"/>
      <c r="AB16" s="306"/>
      <c r="AC16" s="306"/>
      <c r="AD16" s="219">
        <f>IF(H16&lt;0.02,0,IF(LEGPLUIMVEE!$H$11="geen droogtunnel",IF(LEGPLUIMVEE!$H$15="geen warmtewisselaar",(P16-(K16-T16)/T$13),K16-(K16-O16)/I$6-(K16-T16)/95%)+IF(LEGPLUIMVEE!$J$18="ja",(K16-O16)*(1-I$6)),IF(LEGPLUIMVEE!$H$12&gt;=0,IF(LEGPLUIMVEE!$L$9="ja",IF(LEGPLUIMVEE!$J$18="ja",IF(LEGPLUIMVEE!$H$20="ja",O16-(K16-U16),IF(LEGPLUIMVEE!$H$20="nee",(O16-(K16-U16)),(O16-(K16-U16)))),IF(LEGPLUIMVEE!$J$18="nee",IF(LEGPLUIMVEE!$H$20="nee",O16-(K16-U16)/81%,O16-(K16-U16)))),IF(LEGPLUIMVEE!$L$9="nee",IF(LEGPLUIMVEE!$J$18="nee",IF(LEGPLUIMVEE!$H$20="nee",O16-(K16-U16)/95%,O16-(K16-U16)),IF(LEGPLUIMVEE!$H$20="nee",IF(LEGPLUIMVEE!$J$18="ja",IF(LEGPLUIMVEE!$L$9="nee",O16-(K16-U16))),O16-(K16-U16))))))))</f>
        <v>2.1081375045740809E-4</v>
      </c>
      <c r="AE16" s="239">
        <f>IF(H16&lt;0.02,0,IF(LEGPLUIMVEE!$H$11="geen droogtunnel",IF(LEGPLUIMVEE!$H$15="geen warmtewisselaar",(K16-(K16-T16)/T$13),K16-(K16-N16)/I$6-((K16-T16)/95%))+IF(LEGPLUIMVEE!$J$18="ja",(K16-O16)*(1-I$6)),IF(LEGPLUIMVEE!$H$12&gt;=0,IF(LEGPLUIMVEE!$L$9="ja",IF(LEGPLUIMVEE!$J$18="ja",IF(LEGPLUIMVEE!$H$20="ja",S16-(K16-N16)-(K16-U16),IF(LEGPLUIMVEE!$H$20="nee",(S16-(K16-N16)-(K16-U16)),(O16-(K16-U16)))),IF(LEGPLUIMVEE!$J$18="nee",IF(LEGPLUIMVEE!$H$20="nee",S16*$N$72-(K16-N16)-(K16-U16),S16-(K16-N16)-(K16-U16)))),IF(LEGPLUIMVEE!$L$9="nee",IF(LEGPLUIMVEE!$J$18="nee",IF(LEGPLUIMVEE!$H$20="nee",(N16-(K16-S16)/I$4-(K16-U16)),N16-(K16-S16)/I$4-(K16-U16)),IF(LEGPLUIMVEE!$H$20="nee",IF(LEGPLUIMVEE!$J$18="ja",IF(LEGPLUIMVEE!$L$9="nee",N16-(K16-S16)/I$4-(K16-U16))),N16-(K16-S16)/I$4-(K16-U16))))))))</f>
        <v>2.1081375045740809E-4</v>
      </c>
      <c r="AF16" s="219"/>
      <c r="AG16" s="164">
        <f t="shared" ref="AG16:AG47" si="7">S16/K16</f>
        <v>1</v>
      </c>
      <c r="AH16" s="35">
        <f t="shared" ref="AH16:AH47" si="8">IF((D16+E16)&lt;$I$3,D16+E16,$I$3)</f>
        <v>0</v>
      </c>
      <c r="AI16" s="36">
        <f t="shared" ref="AI16:AI47" si="9">IF($I$3&gt;0,(J16*(1-$I$8)*(1-$I$4)),(J16*(1-$I$8)))</f>
        <v>4.3182999999999998</v>
      </c>
      <c r="AJ16" s="36">
        <f t="shared" ref="AJ16:AJ47" si="10">($AI16/1000)*$B16*$AH16</f>
        <v>0</v>
      </c>
      <c r="AK16" s="37">
        <f t="shared" ref="AK16:AK47" si="11">D16</f>
        <v>0</v>
      </c>
      <c r="AL16" s="36">
        <f>IF($I$5&gt;0,AI16*(1-$I$6),AI16)</f>
        <v>4.3182999999999998</v>
      </c>
      <c r="AM16" s="36">
        <f t="shared" ref="AM16:AM47" si="12">(AL16/1000)*B16*AK16</f>
        <v>0</v>
      </c>
      <c r="AN16" s="37">
        <f t="shared" ref="AN16:AN47" si="13">IF($I$3&gt;$I$5,C16-AH16,C16-AK16)</f>
        <v>0.72007568238583919</v>
      </c>
      <c r="AO16" s="36">
        <f t="shared" ref="AO16:AO47" si="14">((($J16/1000)*(1-$I$8))*$B16*$AN16)*(1-$I$9)</f>
        <v>2.1081375045740809E-4</v>
      </c>
      <c r="AP16" s="38">
        <f t="shared" ref="AP16:AP47" si="15">(IF(AH16&lt;$I$5,AM16+AO16,AM16+AO16+((AH16-AK16)*B16*(AI16/1000))))*(1-$I$10)</f>
        <v>2.1081375045740809E-4</v>
      </c>
      <c r="AR16" s="123">
        <f t="shared" ref="AR16:AR47" si="16">J16*(1-$I$8)</f>
        <v>4.3182999999999998</v>
      </c>
      <c r="AS16" s="123">
        <f t="shared" ref="AS16:AS47" si="17">$AR16*(1-$I$6)</f>
        <v>4.3139816999999994</v>
      </c>
      <c r="AT16" s="123">
        <f t="shared" ref="AT16:AT47" si="18">$AR16*(1-$I$4)</f>
        <v>4.3139816999999994</v>
      </c>
      <c r="AU16" s="123">
        <f t="shared" ref="AU16:AU47" si="19">(($AS16/1000)*(1-$I$10)*$D16*$B16)+(($AT16/1000)*(1-$I$10)*$E16*$B16)+(($AR16/1000)*(1-$I$10)*$I16*$B16)</f>
        <v>2.1081375045740807E-4</v>
      </c>
    </row>
    <row r="17" spans="1:47" x14ac:dyDescent="0.25">
      <c r="A17" s="6">
        <v>-19</v>
      </c>
      <c r="B17" s="3">
        <v>8.4745762711864403E-2</v>
      </c>
      <c r="C17" s="5">
        <v>0.75231590404932636</v>
      </c>
      <c r="D17" s="174">
        <f t="shared" ref="D17:D69" si="20">MIN(C17,J$5)</f>
        <v>0</v>
      </c>
      <c r="E17" s="21">
        <f>IF(I$3=0,0,IF(LEGPLUIMVEE!$H$13="parallel geschakeld met warmtewisselaar",0,MIN(I$3,C17)))</f>
        <v>0</v>
      </c>
      <c r="F17" s="21">
        <f>IF(I$3=0,0,IF(LEGPLUIMVEE!$H$13="serie geschakeld met warmtewisselaar",0,IF(C17&lt;$I$3,C17-D17,MIN($I$3,C17-D17))))</f>
        <v>0</v>
      </c>
      <c r="G17" s="21">
        <f>IF(C17&lt;$I$7,MAX(0,C17-D17-E17-F17,IF(LEGPLUIMVEE!$H$15="warmtewisselaar",IF(LEGPLUIMVEE!$H$13="serie geschakeld met warmtewisselaar",MIN(I$7,MAX(0,C17-D17-F17)),MIN(I$7,MAX(0,'legh WW+droogt'!C17-D17-E17-F17))))),IF(LEGPLUIMVEE!$H$13="parallel geschakeld met warmtewisselaar",MIN(I$7,C17-D17-E17-F17,MIN(I$7,C17-E17-F17)),MIN(I$7,MAX(0,C17-D17-F17))))</f>
        <v>0</v>
      </c>
      <c r="H17" s="21">
        <f>IF(LEGPLUIMVEE!$H$13="parallel geschakeld met warmtewisselaar",IF(LEGPLUIMVEE!$L$9="nee",IF(LEGPLUIMVEE!$J$18="ja",C17-F17-G17,C17-D17-F17-G17),IF(LEGPLUIMVEE!$L$9="ja",IF(LEGPLUIMVEE!$J$18="ja",C17-G17,IF(LEGPLUIMVEE!$J$18="nee",C17-D17-G17)))),IF(LEGPLUIMVEE!$H$13="serie geschakeld met warmtewisselaar",IF(LEGPLUIMVEE!$J$18="ja",C17-G17,C17-D17-F17-G17),C17-D17-F17-G17))</f>
        <v>0.75231590404932636</v>
      </c>
      <c r="I17" s="121">
        <f t="shared" ref="I17:I71" si="21">IF(C17-D17-E17&lt;0, 0, C17-D17-E17)</f>
        <v>0.75231590404932636</v>
      </c>
      <c r="J17" s="122">
        <v>4.2641999999999998</v>
      </c>
      <c r="K17" s="163">
        <f t="shared" ref="K17:K71" si="22">(J17/1000)*B17*C17</f>
        <v>2.7186656593619808E-4</v>
      </c>
      <c r="L17" s="164">
        <f>SUM(K$16:K17)/$K$73</f>
        <v>7.8768278929693916E-6</v>
      </c>
      <c r="M17" s="22">
        <f t="shared" ref="M17:M71" si="23">(((($J17/1000)*(1-$I$8))*$B17*$C17))</f>
        <v>2.7186656593619808E-4</v>
      </c>
      <c r="N17" s="22">
        <f t="shared" si="0"/>
        <v>2.7186656593619808E-4</v>
      </c>
      <c r="O17" s="237">
        <f>IF(E17&lt;I$3,P17*(1-I$6*D17/C17),IF(LEGPLUIMVEE!$H$11="droogtunnel (platen) 55%",((K17-P17)/I$4-(K17-P17))*(1-I$6)+K17-(K17-P17)/I$4-IF(D17&gt;E17,(D17-E17)/C17*(K17-P17)),P17*(1-$I$6)+(C17-D17)/C17*(K17-P17*(1-I$6))))</f>
        <v>2.7186656593619808E-4</v>
      </c>
      <c r="P17" s="162">
        <f t="shared" ref="P17:P70" si="24">IF(E17=0,K17,K17-K17*I$4*E17/C17)</f>
        <v>2.7186656593619808E-4</v>
      </c>
      <c r="Q17" s="181">
        <f t="shared" si="1"/>
        <v>1</v>
      </c>
      <c r="R17" s="184">
        <f t="shared" ref="R17:R71" si="25">O17/K17</f>
        <v>1</v>
      </c>
      <c r="S17" s="166">
        <f t="shared" si="2"/>
        <v>2.7186656593619808E-4</v>
      </c>
      <c r="T17" s="166">
        <f t="shared" ref="T17:T71" si="26">K17-(G17/C17)*K17*T$13</f>
        <v>2.7186656593619808E-4</v>
      </c>
      <c r="U17" s="283">
        <f>IF(G17&lt;0.1,K17,IF(C17=F17,S17/(1-I$4),IF(I$3=0,K17-(G17/C17)*K17*U$13,IF(LEGPLUIMVEE!$H$13="Parallel geschakeld met warmtewisselaar",K17-(K17-(K17-S17)/I$4)*(G17/(C17-F17))*U$13,IF(LEGPLUIMVEE!$H$20="ja",K17-(K17-(K17-P17)/I$4)*(G17/(C17-MIN(D17,I$5)))*U$13,K17-(K17-(K17-P17)/I$4)*(G17/(C17-MIN(D16,I$5)))*U$13)))))</f>
        <v>2.7186656593619808E-4</v>
      </c>
      <c r="V17" s="278">
        <f t="shared" ref="V17:V33" si="27">U17/O17</f>
        <v>1</v>
      </c>
      <c r="W17" s="273">
        <f t="shared" si="3"/>
        <v>0</v>
      </c>
      <c r="X17" s="22">
        <f t="shared" si="4"/>
        <v>2.7186656593619808E-4</v>
      </c>
      <c r="Y17" s="177">
        <f t="shared" si="5"/>
        <v>0</v>
      </c>
      <c r="Z17" s="163">
        <f t="shared" si="6"/>
        <v>2.7186656593619808E-4</v>
      </c>
      <c r="AA17" s="306"/>
      <c r="AB17" s="306"/>
      <c r="AC17" s="306"/>
      <c r="AD17" s="219">
        <f>IF(H17&lt;0.02,0,IF(LEGPLUIMVEE!$H$11="geen droogtunnel",IF(LEGPLUIMVEE!$H$15="geen warmtewisselaar",(P17-(K17-T17)/T$13),K17-(K17-O17)/I$6-(K17-T17)/95%)+IF(LEGPLUIMVEE!$J$18="ja",(K17-O17)*(1-I$6)),IF(LEGPLUIMVEE!$H$12&gt;=0,IF(LEGPLUIMVEE!$L$9="ja",IF(LEGPLUIMVEE!$J$18="ja",IF(LEGPLUIMVEE!$H$20="ja",O17-(K17-U17),IF(LEGPLUIMVEE!$H$20="nee",(O17-(K17-U17)),(O17-(K17-U17)))),IF(LEGPLUIMVEE!$J$18="nee",IF(LEGPLUIMVEE!$H$20="nee",O17-(K17-U17)/81%,O17-(K17-U17)))),IF(LEGPLUIMVEE!$L$9="nee",IF(LEGPLUIMVEE!$J$18="nee",IF(LEGPLUIMVEE!$H$20="nee",O17-(K17-U17)/95%,O17-(K17-U17)),IF(LEGPLUIMVEE!$H$20="nee",IF(LEGPLUIMVEE!$J$18="ja",IF(LEGPLUIMVEE!$L$9="nee",O17-(K17-U17))),O17-(K17-U17))))))))</f>
        <v>2.7186656593619808E-4</v>
      </c>
      <c r="AE17" s="239">
        <f>IF(H17&lt;0.02,0,IF(LEGPLUIMVEE!$H$11="geen droogtunnel",IF(LEGPLUIMVEE!$H$15="geen warmtewisselaar",(K17-(K17-T17)/T$13),K17-(K17-N17)/I$6-((K17-T17)/95%))+IF(LEGPLUIMVEE!$J$18="ja",(K17-O17)*(1-I$6)),IF(LEGPLUIMVEE!$H$12&gt;=0,IF(LEGPLUIMVEE!$L$9="ja",IF(LEGPLUIMVEE!$J$18="ja",IF(LEGPLUIMVEE!$H$20="ja",S17-(K17-N17)-(K17-U17),IF(LEGPLUIMVEE!$H$20="nee",(S17-(K17-N17)-(K17-U17)),(O17-(K17-U17)))),IF(LEGPLUIMVEE!$J$18="nee",IF(LEGPLUIMVEE!$H$20="nee",S17*$N$72-(K17-N17)-(K17-U17),S17-(K17-N17)-(K17-U17)))),IF(LEGPLUIMVEE!$L$9="nee",IF(LEGPLUIMVEE!$J$18="nee",IF(LEGPLUIMVEE!$H$20="nee",(N17-(K17-S17)/I$4-(K17-U17)),N17-(K17-S17)/I$4-(K17-U17)),IF(LEGPLUIMVEE!$H$20="nee",IF(LEGPLUIMVEE!$J$18="ja",IF(LEGPLUIMVEE!$L$9="nee",N17-(K17-S17)/I$4-(K17-U17))),N17-(K17-S17)/I$4-(K17-U17))))))))</f>
        <v>2.7186656593619808E-4</v>
      </c>
      <c r="AF17" s="219"/>
      <c r="AG17" s="164">
        <f t="shared" si="7"/>
        <v>1</v>
      </c>
      <c r="AH17" s="35">
        <f t="shared" si="8"/>
        <v>0</v>
      </c>
      <c r="AI17" s="36">
        <f t="shared" si="9"/>
        <v>4.2641999999999998</v>
      </c>
      <c r="AJ17" s="36">
        <f t="shared" si="10"/>
        <v>0</v>
      </c>
      <c r="AK17" s="37">
        <f t="shared" si="11"/>
        <v>0</v>
      </c>
      <c r="AL17" s="36">
        <f t="shared" ref="AL17:AL71" si="28">IF($I$5&gt;0,AI17*(1-$I$6),AI17)</f>
        <v>4.2641999999999998</v>
      </c>
      <c r="AM17" s="36">
        <f t="shared" si="12"/>
        <v>0</v>
      </c>
      <c r="AN17" s="37">
        <f t="shared" si="13"/>
        <v>0.75231590404932636</v>
      </c>
      <c r="AO17" s="36">
        <f t="shared" si="14"/>
        <v>2.7186656593619808E-4</v>
      </c>
      <c r="AP17" s="38">
        <f t="shared" si="15"/>
        <v>2.7186656593619808E-4</v>
      </c>
      <c r="AR17" s="123">
        <f t="shared" si="16"/>
        <v>4.2641999999999998</v>
      </c>
      <c r="AS17" s="123">
        <f t="shared" si="17"/>
        <v>4.2599358000000001</v>
      </c>
      <c r="AT17" s="123">
        <f t="shared" si="18"/>
        <v>4.2599358000000001</v>
      </c>
      <c r="AU17" s="123">
        <f t="shared" si="19"/>
        <v>2.7186656593619808E-4</v>
      </c>
    </row>
    <row r="18" spans="1:47" x14ac:dyDescent="0.25">
      <c r="A18" s="6">
        <v>-18</v>
      </c>
      <c r="B18" s="3">
        <v>8.4745762711864403E-2</v>
      </c>
      <c r="C18" s="5">
        <v>0.78599962938657564</v>
      </c>
      <c r="D18" s="21">
        <f t="shared" si="20"/>
        <v>0</v>
      </c>
      <c r="E18" s="21">
        <f>IF(I$3=0,0,IF(LEGPLUIMVEE!$H$13="parallel geschakeld met warmtewisselaar",0,MIN(I$3,C18)))</f>
        <v>0</v>
      </c>
      <c r="F18" s="21">
        <f>IF(I$3=0,0,IF(LEGPLUIMVEE!$H$13="serie geschakeld met warmtewisselaar",0,IF(C18&lt;$I$3,C18-D18,MIN($I$3,C18-D18))))</f>
        <v>0</v>
      </c>
      <c r="G18" s="21">
        <f>IF(C18&lt;$I$7,MAX(0,C18-D18-E18-F18,IF(LEGPLUIMVEE!$H$15="warmtewisselaar",IF(LEGPLUIMVEE!$H$13="serie geschakeld met warmtewisselaar",MIN(I$7,MAX(0,C18-D18-F18)),MIN(I$7,MAX(0,'legh WW+droogt'!C18-D18-E18-F18))))),IF(LEGPLUIMVEE!$H$13="parallel geschakeld met warmtewisselaar",MIN(I$7,C18-D18-E18-F18,MIN(I$7,C18-E18-F18)),MIN(I$7,MAX(0,C18-D18-F18))))</f>
        <v>0</v>
      </c>
      <c r="H18" s="21">
        <f>IF(LEGPLUIMVEE!$H$13="parallel geschakeld met warmtewisselaar",IF(LEGPLUIMVEE!$L$9="nee",IF(LEGPLUIMVEE!$J$18="ja",C18-F18-G18,C18-D18-F18-G18),IF(LEGPLUIMVEE!$L$9="ja",IF(LEGPLUIMVEE!$J$18="ja",C18-G18,IF(LEGPLUIMVEE!$J$18="nee",C18-D18-G18)))),IF(LEGPLUIMVEE!$H$13="serie geschakeld met warmtewisselaar",IF(LEGPLUIMVEE!$J$18="ja",C18-G18,C18-D18-F18-G18),C18-D18-F18-G18))</f>
        <v>0.78599962938657564</v>
      </c>
      <c r="I18" s="121">
        <f t="shared" si="21"/>
        <v>0.78599962938657564</v>
      </c>
      <c r="J18" s="122">
        <v>4.2100999999999997</v>
      </c>
      <c r="K18" s="163">
        <f t="shared" si="22"/>
        <v>2.8043534234579841E-4</v>
      </c>
      <c r="L18" s="164">
        <f>SUM(K$16:K18)/$K$73</f>
        <v>1.2453233542298801E-5</v>
      </c>
      <c r="M18" s="22">
        <f t="shared" si="23"/>
        <v>2.8043534234579841E-4</v>
      </c>
      <c r="N18" s="22">
        <f t="shared" si="0"/>
        <v>2.8043534234579841E-4</v>
      </c>
      <c r="O18" s="237">
        <f>IF(E18&lt;I$3,P18*(1-I$6*D18/C18),IF(LEGPLUIMVEE!$H$11="droogtunnel (platen) 55%",((K18-P18)/I$4-(K18-P18))*(1-I$6)+K18-(K18-P18)/I$4-IF(D18&gt;E18,(D18-E18)/C18*(K18-P18)),P18*(1-$I$6)+(C18-D18)/C18*(K18-P18*(1-I$6))))</f>
        <v>2.8043534234579841E-4</v>
      </c>
      <c r="P18" s="162">
        <f t="shared" si="24"/>
        <v>2.8043534234579841E-4</v>
      </c>
      <c r="Q18" s="181">
        <f t="shared" si="1"/>
        <v>1</v>
      </c>
      <c r="R18" s="184">
        <f t="shared" si="25"/>
        <v>1</v>
      </c>
      <c r="S18" s="166">
        <f t="shared" si="2"/>
        <v>2.8043534234579841E-4</v>
      </c>
      <c r="T18" s="166">
        <f t="shared" si="26"/>
        <v>2.8043534234579841E-4</v>
      </c>
      <c r="U18" s="283">
        <f>IF(G18&lt;0.1,K18,IF(C18=F18,S18/(1-I$4),IF(I$3=0,K18-(G18/C18)*K18*U$13,IF(LEGPLUIMVEE!$H$13="Parallel geschakeld met warmtewisselaar",K18-(K18-(K18-S18)/I$4)*(G18/(C18-F18))*U$13,IF(LEGPLUIMVEE!$H$20="ja",K18-(K18-(K18-P18)/I$4)*(G18/(C18-MIN(D18,I$5)))*U$13,K18-(K18-(K18-P18)/I$4)*(G18/(C18-MIN(D17,I$5)))*U$13)))))</f>
        <v>2.8043534234579841E-4</v>
      </c>
      <c r="V18" s="278">
        <f t="shared" si="27"/>
        <v>1</v>
      </c>
      <c r="W18" s="273">
        <f t="shared" si="3"/>
        <v>0</v>
      </c>
      <c r="X18" s="22">
        <f t="shared" si="4"/>
        <v>2.8043534234579841E-4</v>
      </c>
      <c r="Y18" s="177">
        <f t="shared" si="5"/>
        <v>0</v>
      </c>
      <c r="Z18" s="163">
        <f t="shared" si="6"/>
        <v>2.8043534234579841E-4</v>
      </c>
      <c r="AA18" s="306"/>
      <c r="AB18" s="306"/>
      <c r="AC18" s="306"/>
      <c r="AD18" s="219">
        <f>IF(H18&lt;0.02,0,IF(LEGPLUIMVEE!$H$11="geen droogtunnel",IF(LEGPLUIMVEE!$H$15="geen warmtewisselaar",(P18-(K18-T18)/T$13),K18-(K18-O18)/I$6-(K18-T18)/95%)+IF(LEGPLUIMVEE!$J$18="ja",(K18-O18)*(1-I$6)),IF(LEGPLUIMVEE!$H$12&gt;=0,IF(LEGPLUIMVEE!$L$9="ja",IF(LEGPLUIMVEE!$J$18="ja",IF(LEGPLUIMVEE!$H$20="ja",O18-(K18-U18),IF(LEGPLUIMVEE!$H$20="nee",(O18-(K18-U18)),(O18-(K18-U18)))),IF(LEGPLUIMVEE!$J$18="nee",IF(LEGPLUIMVEE!$H$20="nee",O18-(K18-U18)/81%,O18-(K18-U18)))),IF(LEGPLUIMVEE!$L$9="nee",IF(LEGPLUIMVEE!$J$18="nee",IF(LEGPLUIMVEE!$H$20="nee",O18-(K18-U18)/95%,O18-(K18-U18)),IF(LEGPLUIMVEE!$H$20="nee",IF(LEGPLUIMVEE!$J$18="ja",IF(LEGPLUIMVEE!$L$9="nee",O18-(K18-U18))),O18-(K18-U18))))))))</f>
        <v>2.8043534234579841E-4</v>
      </c>
      <c r="AE18" s="239">
        <f>IF(H18&lt;0.02,0,IF(LEGPLUIMVEE!$H$11="geen droogtunnel",IF(LEGPLUIMVEE!$H$15="geen warmtewisselaar",(K18-(K18-T18)/T$13),K18-(K18-N18)/I$6-((K18-T18)/95%))+IF(LEGPLUIMVEE!$J$18="ja",(K18-O18)*(1-I$6)),IF(LEGPLUIMVEE!$H$12&gt;=0,IF(LEGPLUIMVEE!$L$9="ja",IF(LEGPLUIMVEE!$J$18="ja",IF(LEGPLUIMVEE!$H$20="ja",S18-(K18-N18)-(K18-U18),IF(LEGPLUIMVEE!$H$20="nee",(S18-(K18-N18)-(K18-U18)),(O18-(K18-U18)))),IF(LEGPLUIMVEE!$J$18="nee",IF(LEGPLUIMVEE!$H$20="nee",S18*$N$72-(K18-N18)-(K18-U18),S18-(K18-N18)-(K18-U18)))),IF(LEGPLUIMVEE!$L$9="nee",IF(LEGPLUIMVEE!$J$18="nee",IF(LEGPLUIMVEE!$H$20="nee",(N18-(K18-S18)/I$4-(K18-U18)),N18-(K18-S18)/I$4-(K18-U18)),IF(LEGPLUIMVEE!$H$20="nee",IF(LEGPLUIMVEE!$J$18="ja",IF(LEGPLUIMVEE!$L$9="nee",N18-(K18-S18)/I$4-(K18-U18))),N18-(K18-S18)/I$4-(K18-U18))))))))</f>
        <v>2.8043534234579841E-4</v>
      </c>
      <c r="AF18" s="219"/>
      <c r="AG18" s="164">
        <f t="shared" si="7"/>
        <v>1</v>
      </c>
      <c r="AH18" s="35">
        <f t="shared" si="8"/>
        <v>0</v>
      </c>
      <c r="AI18" s="36">
        <f t="shared" si="9"/>
        <v>4.2100999999999997</v>
      </c>
      <c r="AJ18" s="36">
        <f t="shared" si="10"/>
        <v>0</v>
      </c>
      <c r="AK18" s="37">
        <f t="shared" si="11"/>
        <v>0</v>
      </c>
      <c r="AL18" s="36">
        <f t="shared" si="28"/>
        <v>4.2100999999999997</v>
      </c>
      <c r="AM18" s="36">
        <f t="shared" si="12"/>
        <v>0</v>
      </c>
      <c r="AN18" s="37">
        <f t="shared" si="13"/>
        <v>0.78599962938657564</v>
      </c>
      <c r="AO18" s="36">
        <f t="shared" si="14"/>
        <v>2.8043534234579841E-4</v>
      </c>
      <c r="AP18" s="38">
        <f t="shared" si="15"/>
        <v>2.8043534234579841E-4</v>
      </c>
      <c r="AR18" s="123">
        <f t="shared" si="16"/>
        <v>4.2100999999999997</v>
      </c>
      <c r="AS18" s="123">
        <f t="shared" si="17"/>
        <v>4.2058898999999998</v>
      </c>
      <c r="AT18" s="123">
        <f t="shared" si="18"/>
        <v>4.2058898999999998</v>
      </c>
      <c r="AU18" s="123">
        <f t="shared" si="19"/>
        <v>2.8043534234579846E-4</v>
      </c>
    </row>
    <row r="19" spans="1:47" x14ac:dyDescent="0.25">
      <c r="A19" s="6">
        <v>-17</v>
      </c>
      <c r="B19" s="3">
        <v>0.1864406779661017</v>
      </c>
      <c r="C19" s="5">
        <v>0.82119148893511607</v>
      </c>
      <c r="D19" s="21">
        <f t="shared" si="20"/>
        <v>0</v>
      </c>
      <c r="E19" s="21">
        <f>IF(I$3=0,0,IF(LEGPLUIMVEE!$H$13="parallel geschakeld met warmtewisselaar",0,MIN(I$3,C19)))</f>
        <v>0</v>
      </c>
      <c r="F19" s="21">
        <f>IF(I$3=0,0,IF(LEGPLUIMVEE!$H$13="serie geschakeld met warmtewisselaar",0,IF(C19&lt;$I$3,C19-D19,MIN($I$3,C19-D19))))</f>
        <v>0</v>
      </c>
      <c r="G19" s="21">
        <f>IF(C19&lt;$I$7,MAX(0,C19-D19-E19-F19,IF(LEGPLUIMVEE!$H$15="warmtewisselaar",IF(LEGPLUIMVEE!$H$13="serie geschakeld met warmtewisselaar",MIN(I$7,MAX(0,C19-D19-F19)),MIN(I$7,MAX(0,'legh WW+droogt'!C19-D19-E19-F19))))),IF(LEGPLUIMVEE!$H$13="parallel geschakeld met warmtewisselaar",MIN(I$7,C19-D19-E19-F19,MIN(I$7,C19-E19-F19)),MIN(I$7,MAX(0,C19-D19-F19))))</f>
        <v>0</v>
      </c>
      <c r="H19" s="21">
        <f>IF(LEGPLUIMVEE!$H$13="parallel geschakeld met warmtewisselaar",IF(LEGPLUIMVEE!$L$9="nee",IF(LEGPLUIMVEE!$J$18="ja",C19-F19-G19,C19-D19-F19-G19),IF(LEGPLUIMVEE!$L$9="ja",IF(LEGPLUIMVEE!$J$18="ja",C19-G19,IF(LEGPLUIMVEE!$J$18="nee",C19-D19-G19)))),IF(LEGPLUIMVEE!$H$13="serie geschakeld met warmtewisselaar",IF(LEGPLUIMVEE!$J$18="ja",C19-G19,C19-D19-F19-G19),C19-D19-F19-G19))</f>
        <v>0.82119148893511607</v>
      </c>
      <c r="I19" s="121">
        <f t="shared" si="21"/>
        <v>0.82119148893511607</v>
      </c>
      <c r="J19" s="122">
        <v>4.1559999999999997</v>
      </c>
      <c r="K19" s="163">
        <f t="shared" si="22"/>
        <v>6.3629813742640282E-4</v>
      </c>
      <c r="L19" s="164">
        <f>SUM(K$16:K19)/$K$73</f>
        <v>2.2836940411832028E-5</v>
      </c>
      <c r="M19" s="22">
        <f t="shared" si="23"/>
        <v>6.3629813742640282E-4</v>
      </c>
      <c r="N19" s="22">
        <f t="shared" si="0"/>
        <v>6.3629813742640282E-4</v>
      </c>
      <c r="O19" s="237">
        <f>IF(E19&lt;I$3,P19*(1-I$6*D19/C19),IF(LEGPLUIMVEE!$H$11="droogtunnel (platen) 55%",((K19-P19)/I$4-(K19-P19))*(1-I$6)+K19-(K19-P19)/I$4-IF(D19&gt;E19,(D19-E19)/C19*(K19-P19)),P19*(1-$I$6)+(C19-D19)/C19*(K19-P19*(1-I$6))))</f>
        <v>6.3629813742640282E-4</v>
      </c>
      <c r="P19" s="162">
        <f t="shared" si="24"/>
        <v>6.3629813742640282E-4</v>
      </c>
      <c r="Q19" s="181">
        <f t="shared" si="1"/>
        <v>1</v>
      </c>
      <c r="R19" s="184">
        <f t="shared" si="25"/>
        <v>1</v>
      </c>
      <c r="S19" s="166">
        <f t="shared" si="2"/>
        <v>6.3629813742640282E-4</v>
      </c>
      <c r="T19" s="166">
        <f t="shared" si="26"/>
        <v>6.3629813742640282E-4</v>
      </c>
      <c r="U19" s="283">
        <f>IF(G19&lt;0.1,K19,IF(C19=F19,S19/(1-I$4),IF(I$3=0,K19-(G19/C19)*K19*U$13,IF(LEGPLUIMVEE!$H$13="Parallel geschakeld met warmtewisselaar",K19-(K19-(K19-S19)/I$4)*(G19/(C19-F19))*U$13,IF(LEGPLUIMVEE!$H$20="ja",K19-(K19-(K19-P19)/I$4)*(G19/(C19-MIN(D19,I$5)))*U$13,K19-(K19-(K19-P19)/I$4)*(G19/(C19-MIN(D18,I$5)))*U$13)))))</f>
        <v>6.3629813742640282E-4</v>
      </c>
      <c r="V19" s="278">
        <f t="shared" si="27"/>
        <v>1</v>
      </c>
      <c r="W19" s="273">
        <f t="shared" si="3"/>
        <v>0</v>
      </c>
      <c r="X19" s="22">
        <f t="shared" si="4"/>
        <v>6.3629813742640282E-4</v>
      </c>
      <c r="Y19" s="177">
        <f t="shared" si="5"/>
        <v>0</v>
      </c>
      <c r="Z19" s="163">
        <f t="shared" si="6"/>
        <v>6.3629813742640282E-4</v>
      </c>
      <c r="AA19" s="306"/>
      <c r="AB19" s="306"/>
      <c r="AC19" s="306"/>
      <c r="AD19" s="219">
        <f>IF(H19&lt;0.02,0,IF(LEGPLUIMVEE!$H$11="geen droogtunnel",IF(LEGPLUIMVEE!$H$15="geen warmtewisselaar",(P19-(K19-T19)/T$13),K19-(K19-O19)/I$6-(K19-T19)/95%)+IF(LEGPLUIMVEE!$J$18="ja",(K19-O19)*(1-I$6)),IF(LEGPLUIMVEE!$H$12&gt;=0,IF(LEGPLUIMVEE!$L$9="ja",IF(LEGPLUIMVEE!$J$18="ja",IF(LEGPLUIMVEE!$H$20="ja",O19-(K19-U19),IF(LEGPLUIMVEE!$H$20="nee",(O19-(K19-U19)),(O19-(K19-U19)))),IF(LEGPLUIMVEE!$J$18="nee",IF(LEGPLUIMVEE!$H$20="nee",O19-(K19-U19)/81%,O19-(K19-U19)))),IF(LEGPLUIMVEE!$L$9="nee",IF(LEGPLUIMVEE!$J$18="nee",IF(LEGPLUIMVEE!$H$20="nee",O19-(K19-U19)/95%,O19-(K19-U19)),IF(LEGPLUIMVEE!$H$20="nee",IF(LEGPLUIMVEE!$J$18="ja",IF(LEGPLUIMVEE!$L$9="nee",O19-(K19-U19))),O19-(K19-U19))))))))</f>
        <v>6.3629813742640282E-4</v>
      </c>
      <c r="AE19" s="239">
        <f>IF(H19&lt;0.02,0,IF(LEGPLUIMVEE!$H$11="geen droogtunnel",IF(LEGPLUIMVEE!$H$15="geen warmtewisselaar",(K19-(K19-T19)/T$13),K19-(K19-N19)/I$6-((K19-T19)/95%))+IF(LEGPLUIMVEE!$J$18="ja",(K19-O19)*(1-I$6)),IF(LEGPLUIMVEE!$H$12&gt;=0,IF(LEGPLUIMVEE!$L$9="ja",IF(LEGPLUIMVEE!$J$18="ja",IF(LEGPLUIMVEE!$H$20="ja",S19-(K19-N19)-(K19-U19),IF(LEGPLUIMVEE!$H$20="nee",(S19-(K19-N19)-(K19-U19)),(O19-(K19-U19)))),IF(LEGPLUIMVEE!$J$18="nee",IF(LEGPLUIMVEE!$H$20="nee",S19*$N$72-(K19-N19)-(K19-U19),S19-(K19-N19)-(K19-U19)))),IF(LEGPLUIMVEE!$L$9="nee",IF(LEGPLUIMVEE!$J$18="nee",IF(LEGPLUIMVEE!$H$20="nee",(N19-(K19-S19)/I$4-(K19-U19)),N19-(K19-S19)/I$4-(K19-U19)),IF(LEGPLUIMVEE!$H$20="nee",IF(LEGPLUIMVEE!$J$18="ja",IF(LEGPLUIMVEE!$L$9="nee",N19-(K19-S19)/I$4-(K19-U19))),N19-(K19-S19)/I$4-(K19-U19))))))))</f>
        <v>6.3629813742640282E-4</v>
      </c>
      <c r="AF19" s="219"/>
      <c r="AG19" s="164">
        <f t="shared" si="7"/>
        <v>1</v>
      </c>
      <c r="AH19" s="35">
        <f t="shared" si="8"/>
        <v>0</v>
      </c>
      <c r="AI19" s="36">
        <f t="shared" si="9"/>
        <v>4.1559999999999997</v>
      </c>
      <c r="AJ19" s="36">
        <f t="shared" si="10"/>
        <v>0</v>
      </c>
      <c r="AK19" s="37">
        <f t="shared" si="11"/>
        <v>0</v>
      </c>
      <c r="AL19" s="36">
        <f t="shared" si="28"/>
        <v>4.1559999999999997</v>
      </c>
      <c r="AM19" s="36">
        <f t="shared" si="12"/>
        <v>0</v>
      </c>
      <c r="AN19" s="37">
        <f t="shared" si="13"/>
        <v>0.82119148893511607</v>
      </c>
      <c r="AO19" s="36">
        <f t="shared" si="14"/>
        <v>6.3629813742640282E-4</v>
      </c>
      <c r="AP19" s="38">
        <f t="shared" si="15"/>
        <v>6.3629813742640282E-4</v>
      </c>
      <c r="AR19" s="123">
        <f t="shared" si="16"/>
        <v>4.1559999999999997</v>
      </c>
      <c r="AS19" s="123">
        <f t="shared" si="17"/>
        <v>4.1518439999999996</v>
      </c>
      <c r="AT19" s="123">
        <f t="shared" si="18"/>
        <v>4.1518439999999996</v>
      </c>
      <c r="AU19" s="123">
        <f t="shared" si="19"/>
        <v>6.3629813742640282E-4</v>
      </c>
    </row>
    <row r="20" spans="1:47" x14ac:dyDescent="0.25">
      <c r="A20" s="6">
        <v>-16</v>
      </c>
      <c r="B20" s="3">
        <v>0.38983050847457629</v>
      </c>
      <c r="C20" s="5">
        <v>0.85795900696004879</v>
      </c>
      <c r="D20" s="21">
        <f t="shared" si="20"/>
        <v>0</v>
      </c>
      <c r="E20" s="21">
        <f>IF(I$3=0,0,IF(LEGPLUIMVEE!$H$13="parallel geschakeld met warmtewisselaar",0,MIN(I$3,C20)))</f>
        <v>0</v>
      </c>
      <c r="F20" s="21">
        <f>IF(I$3=0,0,IF(LEGPLUIMVEE!$H$13="serie geschakeld met warmtewisselaar",0,IF(C20&lt;$I$3,C20-D20,MIN($I$3,C20-D20))))</f>
        <v>0</v>
      </c>
      <c r="G20" s="21">
        <f>IF(C20&lt;$I$7,MAX(0,C20-D20-E20-F20,IF(LEGPLUIMVEE!$H$15="warmtewisselaar",IF(LEGPLUIMVEE!$H$13="serie geschakeld met warmtewisselaar",MIN(I$7,MAX(0,C20-D20-F20)),MIN(I$7,MAX(0,'legh WW+droogt'!C20-D20-E20-F20))))),IF(LEGPLUIMVEE!$H$13="parallel geschakeld met warmtewisselaar",MIN(I$7,C20-D20-E20-F20,MIN(I$7,C20-E20-F20)),MIN(I$7,MAX(0,C20-D20-F20))))</f>
        <v>0</v>
      </c>
      <c r="H20" s="21">
        <f>IF(LEGPLUIMVEE!$H$13="parallel geschakeld met warmtewisselaar",IF(LEGPLUIMVEE!$L$9="nee",IF(LEGPLUIMVEE!$J$18="ja",C20-F20-G20,C20-D20-F20-G20),IF(LEGPLUIMVEE!$L$9="ja",IF(LEGPLUIMVEE!$J$18="ja",C20-G20,IF(LEGPLUIMVEE!$J$18="nee",C20-D20-G20)))),IF(LEGPLUIMVEE!$H$13="serie geschakeld met warmtewisselaar",IF(LEGPLUIMVEE!$J$18="ja",C20-G20,C20-D20-F20-G20),C20-D20-F20-G20))</f>
        <v>0.85795900696004879</v>
      </c>
      <c r="I20" s="121">
        <f t="shared" si="21"/>
        <v>0.85795900696004879</v>
      </c>
      <c r="J20" s="122">
        <v>4.1018999999999997</v>
      </c>
      <c r="K20" s="163">
        <f t="shared" si="22"/>
        <v>1.371915714659945E-3</v>
      </c>
      <c r="L20" s="164">
        <f>SUM(K$16:K20)/$K$73</f>
        <v>4.5225141465434468E-5</v>
      </c>
      <c r="M20" s="22">
        <f t="shared" si="23"/>
        <v>1.371915714659945E-3</v>
      </c>
      <c r="N20" s="22">
        <f t="shared" si="0"/>
        <v>1.371915714659945E-3</v>
      </c>
      <c r="O20" s="237">
        <f>IF(E20&lt;I$3,P20*(1-I$6*D20/C20),IF(LEGPLUIMVEE!$H$11="droogtunnel (platen) 55%",((K20-P20)/I$4-(K20-P20))*(1-I$6)+K20-(K20-P20)/I$4-IF(D20&gt;E20,(D20-E20)/C20*(K20-P20)),P20*(1-$I$6)+(C20-D20)/C20*(K20-P20*(1-I$6))))</f>
        <v>1.371915714659945E-3</v>
      </c>
      <c r="P20" s="162">
        <f t="shared" si="24"/>
        <v>1.371915714659945E-3</v>
      </c>
      <c r="Q20" s="181">
        <f t="shared" si="1"/>
        <v>1</v>
      </c>
      <c r="R20" s="184">
        <f t="shared" si="25"/>
        <v>1</v>
      </c>
      <c r="S20" s="166">
        <f t="shared" si="2"/>
        <v>1.371915714659945E-3</v>
      </c>
      <c r="T20" s="166">
        <f t="shared" si="26"/>
        <v>1.371915714659945E-3</v>
      </c>
      <c r="U20" s="283">
        <f>IF(G20&lt;0.1,K20,IF(C20=F20,S20/(1-I$4),IF(I$3=0,K20-(G20/C20)*K20*U$13,IF(LEGPLUIMVEE!$H$13="Parallel geschakeld met warmtewisselaar",K20-(K20-(K20-S20)/I$4)*(G20/(C20-F20))*U$13,IF(LEGPLUIMVEE!$H$20="ja",K20-(K20-(K20-P20)/I$4)*(G20/(C20-MIN(D20,I$5)))*U$13,K20-(K20-(K20-P20)/I$4)*(G20/(C20-MIN(D19,I$5)))*U$13)))))</f>
        <v>1.371915714659945E-3</v>
      </c>
      <c r="V20" s="278">
        <f t="shared" si="27"/>
        <v>1</v>
      </c>
      <c r="W20" s="273">
        <f t="shared" si="3"/>
        <v>0</v>
      </c>
      <c r="X20" s="22">
        <f t="shared" si="4"/>
        <v>1.371915714659945E-3</v>
      </c>
      <c r="Y20" s="177">
        <f t="shared" si="5"/>
        <v>0</v>
      </c>
      <c r="Z20" s="163">
        <f t="shared" si="6"/>
        <v>1.371915714659945E-3</v>
      </c>
      <c r="AA20" s="306"/>
      <c r="AB20" s="306"/>
      <c r="AC20" s="306"/>
      <c r="AD20" s="219">
        <f>IF(H20&lt;0.02,0,IF(LEGPLUIMVEE!$H$11="geen droogtunnel",IF(LEGPLUIMVEE!$H$15="geen warmtewisselaar",(P20-(K20-T20)/T$13),K20-(K20-O20)/I$6-(K20-T20)/95%)+IF(LEGPLUIMVEE!$J$18="ja",(K20-O20)*(1-I$6)),IF(LEGPLUIMVEE!$H$12&gt;=0,IF(LEGPLUIMVEE!$L$9="ja",IF(LEGPLUIMVEE!$J$18="ja",IF(LEGPLUIMVEE!$H$20="ja",O20-(K20-U20),IF(LEGPLUIMVEE!$H$20="nee",(O20-(K20-U20)),(O20-(K20-U20)))),IF(LEGPLUIMVEE!$J$18="nee",IF(LEGPLUIMVEE!$H$20="nee",O20-(K20-U20)/81%,O20-(K20-U20)))),IF(LEGPLUIMVEE!$L$9="nee",IF(LEGPLUIMVEE!$J$18="nee",IF(LEGPLUIMVEE!$H$20="nee",O20-(K20-U20)/95%,O20-(K20-U20)),IF(LEGPLUIMVEE!$H$20="nee",IF(LEGPLUIMVEE!$J$18="ja",IF(LEGPLUIMVEE!$L$9="nee",O20-(K20-U20))),O20-(K20-U20))))))))</f>
        <v>1.371915714659945E-3</v>
      </c>
      <c r="AE20" s="239">
        <f>IF(H20&lt;0.02,0,IF(LEGPLUIMVEE!$H$11="geen droogtunnel",IF(LEGPLUIMVEE!$H$15="geen warmtewisselaar",(K20-(K20-T20)/T$13),K20-(K20-N20)/I$6-((K20-T20)/95%))+IF(LEGPLUIMVEE!$J$18="ja",(K20-O20)*(1-I$6)),IF(LEGPLUIMVEE!$H$12&gt;=0,IF(LEGPLUIMVEE!$L$9="ja",IF(LEGPLUIMVEE!$J$18="ja",IF(LEGPLUIMVEE!$H$20="ja",S20-(K20-N20)-(K20-U20),IF(LEGPLUIMVEE!$H$20="nee",(S20-(K20-N20)-(K20-U20)),(O20-(K20-U20)))),IF(LEGPLUIMVEE!$J$18="nee",IF(LEGPLUIMVEE!$H$20="nee",S20*$N$72-(K20-N20)-(K20-U20),S20-(K20-N20)-(K20-U20)))),IF(LEGPLUIMVEE!$L$9="nee",IF(LEGPLUIMVEE!$J$18="nee",IF(LEGPLUIMVEE!$H$20="nee",(N20-(K20-S20)/I$4-(K20-U20)),N20-(K20-S20)/I$4-(K20-U20)),IF(LEGPLUIMVEE!$H$20="nee",IF(LEGPLUIMVEE!$J$18="ja",IF(LEGPLUIMVEE!$L$9="nee",N20-(K20-S20)/I$4-(K20-U20))),N20-(K20-S20)/I$4-(K20-U20))))))))</f>
        <v>1.371915714659945E-3</v>
      </c>
      <c r="AF20" s="219"/>
      <c r="AG20" s="164">
        <f t="shared" si="7"/>
        <v>1</v>
      </c>
      <c r="AH20" s="35">
        <f t="shared" si="8"/>
        <v>0</v>
      </c>
      <c r="AI20" s="36">
        <f t="shared" si="9"/>
        <v>4.1018999999999997</v>
      </c>
      <c r="AJ20" s="36">
        <f t="shared" si="10"/>
        <v>0</v>
      </c>
      <c r="AK20" s="37">
        <f t="shared" si="11"/>
        <v>0</v>
      </c>
      <c r="AL20" s="36">
        <f t="shared" si="28"/>
        <v>4.1018999999999997</v>
      </c>
      <c r="AM20" s="36">
        <f t="shared" si="12"/>
        <v>0</v>
      </c>
      <c r="AN20" s="37">
        <f t="shared" si="13"/>
        <v>0.85795900696004879</v>
      </c>
      <c r="AO20" s="36">
        <f t="shared" si="14"/>
        <v>1.371915714659945E-3</v>
      </c>
      <c r="AP20" s="38">
        <f t="shared" si="15"/>
        <v>1.371915714659945E-3</v>
      </c>
      <c r="AR20" s="123">
        <f t="shared" si="16"/>
        <v>4.1018999999999997</v>
      </c>
      <c r="AS20" s="123">
        <f t="shared" si="17"/>
        <v>4.0977980999999994</v>
      </c>
      <c r="AT20" s="123">
        <f t="shared" si="18"/>
        <v>4.0977980999999994</v>
      </c>
      <c r="AU20" s="123">
        <f t="shared" si="19"/>
        <v>1.3719157146599447E-3</v>
      </c>
    </row>
    <row r="21" spans="1:47" x14ac:dyDescent="0.25">
      <c r="A21" s="6">
        <v>-15</v>
      </c>
      <c r="B21" s="3">
        <v>0.9152542372881356</v>
      </c>
      <c r="C21" s="5">
        <v>0.89637273101600934</v>
      </c>
      <c r="D21" s="21">
        <f t="shared" si="20"/>
        <v>0</v>
      </c>
      <c r="E21" s="21">
        <f>IF(I$3=0,0,IF(LEGPLUIMVEE!$H$13="parallel geschakeld met warmtewisselaar",0,MIN(I$3,C21)))</f>
        <v>0</v>
      </c>
      <c r="F21" s="21">
        <f>IF(I$3=0,0,IF(LEGPLUIMVEE!$H$13="serie geschakeld met warmtewisselaar",0,IF(C21&lt;$I$3,C21-D21,MIN($I$3,C21-D21))))</f>
        <v>0</v>
      </c>
      <c r="G21" s="21">
        <f>IF(C21&lt;$I$7,MAX(0,C21-D21-E21-F21,IF(LEGPLUIMVEE!$H$15="warmtewisselaar",IF(LEGPLUIMVEE!$H$13="serie geschakeld met warmtewisselaar",MIN(I$7,MAX(0,C21-D21-F21)),MIN(I$7,MAX(0,'legh WW+droogt'!C21-D21-E21-F21))))),IF(LEGPLUIMVEE!$H$13="parallel geschakeld met warmtewisselaar",MIN(I$7,C21-D21-E21-F21,MIN(I$7,C21-E21-F21)),MIN(I$7,MAX(0,C21-D21-F21))))</f>
        <v>0</v>
      </c>
      <c r="H21" s="21">
        <f>IF(LEGPLUIMVEE!$H$13="parallel geschakeld met warmtewisselaar",IF(LEGPLUIMVEE!$L$9="nee",IF(LEGPLUIMVEE!$J$18="ja",C21-F21-G21,C21-D21-F21-G21),IF(LEGPLUIMVEE!$L$9="ja",IF(LEGPLUIMVEE!$J$18="ja",C21-G21,IF(LEGPLUIMVEE!$J$18="nee",C21-D21-G21)))),IF(LEGPLUIMVEE!$H$13="serie geschakeld met warmtewisselaar",IF(LEGPLUIMVEE!$J$18="ja",C21-G21,C21-D21-F21-G21),C21-D21-F21-G21))</f>
        <v>0.89637273101600934</v>
      </c>
      <c r="I21" s="121">
        <f t="shared" si="21"/>
        <v>0.89637273101600934</v>
      </c>
      <c r="J21" s="122">
        <v>4.0477999999999996</v>
      </c>
      <c r="K21" s="163">
        <f t="shared" si="22"/>
        <v>3.3208513083518056E-3</v>
      </c>
      <c r="L21" s="164">
        <f>SUM(K$16:K21)/$K$73</f>
        <v>9.941789249673777E-5</v>
      </c>
      <c r="M21" s="22">
        <f t="shared" si="23"/>
        <v>3.3208513083518056E-3</v>
      </c>
      <c r="N21" s="22">
        <f t="shared" si="0"/>
        <v>3.3208513083518056E-3</v>
      </c>
      <c r="O21" s="237">
        <f>IF(E21&lt;I$3,P21*(1-I$6*D21/C21),IF(LEGPLUIMVEE!$H$11="droogtunnel (platen) 55%",((K21-P21)/I$4-(K21-P21))*(1-I$6)+K21-(K21-P21)/I$4-IF(D21&gt;E21,(D21-E21)/C21*(K21-P21)),P21*(1-$I$6)+(C21-D21)/C21*(K21-P21*(1-I$6))))</f>
        <v>3.3208513083518056E-3</v>
      </c>
      <c r="P21" s="162">
        <f t="shared" si="24"/>
        <v>3.3208513083518056E-3</v>
      </c>
      <c r="Q21" s="181">
        <f t="shared" si="1"/>
        <v>1</v>
      </c>
      <c r="R21" s="184">
        <f t="shared" si="25"/>
        <v>1</v>
      </c>
      <c r="S21" s="166">
        <f t="shared" si="2"/>
        <v>3.3208513083518056E-3</v>
      </c>
      <c r="T21" s="166">
        <f t="shared" si="26"/>
        <v>3.3208513083518056E-3</v>
      </c>
      <c r="U21" s="283">
        <f>IF(G21&lt;0.1,K21,IF(C21=F21,S21/(1-I$4),IF(I$3=0,K21-(G21/C21)*K21*U$13,IF(LEGPLUIMVEE!$H$13="Parallel geschakeld met warmtewisselaar",K21-(K21-(K21-S21)/I$4)*(G21/(C21-F21))*U$13,IF(LEGPLUIMVEE!$H$20="ja",K21-(K21-(K21-P21)/I$4)*(G21/(C21-MIN(D21,I$5)))*U$13,K21-(K21-(K21-P21)/I$4)*(G21/(C21-MIN(D20,I$5)))*U$13)))))</f>
        <v>3.3208513083518056E-3</v>
      </c>
      <c r="V21" s="278">
        <f t="shared" si="27"/>
        <v>1</v>
      </c>
      <c r="W21" s="273">
        <f t="shared" si="3"/>
        <v>0</v>
      </c>
      <c r="X21" s="22">
        <f t="shared" si="4"/>
        <v>3.3208513083518056E-3</v>
      </c>
      <c r="Y21" s="177">
        <f t="shared" si="5"/>
        <v>0</v>
      </c>
      <c r="Z21" s="163">
        <f t="shared" si="6"/>
        <v>3.3208513083518056E-3</v>
      </c>
      <c r="AA21" s="306"/>
      <c r="AB21" s="306"/>
      <c r="AC21" s="306"/>
      <c r="AD21" s="219">
        <f>IF(H21&lt;0.02,0,IF(LEGPLUIMVEE!$H$11="geen droogtunnel",IF(LEGPLUIMVEE!$H$15="geen warmtewisselaar",(P21-(K21-T21)/T$13),K21-(K21-O21)/I$6-(K21-T21)/95%)+IF(LEGPLUIMVEE!$J$18="ja",(K21-O21)*(1-I$6)),IF(LEGPLUIMVEE!$H$12&gt;=0,IF(LEGPLUIMVEE!$L$9="ja",IF(LEGPLUIMVEE!$J$18="ja",IF(LEGPLUIMVEE!$H$20="ja",O21-(K21-U21),IF(LEGPLUIMVEE!$H$20="nee",(O21-(K21-U21)),(O21-(K21-U21)))),IF(LEGPLUIMVEE!$J$18="nee",IF(LEGPLUIMVEE!$H$20="nee",O21-(K21-U21)/81%,O21-(K21-U21)))),IF(LEGPLUIMVEE!$L$9="nee",IF(LEGPLUIMVEE!$J$18="nee",IF(LEGPLUIMVEE!$H$20="nee",O21-(K21-U21)/95%,O21-(K21-U21)),IF(LEGPLUIMVEE!$H$20="nee",IF(LEGPLUIMVEE!$J$18="ja",IF(LEGPLUIMVEE!$L$9="nee",O21-(K21-U21))),O21-(K21-U21))))))))</f>
        <v>3.3208513083518056E-3</v>
      </c>
      <c r="AE21" s="239">
        <f>IF(H21&lt;0.02,0,IF(LEGPLUIMVEE!$H$11="geen droogtunnel",IF(LEGPLUIMVEE!$H$15="geen warmtewisselaar",(K21-(K21-T21)/T$13),K21-(K21-N21)/I$6-((K21-T21)/95%))+IF(LEGPLUIMVEE!$J$18="ja",(K21-O21)*(1-I$6)),IF(LEGPLUIMVEE!$H$12&gt;=0,IF(LEGPLUIMVEE!$L$9="ja",IF(LEGPLUIMVEE!$J$18="ja",IF(LEGPLUIMVEE!$H$20="ja",S21-(K21-N21)-(K21-U21),IF(LEGPLUIMVEE!$H$20="nee",(S21-(K21-N21)-(K21-U21)),(O21-(K21-U21)))),IF(LEGPLUIMVEE!$J$18="nee",IF(LEGPLUIMVEE!$H$20="nee",S21*$N$72-(K21-N21)-(K21-U21),S21-(K21-N21)-(K21-U21)))),IF(LEGPLUIMVEE!$L$9="nee",IF(LEGPLUIMVEE!$J$18="nee",IF(LEGPLUIMVEE!$H$20="nee",(N21-(K21-S21)/I$4-(K21-U21)),N21-(K21-S21)/I$4-(K21-U21)),IF(LEGPLUIMVEE!$H$20="nee",IF(LEGPLUIMVEE!$J$18="ja",IF(LEGPLUIMVEE!$L$9="nee",N21-(K21-S21)/I$4-(K21-U21))),N21-(K21-S21)/I$4-(K21-U21))))))))</f>
        <v>3.3208513083518056E-3</v>
      </c>
      <c r="AF21" s="219"/>
      <c r="AG21" s="164">
        <f t="shared" si="7"/>
        <v>1</v>
      </c>
      <c r="AH21" s="35">
        <f t="shared" si="8"/>
        <v>0</v>
      </c>
      <c r="AI21" s="36">
        <f t="shared" si="9"/>
        <v>4.0477999999999996</v>
      </c>
      <c r="AJ21" s="36">
        <f t="shared" si="10"/>
        <v>0</v>
      </c>
      <c r="AK21" s="37">
        <f t="shared" si="11"/>
        <v>0</v>
      </c>
      <c r="AL21" s="36">
        <f t="shared" si="28"/>
        <v>4.0477999999999996</v>
      </c>
      <c r="AM21" s="36">
        <f t="shared" si="12"/>
        <v>0</v>
      </c>
      <c r="AN21" s="37">
        <f t="shared" si="13"/>
        <v>0.89637273101600934</v>
      </c>
      <c r="AO21" s="36">
        <f t="shared" si="14"/>
        <v>3.3208513083518056E-3</v>
      </c>
      <c r="AP21" s="38">
        <f t="shared" si="15"/>
        <v>3.3208513083518056E-3</v>
      </c>
      <c r="AR21" s="123">
        <f t="shared" si="16"/>
        <v>4.0477999999999996</v>
      </c>
      <c r="AS21" s="123">
        <f t="shared" si="17"/>
        <v>4.0437521999999992</v>
      </c>
      <c r="AT21" s="123">
        <f t="shared" si="18"/>
        <v>4.0437521999999992</v>
      </c>
      <c r="AU21" s="123">
        <f t="shared" si="19"/>
        <v>3.320851308351806E-3</v>
      </c>
    </row>
    <row r="22" spans="1:47" x14ac:dyDescent="0.25">
      <c r="A22" s="6">
        <v>-14</v>
      </c>
      <c r="B22" s="3">
        <v>1.1016949152542372</v>
      </c>
      <c r="C22" s="5">
        <v>0.93650636731005721</v>
      </c>
      <c r="D22" s="21">
        <f t="shared" si="20"/>
        <v>0</v>
      </c>
      <c r="E22" s="21">
        <f>IF(I$3=0,0,IF(LEGPLUIMVEE!$H$13="parallel geschakeld met warmtewisselaar",0,MIN(I$3,C22)))</f>
        <v>0</v>
      </c>
      <c r="F22" s="21">
        <f>IF(I$3=0,0,IF(LEGPLUIMVEE!$H$13="serie geschakeld met warmtewisselaar",0,IF(C22&lt;$I$3,C22-D22,MIN($I$3,C22-D22))))</f>
        <v>0</v>
      </c>
      <c r="G22" s="21">
        <f>IF(C22&lt;$I$7,MAX(0,C22-D22-E22-F22,IF(LEGPLUIMVEE!$H$15="warmtewisselaar",IF(LEGPLUIMVEE!$H$13="serie geschakeld met warmtewisselaar",MIN(I$7,MAX(0,C22-D22-F22)),MIN(I$7,MAX(0,'legh WW+droogt'!C22-D22-E22-F22))))),IF(LEGPLUIMVEE!$H$13="parallel geschakeld met warmtewisselaar",MIN(I$7,C22-D22-E22-F22,MIN(I$7,C22-E22-F22)),MIN(I$7,MAX(0,C22-D22-F22))))</f>
        <v>0</v>
      </c>
      <c r="H22" s="21">
        <f>IF(LEGPLUIMVEE!$H$13="parallel geschakeld met warmtewisselaar",IF(LEGPLUIMVEE!$L$9="nee",IF(LEGPLUIMVEE!$J$18="ja",C22-F22-G22,C22-D22-F22-G22),IF(LEGPLUIMVEE!$L$9="ja",IF(LEGPLUIMVEE!$J$18="ja",C22-G22,IF(LEGPLUIMVEE!$J$18="nee",C22-D22-G22)))),IF(LEGPLUIMVEE!$H$13="serie geschakeld met warmtewisselaar",IF(LEGPLUIMVEE!$J$18="ja",C22-G22,C22-D22-F22-G22),C22-D22-F22-G22))</f>
        <v>0.93650636731005721</v>
      </c>
      <c r="I22" s="121">
        <f t="shared" si="21"/>
        <v>0.93650636731005721</v>
      </c>
      <c r="J22" s="122">
        <v>3.9937</v>
      </c>
      <c r="K22" s="163">
        <f t="shared" si="22"/>
        <v>4.1204772227661259E-3</v>
      </c>
      <c r="L22" s="164">
        <f>SUM(K$16:K22)/$K$73</f>
        <v>1.6665968549780659E-4</v>
      </c>
      <c r="M22" s="22">
        <f t="shared" si="23"/>
        <v>4.1204772227661259E-3</v>
      </c>
      <c r="N22" s="22">
        <f t="shared" si="0"/>
        <v>4.1204772227661259E-3</v>
      </c>
      <c r="O22" s="237">
        <f>IF(E22&lt;I$3,P22*(1-I$6*D22/C22),IF(LEGPLUIMVEE!$H$11="droogtunnel (platen) 55%",((K22-P22)/I$4-(K22-P22))*(1-I$6)+K22-(K22-P22)/I$4-IF(D22&gt;E22,(D22-E22)/C22*(K22-P22)),P22*(1-$I$6)+(C22-D22)/C22*(K22-P22*(1-I$6))))</f>
        <v>4.1204772227661259E-3</v>
      </c>
      <c r="P22" s="162">
        <f t="shared" si="24"/>
        <v>4.1204772227661259E-3</v>
      </c>
      <c r="Q22" s="181">
        <f t="shared" si="1"/>
        <v>1</v>
      </c>
      <c r="R22" s="184">
        <f t="shared" si="25"/>
        <v>1</v>
      </c>
      <c r="S22" s="166">
        <f t="shared" si="2"/>
        <v>4.1204772227661259E-3</v>
      </c>
      <c r="T22" s="166">
        <f t="shared" si="26"/>
        <v>4.1204772227661259E-3</v>
      </c>
      <c r="U22" s="283">
        <f>IF(G22&lt;0.1,K22,IF(C22=F22,S22/(1-I$4),IF(I$3=0,K22-(G22/C22)*K22*U$13,IF(LEGPLUIMVEE!$H$13="Parallel geschakeld met warmtewisselaar",K22-(K22-(K22-S22)/I$4)*(G22/(C22-F22))*U$13,IF(LEGPLUIMVEE!$H$20="ja",K22-(K22-(K22-P22)/I$4)*(G22/(C22-MIN(D22,I$5)))*U$13,K22-(K22-(K22-P22)/I$4)*(G22/(C22-MIN(D21,I$5)))*U$13)))))</f>
        <v>4.1204772227661259E-3</v>
      </c>
      <c r="V22" s="278">
        <f t="shared" si="27"/>
        <v>1</v>
      </c>
      <c r="W22" s="273">
        <f t="shared" si="3"/>
        <v>0</v>
      </c>
      <c r="X22" s="22">
        <f t="shared" si="4"/>
        <v>4.1204772227661259E-3</v>
      </c>
      <c r="Y22" s="177">
        <f>(((($J22/1000))*$B22*$D22)*(1-$I$6))+(((($J22/1000))*$B22*$E22)*(1-$I$4))</f>
        <v>0</v>
      </c>
      <c r="Z22" s="163">
        <f t="shared" si="6"/>
        <v>4.1204772227661259E-3</v>
      </c>
      <c r="AA22" s="306"/>
      <c r="AB22" s="306"/>
      <c r="AC22" s="306"/>
      <c r="AD22" s="219">
        <f>IF(H22&lt;0.02,0,IF(LEGPLUIMVEE!$H$11="geen droogtunnel",IF(LEGPLUIMVEE!$H$15="geen warmtewisselaar",(P22-(K22-T22)/T$13),K22-(K22-O22)/I$6-(K22-T22)/95%)+IF(LEGPLUIMVEE!$J$18="ja",(K22-O22)*(1-I$6)),IF(LEGPLUIMVEE!$H$12&gt;=0,IF(LEGPLUIMVEE!$L$9="ja",IF(LEGPLUIMVEE!$J$18="ja",IF(LEGPLUIMVEE!$H$20="ja",O22-(K22-U22),IF(LEGPLUIMVEE!$H$20="nee",(O22-(K22-U22)),(O22-(K22-U22)))),IF(LEGPLUIMVEE!$J$18="nee",IF(LEGPLUIMVEE!$H$20="nee",O22-(K22-U22)/81%,O22-(K22-U22)))),IF(LEGPLUIMVEE!$L$9="nee",IF(LEGPLUIMVEE!$J$18="nee",IF(LEGPLUIMVEE!$H$20="nee",O22-(K22-U22)/95%,O22-(K22-U22)),IF(LEGPLUIMVEE!$H$20="nee",IF(LEGPLUIMVEE!$J$18="ja",IF(LEGPLUIMVEE!$L$9="nee",O22-(K22-U22))),O22-(K22-U22))))))))</f>
        <v>4.1204772227661259E-3</v>
      </c>
      <c r="AE22" s="239">
        <f>IF(H22&lt;0.02,0,IF(LEGPLUIMVEE!$H$11="geen droogtunnel",IF(LEGPLUIMVEE!$H$15="geen warmtewisselaar",(K22-(K22-T22)/T$13),K22-(K22-N22)/I$6-((K22-T22)/95%))+IF(LEGPLUIMVEE!$J$18="ja",(K22-O22)*(1-I$6)),IF(LEGPLUIMVEE!$H$12&gt;=0,IF(LEGPLUIMVEE!$L$9="ja",IF(LEGPLUIMVEE!$J$18="ja",IF(LEGPLUIMVEE!$H$20="ja",S22-(K22-N22)-(K22-U22),IF(LEGPLUIMVEE!$H$20="nee",(S22-(K22-N22)-(K22-U22)),(O22-(K22-U22)))),IF(LEGPLUIMVEE!$J$18="nee",IF(LEGPLUIMVEE!$H$20="nee",S22*$N$72-(K22-N22)-(K22-U22),S22-(K22-N22)-(K22-U22)))),IF(LEGPLUIMVEE!$L$9="nee",IF(LEGPLUIMVEE!$J$18="nee",IF(LEGPLUIMVEE!$H$20="nee",(N22-(K22-S22)/I$4-(K22-U22)),N22-(K22-S22)/I$4-(K22-U22)),IF(LEGPLUIMVEE!$H$20="nee",IF(LEGPLUIMVEE!$J$18="ja",IF(LEGPLUIMVEE!$L$9="nee",N22-(K22-S22)/I$4-(K22-U22))),N22-(K22-S22)/I$4-(K22-U22))))))))</f>
        <v>4.1204772227661259E-3</v>
      </c>
      <c r="AF22" s="219"/>
      <c r="AG22" s="164">
        <f t="shared" si="7"/>
        <v>1</v>
      </c>
      <c r="AH22" s="35">
        <f t="shared" si="8"/>
        <v>0</v>
      </c>
      <c r="AI22" s="36">
        <f t="shared" si="9"/>
        <v>3.9937</v>
      </c>
      <c r="AJ22" s="36">
        <f t="shared" si="10"/>
        <v>0</v>
      </c>
      <c r="AK22" s="37">
        <f t="shared" si="11"/>
        <v>0</v>
      </c>
      <c r="AL22" s="36">
        <f t="shared" si="28"/>
        <v>3.9937</v>
      </c>
      <c r="AM22" s="36">
        <f t="shared" si="12"/>
        <v>0</v>
      </c>
      <c r="AN22" s="37">
        <f t="shared" si="13"/>
        <v>0.93650636731005721</v>
      </c>
      <c r="AO22" s="36">
        <f t="shared" si="14"/>
        <v>4.1204772227661259E-3</v>
      </c>
      <c r="AP22" s="38">
        <f t="shared" si="15"/>
        <v>4.1204772227661259E-3</v>
      </c>
      <c r="AR22" s="123">
        <f t="shared" si="16"/>
        <v>3.9937</v>
      </c>
      <c r="AS22" s="123">
        <f t="shared" si="17"/>
        <v>3.9897062999999999</v>
      </c>
      <c r="AT22" s="123">
        <f t="shared" si="18"/>
        <v>3.9897062999999999</v>
      </c>
      <c r="AU22" s="123">
        <f t="shared" si="19"/>
        <v>4.1204772227661259E-3</v>
      </c>
    </row>
    <row r="23" spans="1:47" x14ac:dyDescent="0.25">
      <c r="A23" s="6">
        <v>-13</v>
      </c>
      <c r="B23" s="3">
        <v>2.0677966101694913</v>
      </c>
      <c r="C23" s="5">
        <v>0.97843692212521716</v>
      </c>
      <c r="D23" s="21">
        <f t="shared" si="20"/>
        <v>0</v>
      </c>
      <c r="E23" s="21">
        <f>IF(I$3=0,0,IF(LEGPLUIMVEE!$H$13="parallel geschakeld met warmtewisselaar",0,MIN(I$3,C23)))</f>
        <v>0</v>
      </c>
      <c r="F23" s="21">
        <f>IF(I$3=0,0,IF(LEGPLUIMVEE!$H$13="serie geschakeld met warmtewisselaar",0,IF(C23&lt;$I$3,C23-D23,MIN($I$3,C23-D23))))</f>
        <v>0</v>
      </c>
      <c r="G23" s="21">
        <f>IF(C23&lt;$I$7,MAX(0,C23-D23-E23-F23,IF(LEGPLUIMVEE!$H$15="warmtewisselaar",IF(LEGPLUIMVEE!$H$13="serie geschakeld met warmtewisselaar",MIN(I$7,MAX(0,C23-D23-F23)),MIN(I$7,MAX(0,'legh WW+droogt'!C23-D23-E23-F23))))),IF(LEGPLUIMVEE!$H$13="parallel geschakeld met warmtewisselaar",MIN(I$7,C23-D23-E23-F23,MIN(I$7,C23-E23-F23)),MIN(I$7,MAX(0,C23-D23-F23))))</f>
        <v>0</v>
      </c>
      <c r="H23" s="21">
        <f>IF(LEGPLUIMVEE!$H$13="parallel geschakeld met warmtewisselaar",IF(LEGPLUIMVEE!$L$9="nee",IF(LEGPLUIMVEE!$J$18="ja",C23-F23-G23,C23-D23-F23-G23),IF(LEGPLUIMVEE!$L$9="ja",IF(LEGPLUIMVEE!$J$18="ja",C23-G23,IF(LEGPLUIMVEE!$J$18="nee",C23-D23-G23)))),IF(LEGPLUIMVEE!$H$13="serie geschakeld met warmtewisselaar",IF(LEGPLUIMVEE!$J$18="ja",C23-G23,C23-D23-F23-G23),C23-D23-F23-G23))</f>
        <v>0.97843692212521716</v>
      </c>
      <c r="I23" s="121">
        <f t="shared" si="21"/>
        <v>0.97843692212521716</v>
      </c>
      <c r="J23" s="122">
        <v>3.9396</v>
      </c>
      <c r="K23" s="163">
        <f t="shared" si="22"/>
        <v>7.9706324068703309E-3</v>
      </c>
      <c r="L23" s="164">
        <f>SUM(K$16:K23)/$K$73</f>
        <v>2.9673190417896938E-4</v>
      </c>
      <c r="M23" s="22">
        <f t="shared" si="23"/>
        <v>7.9706324068703309E-3</v>
      </c>
      <c r="N23" s="22">
        <f t="shared" si="0"/>
        <v>7.9706324068703309E-3</v>
      </c>
      <c r="O23" s="237">
        <f>IF(E23&lt;I$3,P23*(1-I$6*D23/C23),IF(LEGPLUIMVEE!$H$11="droogtunnel (platen) 55%",((K23-P23)/I$4-(K23-P23))*(1-I$6)+K23-(K23-P23)/I$4-IF(D23&gt;E23,(D23-E23)/C23*(K23-P23)),P23*(1-$I$6)+(C23-D23)/C23*(K23-P23*(1-I$6))))</f>
        <v>7.9706324068703309E-3</v>
      </c>
      <c r="P23" s="162">
        <f t="shared" si="24"/>
        <v>7.9706324068703309E-3</v>
      </c>
      <c r="Q23" s="181">
        <f t="shared" si="1"/>
        <v>1</v>
      </c>
      <c r="R23" s="184">
        <f t="shared" si="25"/>
        <v>1</v>
      </c>
      <c r="S23" s="166">
        <f t="shared" si="2"/>
        <v>7.9706324068703309E-3</v>
      </c>
      <c r="T23" s="166">
        <f t="shared" si="26"/>
        <v>7.9706324068703309E-3</v>
      </c>
      <c r="U23" s="283">
        <f>IF(G23&lt;0.1,K23,IF(C23=F23,S23/(1-I$4),IF(I$3=0,K23-(G23/C23)*K23*U$13,IF(LEGPLUIMVEE!$H$13="Parallel geschakeld met warmtewisselaar",K23-(K23-(K23-S23)/I$4)*(G23/(C23-F23))*U$13,IF(LEGPLUIMVEE!$H$20="ja",K23-(K23-(K23-P23)/I$4)*(G23/(C23-MIN(D23,I$5)))*U$13,K23-(K23-(K23-P23)/I$4)*(G23/(C23-MIN(D22,I$5)))*U$13)))))</f>
        <v>7.9706324068703309E-3</v>
      </c>
      <c r="V23" s="278">
        <f t="shared" si="27"/>
        <v>1</v>
      </c>
      <c r="W23" s="273">
        <f t="shared" si="3"/>
        <v>0</v>
      </c>
      <c r="X23" s="22">
        <f t="shared" si="4"/>
        <v>7.9706324068703309E-3</v>
      </c>
      <c r="Y23" s="177">
        <f t="shared" si="5"/>
        <v>0</v>
      </c>
      <c r="Z23" s="163">
        <f t="shared" si="6"/>
        <v>7.9706324068703309E-3</v>
      </c>
      <c r="AA23" s="306"/>
      <c r="AB23" s="306"/>
      <c r="AC23" s="306"/>
      <c r="AD23" s="219">
        <f>IF(H23&lt;0.02,0,IF(LEGPLUIMVEE!$H$11="geen droogtunnel",IF(LEGPLUIMVEE!$H$15="geen warmtewisselaar",(P23-(K23-T23)/T$13),K23-(K23-O23)/I$6-(K23-T23)/95%)+IF(LEGPLUIMVEE!$J$18="ja",(K23-O23)*(1-I$6)),IF(LEGPLUIMVEE!$H$12&gt;=0,IF(LEGPLUIMVEE!$L$9="ja",IF(LEGPLUIMVEE!$J$18="ja",IF(LEGPLUIMVEE!$H$20="ja",O23-(K23-U23),IF(LEGPLUIMVEE!$H$20="nee",(O23-(K23-U23)),(O23-(K23-U23)))),IF(LEGPLUIMVEE!$J$18="nee",IF(LEGPLUIMVEE!$H$20="nee",O23-(K23-U23)/81%,O23-(K23-U23)))),IF(LEGPLUIMVEE!$L$9="nee",IF(LEGPLUIMVEE!$J$18="nee",IF(LEGPLUIMVEE!$H$20="nee",O23-(K23-U23)/95%,O23-(K23-U23)),IF(LEGPLUIMVEE!$H$20="nee",IF(LEGPLUIMVEE!$J$18="ja",IF(LEGPLUIMVEE!$L$9="nee",O23-(K23-U23))),O23-(K23-U23))))))))</f>
        <v>7.9706324068703309E-3</v>
      </c>
      <c r="AE23" s="239">
        <f>IF(H23&lt;0.02,0,IF(LEGPLUIMVEE!$H$11="geen droogtunnel",IF(LEGPLUIMVEE!$H$15="geen warmtewisselaar",(K23-(K23-T23)/T$13),K23-(K23-N23)/I$6-((K23-T23)/95%))+IF(LEGPLUIMVEE!$J$18="ja",(K23-O23)*(1-I$6)),IF(LEGPLUIMVEE!$H$12&gt;=0,IF(LEGPLUIMVEE!$L$9="ja",IF(LEGPLUIMVEE!$J$18="ja",IF(LEGPLUIMVEE!$H$20="ja",S23-(K23-N23)-(K23-U23),IF(LEGPLUIMVEE!$H$20="nee",(S23-(K23-N23)-(K23-U23)),(O23-(K23-U23)))),IF(LEGPLUIMVEE!$J$18="nee",IF(LEGPLUIMVEE!$H$20="nee",S23*$N$72-(K23-N23)-(K23-U23),S23-(K23-N23)-(K23-U23)))),IF(LEGPLUIMVEE!$L$9="nee",IF(LEGPLUIMVEE!$J$18="nee",IF(LEGPLUIMVEE!$H$20="nee",(N23-(K23-S23)/I$4-(K23-U23)),N23-(K23-S23)/I$4-(K23-U23)),IF(LEGPLUIMVEE!$H$20="nee",IF(LEGPLUIMVEE!$J$18="ja",IF(LEGPLUIMVEE!$L$9="nee",N23-(K23-S23)/I$4-(K23-U23))),N23-(K23-S23)/I$4-(K23-U23))))))))</f>
        <v>7.9706324068703309E-3</v>
      </c>
      <c r="AF23" s="219"/>
      <c r="AG23" s="164">
        <f t="shared" si="7"/>
        <v>1</v>
      </c>
      <c r="AH23" s="35">
        <f t="shared" si="8"/>
        <v>0</v>
      </c>
      <c r="AI23" s="36">
        <f t="shared" si="9"/>
        <v>3.9396</v>
      </c>
      <c r="AJ23" s="36">
        <f t="shared" si="10"/>
        <v>0</v>
      </c>
      <c r="AK23" s="37">
        <f t="shared" si="11"/>
        <v>0</v>
      </c>
      <c r="AL23" s="36">
        <f t="shared" si="28"/>
        <v>3.9396</v>
      </c>
      <c r="AM23" s="36">
        <f t="shared" si="12"/>
        <v>0</v>
      </c>
      <c r="AN23" s="37">
        <f t="shared" si="13"/>
        <v>0.97843692212521716</v>
      </c>
      <c r="AO23" s="36">
        <f t="shared" si="14"/>
        <v>7.9706324068703309E-3</v>
      </c>
      <c r="AP23" s="38">
        <f t="shared" si="15"/>
        <v>7.9706324068703309E-3</v>
      </c>
      <c r="AR23" s="123">
        <f t="shared" si="16"/>
        <v>3.9396</v>
      </c>
      <c r="AS23" s="123">
        <f t="shared" si="17"/>
        <v>3.9356604000000002</v>
      </c>
      <c r="AT23" s="123">
        <f t="shared" si="18"/>
        <v>3.9356604000000002</v>
      </c>
      <c r="AU23" s="123">
        <f t="shared" si="19"/>
        <v>7.9706324068703326E-3</v>
      </c>
    </row>
    <row r="24" spans="1:47" x14ac:dyDescent="0.25">
      <c r="A24" s="6">
        <v>-12</v>
      </c>
      <c r="B24" s="3">
        <v>2.6610169491525424</v>
      </c>
      <c r="C24" s="5">
        <v>1.0222448495760352</v>
      </c>
      <c r="D24" s="21">
        <f t="shared" si="20"/>
        <v>0</v>
      </c>
      <c r="E24" s="21">
        <f>IF(I$3=0,0,IF(LEGPLUIMVEE!$H$13="parallel geschakeld met warmtewisselaar",0,MIN(I$3,C24)))</f>
        <v>0</v>
      </c>
      <c r="F24" s="21">
        <f>IF(I$3=0,0,IF(LEGPLUIMVEE!$H$13="serie geschakeld met warmtewisselaar",0,IF(C24&lt;$I$3,C24-D24,MIN($I$3,C24-D24))))</f>
        <v>0</v>
      </c>
      <c r="G24" s="21">
        <f>IF(C24&lt;$I$7,MAX(0,C24-D24-E24-F24,IF(LEGPLUIMVEE!$H$15="warmtewisselaar",IF(LEGPLUIMVEE!$H$13="serie geschakeld met warmtewisselaar",MIN(I$7,MAX(0,C24-D24-F24)),MIN(I$7,MAX(0,'legh WW+droogt'!C24-D24-E24-F24))))),IF(LEGPLUIMVEE!$H$13="parallel geschakeld met warmtewisselaar",MIN(I$7,C24-D24-E24-F24,MIN(I$7,C24-E24-F24)),MIN(I$7,MAX(0,C24-D24-F24))))</f>
        <v>0</v>
      </c>
      <c r="H24" s="21">
        <f>IF(LEGPLUIMVEE!$H$13="parallel geschakeld met warmtewisselaar",IF(LEGPLUIMVEE!$L$9="nee",IF(LEGPLUIMVEE!$J$18="ja",C24-F24-G24,C24-D24-F24-G24),IF(LEGPLUIMVEE!$L$9="ja",IF(LEGPLUIMVEE!$J$18="ja",C24-G24,IF(LEGPLUIMVEE!$J$18="nee",C24-D24-G24)))),IF(LEGPLUIMVEE!$H$13="serie geschakeld met warmtewisselaar",IF(LEGPLUIMVEE!$J$18="ja",C24-G24,C24-D24-F24-G24),C24-D24-F24-G24))</f>
        <v>1.0222448495760352</v>
      </c>
      <c r="I24" s="121">
        <f t="shared" si="21"/>
        <v>1.0222448495760352</v>
      </c>
      <c r="J24" s="122">
        <v>3.8855</v>
      </c>
      <c r="K24" s="163">
        <f t="shared" si="22"/>
        <v>1.0569379338904179E-2</v>
      </c>
      <c r="L24" s="164">
        <f>SUM(K$16:K24)/$K$73</f>
        <v>4.6921290073190372E-4</v>
      </c>
      <c r="M24" s="22">
        <f t="shared" si="23"/>
        <v>1.0569379338904179E-2</v>
      </c>
      <c r="N24" s="22">
        <f t="shared" si="0"/>
        <v>1.0569379338904179E-2</v>
      </c>
      <c r="O24" s="237">
        <f>IF(E24&lt;I$3,P24*(1-I$6*D24/C24),IF(LEGPLUIMVEE!$H$11="droogtunnel (platen) 55%",((K24-P24)/I$4-(K24-P24))*(1-I$6)+K24-(K24-P24)/I$4-IF(D24&gt;E24,(D24-E24)/C24*(K24-P24)),P24*(1-$I$6)+(C24-D24)/C24*(K24-P24*(1-I$6))))</f>
        <v>1.0569379338904179E-2</v>
      </c>
      <c r="P24" s="162">
        <f t="shared" si="24"/>
        <v>1.0569379338904179E-2</v>
      </c>
      <c r="Q24" s="181">
        <f t="shared" si="1"/>
        <v>1</v>
      </c>
      <c r="R24" s="184">
        <f t="shared" si="25"/>
        <v>1</v>
      </c>
      <c r="S24" s="166">
        <f t="shared" si="2"/>
        <v>1.0569379338904179E-2</v>
      </c>
      <c r="T24" s="166">
        <f t="shared" si="26"/>
        <v>1.0569379338904179E-2</v>
      </c>
      <c r="U24" s="283">
        <f>IF(G24&lt;0.1,K24,IF(C24=F24,S24/(1-I$4),IF(I$3=0,K24-(G24/C24)*K24*U$13,IF(LEGPLUIMVEE!$H$13="Parallel geschakeld met warmtewisselaar",K24-(K24-(K24-S24)/I$4)*(G24/(C24-F24))*U$13,IF(LEGPLUIMVEE!$H$20="ja",K24-(K24-(K24-P24)/I$4)*(G24/(C24-MIN(D24,I$5)))*U$13,K24-(K24-(K24-P24)/I$4)*(G24/(C24-MIN(D23,I$5)))*U$13)))))</f>
        <v>1.0569379338904179E-2</v>
      </c>
      <c r="V24" s="278">
        <f t="shared" si="27"/>
        <v>1</v>
      </c>
      <c r="W24" s="273">
        <f t="shared" si="3"/>
        <v>0</v>
      </c>
      <c r="X24" s="22">
        <f t="shared" si="4"/>
        <v>1.0569379338904179E-2</v>
      </c>
      <c r="Y24" s="177">
        <f t="shared" si="5"/>
        <v>0</v>
      </c>
      <c r="Z24" s="163">
        <f t="shared" si="6"/>
        <v>1.0569379338904179E-2</v>
      </c>
      <c r="AA24" s="306"/>
      <c r="AB24" s="306"/>
      <c r="AC24" s="306"/>
      <c r="AD24" s="219">
        <f>IF(H24&lt;0.02,0,IF(LEGPLUIMVEE!$H$11="geen droogtunnel",IF(LEGPLUIMVEE!$H$15="geen warmtewisselaar",(P24-(K24-T24)/T$13),K24-(K24-O24)/I$6-(K24-T24)/95%)+IF(LEGPLUIMVEE!$J$18="ja",(K24-O24)*(1-I$6)),IF(LEGPLUIMVEE!$H$12&gt;=0,IF(LEGPLUIMVEE!$L$9="ja",IF(LEGPLUIMVEE!$J$18="ja",IF(LEGPLUIMVEE!$H$20="ja",O24-(K24-U24),IF(LEGPLUIMVEE!$H$20="nee",(O24-(K24-U24)),(O24-(K24-U24)))),IF(LEGPLUIMVEE!$J$18="nee",IF(LEGPLUIMVEE!$H$20="nee",O24-(K24-U24)/81%,O24-(K24-U24)))),IF(LEGPLUIMVEE!$L$9="nee",IF(LEGPLUIMVEE!$J$18="nee",IF(LEGPLUIMVEE!$H$20="nee",O24-(K24-U24)/95%,O24-(K24-U24)),IF(LEGPLUIMVEE!$H$20="nee",IF(LEGPLUIMVEE!$J$18="ja",IF(LEGPLUIMVEE!$L$9="nee",O24-(K24-U24))),O24-(K24-U24))))))))</f>
        <v>1.0569379338904179E-2</v>
      </c>
      <c r="AE24" s="239">
        <f>IF(H24&lt;0.02,0,IF(LEGPLUIMVEE!$H$11="geen droogtunnel",IF(LEGPLUIMVEE!$H$15="geen warmtewisselaar",(K24-(K24-T24)/T$13),K24-(K24-N24)/I$6-((K24-T24)/95%))+IF(LEGPLUIMVEE!$J$18="ja",(K24-O24)*(1-I$6)),IF(LEGPLUIMVEE!$H$12&gt;=0,IF(LEGPLUIMVEE!$L$9="ja",IF(LEGPLUIMVEE!$J$18="ja",IF(LEGPLUIMVEE!$H$20="ja",S24-(K24-N24)-(K24-U24),IF(LEGPLUIMVEE!$H$20="nee",(S24-(K24-N24)-(K24-U24)),(O24-(K24-U24)))),IF(LEGPLUIMVEE!$J$18="nee",IF(LEGPLUIMVEE!$H$20="nee",S24*$N$72-(K24-N24)-(K24-U24),S24-(K24-N24)-(K24-U24)))),IF(LEGPLUIMVEE!$L$9="nee",IF(LEGPLUIMVEE!$J$18="nee",IF(LEGPLUIMVEE!$H$20="nee",(N24-(K24-S24)/I$4-(K24-U24)),N24-(K24-S24)/I$4-(K24-U24)),IF(LEGPLUIMVEE!$H$20="nee",IF(LEGPLUIMVEE!$J$18="ja",IF(LEGPLUIMVEE!$L$9="nee",N24-(K24-S24)/I$4-(K24-U24))),N24-(K24-S24)/I$4-(K24-U24))))))))</f>
        <v>1.0569379338904179E-2</v>
      </c>
      <c r="AF24" s="219"/>
      <c r="AG24" s="164">
        <f t="shared" si="7"/>
        <v>1</v>
      </c>
      <c r="AH24" s="35">
        <f t="shared" si="8"/>
        <v>0</v>
      </c>
      <c r="AI24" s="36">
        <f t="shared" si="9"/>
        <v>3.8855</v>
      </c>
      <c r="AJ24" s="36">
        <f t="shared" si="10"/>
        <v>0</v>
      </c>
      <c r="AK24" s="37">
        <f t="shared" si="11"/>
        <v>0</v>
      </c>
      <c r="AL24" s="36">
        <f t="shared" si="28"/>
        <v>3.8855</v>
      </c>
      <c r="AM24" s="36">
        <f t="shared" si="12"/>
        <v>0</v>
      </c>
      <c r="AN24" s="37">
        <f t="shared" si="13"/>
        <v>1.0222448495760352</v>
      </c>
      <c r="AO24" s="36">
        <f t="shared" si="14"/>
        <v>1.0569379338904179E-2</v>
      </c>
      <c r="AP24" s="38">
        <f t="shared" si="15"/>
        <v>1.0569379338904179E-2</v>
      </c>
      <c r="AR24" s="123">
        <f t="shared" si="16"/>
        <v>3.8855</v>
      </c>
      <c r="AS24" s="123">
        <f t="shared" si="17"/>
        <v>3.8816145</v>
      </c>
      <c r="AT24" s="123">
        <f t="shared" si="18"/>
        <v>3.8816145</v>
      </c>
      <c r="AU24" s="123">
        <f t="shared" si="19"/>
        <v>1.0569379338904179E-2</v>
      </c>
    </row>
    <row r="25" spans="1:47" x14ac:dyDescent="0.25">
      <c r="A25" s="6">
        <v>-11</v>
      </c>
      <c r="B25" s="3">
        <v>4.0677966101694913</v>
      </c>
      <c r="C25" s="5">
        <v>1.068014205979644</v>
      </c>
      <c r="D25" s="21">
        <f t="shared" si="20"/>
        <v>0</v>
      </c>
      <c r="E25" s="21">
        <f>IF(I$3=0,0,IF(LEGPLUIMVEE!$H$13="parallel geschakeld met warmtewisselaar",0,MIN(I$3,C25)))</f>
        <v>0</v>
      </c>
      <c r="F25" s="21">
        <f>IF(I$3=0,0,IF(LEGPLUIMVEE!$H$13="serie geschakeld met warmtewisselaar",0,IF(C25&lt;$I$3,C25-D25,MIN($I$3,C25-D25))))</f>
        <v>0</v>
      </c>
      <c r="G25" s="21">
        <f>IF(C25&lt;$I$7,MAX(0,C25-D25-E25-F25,IF(LEGPLUIMVEE!$H$15="warmtewisselaar",IF(LEGPLUIMVEE!$H$13="serie geschakeld met warmtewisselaar",MIN(I$7,MAX(0,C25-D25-F25)),MIN(I$7,MAX(0,'legh WW+droogt'!C25-D25-E25-F25))))),IF(LEGPLUIMVEE!$H$13="parallel geschakeld met warmtewisselaar",MIN(I$7,C25-D25-E25-F25,MIN(I$7,C25-E25-F25)),MIN(I$7,MAX(0,C25-D25-F25))))</f>
        <v>0</v>
      </c>
      <c r="H25" s="21">
        <f>IF(LEGPLUIMVEE!$H$13="parallel geschakeld met warmtewisselaar",IF(LEGPLUIMVEE!$L$9="nee",IF(LEGPLUIMVEE!$J$18="ja",C25-F25-G25,C25-D25-F25-G25),IF(LEGPLUIMVEE!$L$9="ja",IF(LEGPLUIMVEE!$J$18="ja",C25-G25,IF(LEGPLUIMVEE!$J$18="nee",C25-D25-G25)))),IF(LEGPLUIMVEE!$H$13="serie geschakeld met warmtewisselaar",IF(LEGPLUIMVEE!$J$18="ja",C25-G25,C25-D25-F25-G25),C25-D25-F25-G25))</f>
        <v>1.068014205979644</v>
      </c>
      <c r="I25" s="121">
        <f t="shared" si="21"/>
        <v>1.068014205979644</v>
      </c>
      <c r="J25" s="122">
        <v>3.8313999999999999</v>
      </c>
      <c r="K25" s="163">
        <f t="shared" si="22"/>
        <v>1.6645381540842337E-2</v>
      </c>
      <c r="L25" s="164">
        <f>SUM(K$16:K25)/$K$73</f>
        <v>7.4084777200580834E-4</v>
      </c>
      <c r="M25" s="22">
        <f t="shared" si="23"/>
        <v>1.6645381540842337E-2</v>
      </c>
      <c r="N25" s="22">
        <f t="shared" si="0"/>
        <v>1.6645381540842337E-2</v>
      </c>
      <c r="O25" s="237">
        <f>IF(E25&lt;I$3,P25*(1-I$6*D25/C25),IF(LEGPLUIMVEE!$H$11="droogtunnel (platen) 55%",((K25-P25)/I$4-(K25-P25))*(1-I$6)+K25-(K25-P25)/I$4-IF(D25&gt;E25,(D25-E25)/C25*(K25-P25)),P25*(1-$I$6)+(C25-D25)/C25*(K25-P25*(1-I$6))))</f>
        <v>1.6645381540842337E-2</v>
      </c>
      <c r="P25" s="162">
        <f t="shared" si="24"/>
        <v>1.6645381540842337E-2</v>
      </c>
      <c r="Q25" s="181">
        <f t="shared" si="1"/>
        <v>1</v>
      </c>
      <c r="R25" s="184">
        <f t="shared" si="25"/>
        <v>1</v>
      </c>
      <c r="S25" s="166">
        <f t="shared" si="2"/>
        <v>1.6645381540842337E-2</v>
      </c>
      <c r="T25" s="166">
        <f t="shared" si="26"/>
        <v>1.6645381540842337E-2</v>
      </c>
      <c r="U25" s="283">
        <f>IF(G25&lt;0.1,K25,IF(C25=F25,S25/(1-I$4),IF(I$3=0,K25-(G25/C25)*K25*U$13,IF(LEGPLUIMVEE!$H$13="Parallel geschakeld met warmtewisselaar",K25-(K25-(K25-S25)/I$4)*(G25/(C25-F25))*U$13,IF(LEGPLUIMVEE!$H$20="ja",K25-(K25-(K25-P25)/I$4)*(G25/(C25-MIN(D25,I$5)))*U$13,K25-(K25-(K25-P25)/I$4)*(G25/(C25-MIN(D24,I$5)))*U$13)))))</f>
        <v>1.6645381540842337E-2</v>
      </c>
      <c r="V25" s="278">
        <f t="shared" si="27"/>
        <v>1</v>
      </c>
      <c r="W25" s="273">
        <f t="shared" si="3"/>
        <v>0</v>
      </c>
      <c r="X25" s="22">
        <f t="shared" si="4"/>
        <v>1.6645381540842337E-2</v>
      </c>
      <c r="Y25" s="177">
        <f t="shared" si="5"/>
        <v>0</v>
      </c>
      <c r="Z25" s="163">
        <f t="shared" si="6"/>
        <v>1.6645381540842337E-2</v>
      </c>
      <c r="AA25" s="306"/>
      <c r="AB25" s="306"/>
      <c r="AC25" s="306"/>
      <c r="AD25" s="219">
        <f>IF(H25&lt;0.02,0,IF(LEGPLUIMVEE!$H$11="geen droogtunnel",IF(LEGPLUIMVEE!$H$15="geen warmtewisselaar",(P25-(K25-T25)/T$13),K25-(K25-O25)/I$6-(K25-T25)/95%)+IF(LEGPLUIMVEE!$J$18="ja",(K25-O25)*(1-I$6)),IF(LEGPLUIMVEE!$H$12&gt;=0,IF(LEGPLUIMVEE!$L$9="ja",IF(LEGPLUIMVEE!$J$18="ja",IF(LEGPLUIMVEE!$H$20="ja",O25-(K25-U25),IF(LEGPLUIMVEE!$H$20="nee",(O25-(K25-U25)),(O25-(K25-U25)))),IF(LEGPLUIMVEE!$J$18="nee",IF(LEGPLUIMVEE!$H$20="nee",O25-(K25-U25)/81%,O25-(K25-U25)))),IF(LEGPLUIMVEE!$L$9="nee",IF(LEGPLUIMVEE!$J$18="nee",IF(LEGPLUIMVEE!$H$20="nee",O25-(K25-U25)/95%,O25-(K25-U25)),IF(LEGPLUIMVEE!$H$20="nee",IF(LEGPLUIMVEE!$J$18="ja",IF(LEGPLUIMVEE!$L$9="nee",O25-(K25-U25))),O25-(K25-U25))))))))</f>
        <v>1.6645381540842337E-2</v>
      </c>
      <c r="AE25" s="239">
        <f>IF(H25&lt;0.02,0,IF(LEGPLUIMVEE!$H$11="geen droogtunnel",IF(LEGPLUIMVEE!$H$15="geen warmtewisselaar",(K25-(K25-T25)/T$13),K25-(K25-N25)/I$6-((K25-T25)/95%))+IF(LEGPLUIMVEE!$J$18="ja",(K25-O25)*(1-I$6)),IF(LEGPLUIMVEE!$H$12&gt;=0,IF(LEGPLUIMVEE!$L$9="ja",IF(LEGPLUIMVEE!$J$18="ja",IF(LEGPLUIMVEE!$H$20="ja",S25-(K25-N25)-(K25-U25),IF(LEGPLUIMVEE!$H$20="nee",(S25-(K25-N25)-(K25-U25)),(O25-(K25-U25)))),IF(LEGPLUIMVEE!$J$18="nee",IF(LEGPLUIMVEE!$H$20="nee",S25*$N$72-(K25-N25)-(K25-U25),S25-(K25-N25)-(K25-U25)))),IF(LEGPLUIMVEE!$L$9="nee",IF(LEGPLUIMVEE!$J$18="nee",IF(LEGPLUIMVEE!$H$20="nee",(N25-(K25-S25)/I$4-(K25-U25)),N25-(K25-S25)/I$4-(K25-U25)),IF(LEGPLUIMVEE!$H$20="nee",IF(LEGPLUIMVEE!$J$18="ja",IF(LEGPLUIMVEE!$L$9="nee",N25-(K25-S25)/I$4-(K25-U25))),N25-(K25-S25)/I$4-(K25-U25))))))))</f>
        <v>1.6645381540842337E-2</v>
      </c>
      <c r="AF25" s="219"/>
      <c r="AG25" s="164">
        <f t="shared" si="7"/>
        <v>1</v>
      </c>
      <c r="AH25" s="35">
        <f t="shared" si="8"/>
        <v>0</v>
      </c>
      <c r="AI25" s="36">
        <f t="shared" si="9"/>
        <v>3.8313999999999999</v>
      </c>
      <c r="AJ25" s="36">
        <f t="shared" si="10"/>
        <v>0</v>
      </c>
      <c r="AK25" s="37">
        <f t="shared" si="11"/>
        <v>0</v>
      </c>
      <c r="AL25" s="36">
        <f t="shared" si="28"/>
        <v>3.8313999999999999</v>
      </c>
      <c r="AM25" s="36">
        <f t="shared" si="12"/>
        <v>0</v>
      </c>
      <c r="AN25" s="37">
        <f t="shared" si="13"/>
        <v>1.068014205979644</v>
      </c>
      <c r="AO25" s="36">
        <f t="shared" si="14"/>
        <v>1.6645381540842337E-2</v>
      </c>
      <c r="AP25" s="38">
        <f t="shared" si="15"/>
        <v>1.6645381540842337E-2</v>
      </c>
      <c r="AR25" s="123">
        <f t="shared" si="16"/>
        <v>3.8313999999999999</v>
      </c>
      <c r="AS25" s="123">
        <f t="shared" si="17"/>
        <v>3.8275685999999998</v>
      </c>
      <c r="AT25" s="123">
        <f t="shared" si="18"/>
        <v>3.8275685999999998</v>
      </c>
      <c r="AU25" s="123">
        <f t="shared" si="19"/>
        <v>1.664538154084234E-2</v>
      </c>
    </row>
    <row r="26" spans="1:47" x14ac:dyDescent="0.25">
      <c r="A26" s="6">
        <v>-10</v>
      </c>
      <c r="B26" s="3">
        <v>7.101694915254237</v>
      </c>
      <c r="C26" s="5">
        <v>1.115832811138548</v>
      </c>
      <c r="D26" s="21">
        <f t="shared" si="20"/>
        <v>0</v>
      </c>
      <c r="E26" s="21">
        <f>IF(I$3=0,0,IF(LEGPLUIMVEE!$H$13="parallel geschakeld met warmtewisselaar",0,MIN(I$3,C26)))</f>
        <v>0</v>
      </c>
      <c r="F26" s="21">
        <f>IF(I$3=0,0,IF(LEGPLUIMVEE!$H$13="serie geschakeld met warmtewisselaar",0,IF(C26&lt;$I$3,C26-D26,MIN($I$3,C26-D26))))</f>
        <v>0</v>
      </c>
      <c r="G26" s="21">
        <f>IF(C26&lt;$I$7,MAX(0,C26-D26-E26-F26,IF(LEGPLUIMVEE!$H$15="warmtewisselaar",IF(LEGPLUIMVEE!$H$13="serie geschakeld met warmtewisselaar",MIN(I$7,MAX(0,C26-D26-F26)),MIN(I$7,MAX(0,'legh WW+droogt'!C26-D26-E26-F26))))),IF(LEGPLUIMVEE!$H$13="parallel geschakeld met warmtewisselaar",MIN(I$7,C26-D26-E26-F26,MIN(I$7,C26-E26-F26)),MIN(I$7,MAX(0,C26-D26-F26))))</f>
        <v>0</v>
      </c>
      <c r="H26" s="21">
        <f>IF(LEGPLUIMVEE!$H$13="parallel geschakeld met warmtewisselaar",IF(LEGPLUIMVEE!$L$9="nee",IF(LEGPLUIMVEE!$J$18="ja",C26-F26-G26,C26-D26-F26-G26),IF(LEGPLUIMVEE!$L$9="ja",IF(LEGPLUIMVEE!$J$18="ja",C26-G26,IF(LEGPLUIMVEE!$J$18="nee",C26-D26-G26)))),IF(LEGPLUIMVEE!$H$13="serie geschakeld met warmtewisselaar",IF(LEGPLUIMVEE!$J$18="ja",C26-G26,C26-D26-F26-G26),C26-D26-F26-G26))</f>
        <v>1.115832811138548</v>
      </c>
      <c r="I26" s="121">
        <f t="shared" si="21"/>
        <v>1.115832811138548</v>
      </c>
      <c r="J26" s="122">
        <v>3.7772999999999999</v>
      </c>
      <c r="K26" s="163">
        <f t="shared" si="22"/>
        <v>2.993247425895278E-2</v>
      </c>
      <c r="L26" s="164">
        <f>SUM(K$16:K26)/$K$73</f>
        <v>1.2293138232218773E-3</v>
      </c>
      <c r="M26" s="22">
        <f t="shared" si="23"/>
        <v>2.993247425895278E-2</v>
      </c>
      <c r="N26" s="22">
        <f t="shared" si="0"/>
        <v>2.993247425895278E-2</v>
      </c>
      <c r="O26" s="237">
        <f>IF(E26&lt;I$3,P26*(1-I$6*D26/C26),IF(LEGPLUIMVEE!$H$11="droogtunnel (platen) 55%",((K26-P26)/I$4-(K26-P26))*(1-I$6)+K26-(K26-P26)/I$4-IF(D26&gt;E26,(D26-E26)/C26*(K26-P26)),P26*(1-$I$6)+(C26-D26)/C26*(K26-P26*(1-I$6))))</f>
        <v>2.993247425895278E-2</v>
      </c>
      <c r="P26" s="162">
        <f t="shared" si="24"/>
        <v>2.993247425895278E-2</v>
      </c>
      <c r="Q26" s="181">
        <f>P26/K26</f>
        <v>1</v>
      </c>
      <c r="R26" s="184">
        <f t="shared" si="25"/>
        <v>1</v>
      </c>
      <c r="S26" s="166">
        <f t="shared" si="2"/>
        <v>2.993247425895278E-2</v>
      </c>
      <c r="T26" s="166">
        <f t="shared" si="26"/>
        <v>2.993247425895278E-2</v>
      </c>
      <c r="U26" s="283">
        <f>IF(G26&lt;0.1,K26,IF(C26=F26,S26/(1-I$4),IF(I$3=0,K26-(G26/C26)*K26*U$13,IF(LEGPLUIMVEE!$H$13="Parallel geschakeld met warmtewisselaar",K26-(K26-(K26-S26)/I$4)*(G26/(C26-F26))*U$13,IF(LEGPLUIMVEE!$H$20="ja",K26-(K26-(K26-P26)/I$4)*(G26/(C26-MIN(D26,I$5)))*U$13,K26-(K26-(K26-P26)/I$4)*(G26/(C26-MIN(D25,I$5)))*U$13)))))</f>
        <v>2.993247425895278E-2</v>
      </c>
      <c r="V26" s="278">
        <f t="shared" si="27"/>
        <v>1</v>
      </c>
      <c r="W26" s="273">
        <f t="shared" si="3"/>
        <v>0</v>
      </c>
      <c r="X26" s="22">
        <f t="shared" si="4"/>
        <v>2.993247425895278E-2</v>
      </c>
      <c r="Y26" s="177">
        <f t="shared" si="5"/>
        <v>0</v>
      </c>
      <c r="Z26" s="163">
        <f t="shared" si="6"/>
        <v>2.993247425895278E-2</v>
      </c>
      <c r="AA26" s="306"/>
      <c r="AB26" s="306"/>
      <c r="AC26" s="306"/>
      <c r="AD26" s="219">
        <f>IF(H26&lt;0.02,0,IF(LEGPLUIMVEE!$H$11="geen droogtunnel",IF(LEGPLUIMVEE!$H$15="geen warmtewisselaar",(P26-(K26-T26)/T$13),K26-(K26-O26)/I$6-(K26-T26)/95%)+IF(LEGPLUIMVEE!$J$18="ja",(K26-O26)*(1-I$6)),IF(LEGPLUIMVEE!$H$12&gt;=0,IF(LEGPLUIMVEE!$L$9="ja",IF(LEGPLUIMVEE!$J$18="ja",IF(LEGPLUIMVEE!$H$20="ja",O26-(K26-U26),IF(LEGPLUIMVEE!$H$20="nee",(O26-(K26-U26)),(O26-(K26-U26)))),IF(LEGPLUIMVEE!$J$18="nee",IF(LEGPLUIMVEE!$H$20="nee",O26-(K26-U26)/81%,O26-(K26-U26)))),IF(LEGPLUIMVEE!$L$9="nee",IF(LEGPLUIMVEE!$J$18="nee",IF(LEGPLUIMVEE!$H$20="nee",O26-(K26-U26)/95%,O26-(K26-U26)),IF(LEGPLUIMVEE!$H$20="nee",IF(LEGPLUIMVEE!$J$18="ja",IF(LEGPLUIMVEE!$L$9="nee",O26-(K26-U26))),O26-(K26-U26))))))))</f>
        <v>2.993247425895278E-2</v>
      </c>
      <c r="AE26" s="239">
        <f>IF(H26&lt;0.02,0,IF(LEGPLUIMVEE!$H$11="geen droogtunnel",IF(LEGPLUIMVEE!$H$15="geen warmtewisselaar",(K26-(K26-T26)/T$13),K26-(K26-N26)/I$6-((K26-T26)/95%))+IF(LEGPLUIMVEE!$J$18="ja",(K26-O26)*(1-I$6)),IF(LEGPLUIMVEE!$H$12&gt;=0,IF(LEGPLUIMVEE!$L$9="ja",IF(LEGPLUIMVEE!$J$18="ja",IF(LEGPLUIMVEE!$H$20="ja",S26-(K26-N26)-(K26-U26),IF(LEGPLUIMVEE!$H$20="nee",(S26-(K26-N26)-(K26-U26)),(O26-(K26-U26)))),IF(LEGPLUIMVEE!$J$18="nee",IF(LEGPLUIMVEE!$H$20="nee",S26*$N$72-(K26-N26)-(K26-U26),S26-(K26-N26)-(K26-U26)))),IF(LEGPLUIMVEE!$L$9="nee",IF(LEGPLUIMVEE!$J$18="nee",IF(LEGPLUIMVEE!$H$20="nee",(N26-(K26-S26)/I$4-(K26-U26)),N26-(K26-S26)/I$4-(K26-U26)),IF(LEGPLUIMVEE!$H$20="nee",IF(LEGPLUIMVEE!$J$18="ja",IF(LEGPLUIMVEE!$L$9="nee",N26-(K26-S26)/I$4-(K26-U26))),N26-(K26-S26)/I$4-(K26-U26))))))))</f>
        <v>2.993247425895278E-2</v>
      </c>
      <c r="AF26" s="219"/>
      <c r="AG26" s="164">
        <f t="shared" si="7"/>
        <v>1</v>
      </c>
      <c r="AH26" s="35">
        <f t="shared" si="8"/>
        <v>0</v>
      </c>
      <c r="AI26" s="36">
        <f t="shared" si="9"/>
        <v>3.7772999999999999</v>
      </c>
      <c r="AJ26" s="36">
        <f t="shared" si="10"/>
        <v>0</v>
      </c>
      <c r="AK26" s="37">
        <f t="shared" si="11"/>
        <v>0</v>
      </c>
      <c r="AL26" s="36">
        <f t="shared" si="28"/>
        <v>3.7772999999999999</v>
      </c>
      <c r="AM26" s="36">
        <f t="shared" si="12"/>
        <v>0</v>
      </c>
      <c r="AN26" s="37">
        <f t="shared" si="13"/>
        <v>1.115832811138548</v>
      </c>
      <c r="AO26" s="36">
        <f t="shared" si="14"/>
        <v>2.993247425895278E-2</v>
      </c>
      <c r="AP26" s="38">
        <f t="shared" si="15"/>
        <v>2.993247425895278E-2</v>
      </c>
      <c r="AR26" s="123">
        <f t="shared" si="16"/>
        <v>3.7772999999999999</v>
      </c>
      <c r="AS26" s="123">
        <f t="shared" si="17"/>
        <v>3.7735227</v>
      </c>
      <c r="AT26" s="123">
        <f t="shared" si="18"/>
        <v>3.7735227</v>
      </c>
      <c r="AU26" s="123">
        <f t="shared" si="19"/>
        <v>2.9932474258952776E-2</v>
      </c>
    </row>
    <row r="27" spans="1:47" x14ac:dyDescent="0.25">
      <c r="A27" s="6">
        <v>-9</v>
      </c>
      <c r="B27" s="3">
        <v>10.338983050847459</v>
      </c>
      <c r="C27" s="5">
        <v>1.1657924168445806</v>
      </c>
      <c r="D27" s="21">
        <f t="shared" si="20"/>
        <v>0</v>
      </c>
      <c r="E27" s="21">
        <f>IF(I$3=0,0,IF(LEGPLUIMVEE!$H$13="parallel geschakeld met warmtewisselaar",0,MIN(I$3,C27)))</f>
        <v>0</v>
      </c>
      <c r="F27" s="21">
        <f>IF(I$3=0,0,IF(LEGPLUIMVEE!$H$13="serie geschakeld met warmtewisselaar",0,IF(C27&lt;$I$3,C27-D27,MIN($I$3,C27-D27))))</f>
        <v>0</v>
      </c>
      <c r="G27" s="21">
        <f>IF(C27&lt;$I$7,MAX(0,C27-D27-E27-F27,IF(LEGPLUIMVEE!$H$15="warmtewisselaar",IF(LEGPLUIMVEE!$H$13="serie geschakeld met warmtewisselaar",MIN(I$7,MAX(0,C27-D27-F27)),MIN(I$7,MAX(0,'legh WW+droogt'!C27-D27-E27-F27))))),IF(LEGPLUIMVEE!$H$13="parallel geschakeld met warmtewisselaar",MIN(I$7,C27-D27-E27-F27,MIN(I$7,C27-E27-F27)),MIN(I$7,MAX(0,C27-D27-F27))))</f>
        <v>0</v>
      </c>
      <c r="H27" s="21">
        <f>IF(LEGPLUIMVEE!$H$13="parallel geschakeld met warmtewisselaar",IF(LEGPLUIMVEE!$L$9="nee",IF(LEGPLUIMVEE!$J$18="ja",C27-F27-G27,C27-D27-F27-G27),IF(LEGPLUIMVEE!$L$9="ja",IF(LEGPLUIMVEE!$J$18="ja",C27-G27,IF(LEGPLUIMVEE!$J$18="nee",C27-D27-G27)))),IF(LEGPLUIMVEE!$H$13="serie geschakeld met warmtewisselaar",IF(LEGPLUIMVEE!$J$18="ja",C27-G27,C27-D27-F27-G27),C27-D27-F27-G27))</f>
        <v>1.1657924168445806</v>
      </c>
      <c r="I27" s="121">
        <f t="shared" si="21"/>
        <v>1.1657924168445806</v>
      </c>
      <c r="J27" s="122">
        <v>3.7231999999999998</v>
      </c>
      <c r="K27" s="163">
        <f t="shared" si="22"/>
        <v>4.4876131849176319E-2</v>
      </c>
      <c r="L27" s="164">
        <f>SUM(K$16:K27)/$K$73</f>
        <v>1.961644426050757E-3</v>
      </c>
      <c r="M27" s="22">
        <f t="shared" si="23"/>
        <v>4.4876131849176319E-2</v>
      </c>
      <c r="N27" s="22">
        <f t="shared" si="0"/>
        <v>4.4876131849176319E-2</v>
      </c>
      <c r="O27" s="237">
        <f>IF(E27&lt;I$3,P27*(1-I$6*D27/C27),IF(LEGPLUIMVEE!$H$11="droogtunnel (platen) 55%",((K27-P27)/I$4-(K27-P27))*(1-I$6)+K27-(K27-P27)/I$4-IF(D27&gt;E27,(D27-E27)/C27*(K27-P27)),P27*(1-$I$6)+(C27-D27)/C27*(K27-P27*(1-I$6))))</f>
        <v>4.4876131849176319E-2</v>
      </c>
      <c r="P27" s="162">
        <f t="shared" si="24"/>
        <v>4.4876131849176319E-2</v>
      </c>
      <c r="Q27" s="181">
        <f t="shared" ref="Q27:Q71" si="29">P27/K27</f>
        <v>1</v>
      </c>
      <c r="R27" s="184">
        <f t="shared" si="25"/>
        <v>1</v>
      </c>
      <c r="S27" s="166">
        <f t="shared" si="2"/>
        <v>4.4876131849176319E-2</v>
      </c>
      <c r="T27" s="166">
        <f t="shared" si="26"/>
        <v>4.4876131849176319E-2</v>
      </c>
      <c r="U27" s="283">
        <f>IF(G27&lt;0.1,K27,IF(C27=F27,S27/(1-I$4),IF(I$3=0,K27-(G27/C27)*K27*U$13,IF(LEGPLUIMVEE!$H$13="Parallel geschakeld met warmtewisselaar",K27-(K27-(K27-S27)/I$4)*(G27/(C27-F27))*U$13,IF(LEGPLUIMVEE!$H$20="ja",K27-(K27-(K27-P27)/I$4)*(G27/(C27-MIN(D27,I$5)))*U$13,K27-(K27-(K27-P27)/I$4)*(G27/(C27-MIN(D26,I$5)))*U$13)))))</f>
        <v>4.4876131849176319E-2</v>
      </c>
      <c r="V27" s="278">
        <f t="shared" si="27"/>
        <v>1</v>
      </c>
      <c r="W27" s="273">
        <f t="shared" si="3"/>
        <v>0</v>
      </c>
      <c r="X27" s="22">
        <f t="shared" si="4"/>
        <v>4.4876131849176319E-2</v>
      </c>
      <c r="Y27" s="177">
        <f t="shared" si="5"/>
        <v>0</v>
      </c>
      <c r="Z27" s="163">
        <f t="shared" si="6"/>
        <v>4.4876131849176319E-2</v>
      </c>
      <c r="AA27" s="306"/>
      <c r="AB27" s="306"/>
      <c r="AC27" s="306"/>
      <c r="AD27" s="219">
        <f>IF(H27&lt;0.02,0,IF(LEGPLUIMVEE!$H$11="geen droogtunnel",IF(LEGPLUIMVEE!$H$15="geen warmtewisselaar",(P27-(K27-T27)/T$13),K27-(K27-O27)/I$6-(K27-T27)/95%)+IF(LEGPLUIMVEE!$J$18="ja",(K27-O27)*(1-I$6)),IF(LEGPLUIMVEE!$H$12&gt;=0,IF(LEGPLUIMVEE!$L$9="ja",IF(LEGPLUIMVEE!$J$18="ja",IF(LEGPLUIMVEE!$H$20="ja",O27-(K27-U27),IF(LEGPLUIMVEE!$H$20="nee",(O27-(K27-U27)),(O27-(K27-U27)))),IF(LEGPLUIMVEE!$J$18="nee",IF(LEGPLUIMVEE!$H$20="nee",O27-(K27-U27)/81%,O27-(K27-U27)))),IF(LEGPLUIMVEE!$L$9="nee",IF(LEGPLUIMVEE!$J$18="nee",IF(LEGPLUIMVEE!$H$20="nee",O27-(K27-U27)/95%,O27-(K27-U27)),IF(LEGPLUIMVEE!$H$20="nee",IF(LEGPLUIMVEE!$J$18="ja",IF(LEGPLUIMVEE!$L$9="nee",O27-(K27-U27))),O27-(K27-U27))))))))</f>
        <v>4.4876131849176319E-2</v>
      </c>
      <c r="AE27" s="239">
        <f>IF(H27&lt;0.02,0,IF(LEGPLUIMVEE!$H$11="geen droogtunnel",IF(LEGPLUIMVEE!$H$15="geen warmtewisselaar",(K27-(K27-T27)/T$13),K27-(K27-N27)/I$6-((K27-T27)/95%))+IF(LEGPLUIMVEE!$J$18="ja",(K27-O27)*(1-I$6)),IF(LEGPLUIMVEE!$H$12&gt;=0,IF(LEGPLUIMVEE!$L$9="ja",IF(LEGPLUIMVEE!$J$18="ja",IF(LEGPLUIMVEE!$H$20="ja",S27-(K27-N27)-(K27-U27),IF(LEGPLUIMVEE!$H$20="nee",(S27-(K27-N27)-(K27-U27)),(O27-(K27-U27)))),IF(LEGPLUIMVEE!$J$18="nee",IF(LEGPLUIMVEE!$H$20="nee",S27*$N$72-(K27-N27)-(K27-U27),S27-(K27-N27)-(K27-U27)))),IF(LEGPLUIMVEE!$L$9="nee",IF(LEGPLUIMVEE!$J$18="nee",IF(LEGPLUIMVEE!$H$20="nee",(N27-(K27-S27)/I$4-(K27-U27)),N27-(K27-S27)/I$4-(K27-U27)),IF(LEGPLUIMVEE!$H$20="nee",IF(LEGPLUIMVEE!$J$18="ja",IF(LEGPLUIMVEE!$L$9="nee",N27-(K27-S27)/I$4-(K27-U27))),N27-(K27-S27)/I$4-(K27-U27))))))))</f>
        <v>4.4876131849176319E-2</v>
      </c>
      <c r="AF27" s="219"/>
      <c r="AG27" s="164">
        <f t="shared" si="7"/>
        <v>1</v>
      </c>
      <c r="AH27" s="35">
        <f t="shared" si="8"/>
        <v>0</v>
      </c>
      <c r="AI27" s="36">
        <f t="shared" si="9"/>
        <v>3.7231999999999998</v>
      </c>
      <c r="AJ27" s="36">
        <f t="shared" si="10"/>
        <v>0</v>
      </c>
      <c r="AK27" s="37">
        <f t="shared" si="11"/>
        <v>0</v>
      </c>
      <c r="AL27" s="36">
        <f t="shared" si="28"/>
        <v>3.7231999999999998</v>
      </c>
      <c r="AM27" s="36">
        <f t="shared" si="12"/>
        <v>0</v>
      </c>
      <c r="AN27" s="37">
        <f t="shared" si="13"/>
        <v>1.1657924168445806</v>
      </c>
      <c r="AO27" s="36">
        <f t="shared" si="14"/>
        <v>4.4876131849176319E-2</v>
      </c>
      <c r="AP27" s="38">
        <f t="shared" si="15"/>
        <v>4.4876131849176319E-2</v>
      </c>
      <c r="AR27" s="123">
        <f t="shared" si="16"/>
        <v>3.7231999999999998</v>
      </c>
      <c r="AS27" s="123">
        <f t="shared" si="17"/>
        <v>3.7194767999999998</v>
      </c>
      <c r="AT27" s="123">
        <f t="shared" si="18"/>
        <v>3.7194767999999998</v>
      </c>
      <c r="AU27" s="123">
        <f t="shared" si="19"/>
        <v>4.4876131849176319E-2</v>
      </c>
    </row>
    <row r="28" spans="1:47" x14ac:dyDescent="0.25">
      <c r="A28" s="6">
        <v>-8</v>
      </c>
      <c r="B28" s="3">
        <v>14.322033898305085</v>
      </c>
      <c r="C28" s="5">
        <v>1.2179888829273526</v>
      </c>
      <c r="D28" s="21">
        <f t="shared" si="20"/>
        <v>0</v>
      </c>
      <c r="E28" s="21">
        <f>IF(I$3=0,0,IF(LEGPLUIMVEE!$H$13="parallel geschakeld met warmtewisselaar",0,MIN(I$3,C28)))</f>
        <v>0</v>
      </c>
      <c r="F28" s="21">
        <f>IF(I$3=0,0,IF(LEGPLUIMVEE!$H$13="serie geschakeld met warmtewisselaar",0,IF(C28&lt;$I$3,C28-D28,MIN($I$3,C28-D28))))</f>
        <v>0</v>
      </c>
      <c r="G28" s="21">
        <f>IF(C28&lt;$I$7,MAX(0,C28-D28-E28-F28,IF(LEGPLUIMVEE!$H$15="warmtewisselaar",IF(LEGPLUIMVEE!$H$13="serie geschakeld met warmtewisselaar",MIN(I$7,MAX(0,C28-D28-F28)),MIN(I$7,MAX(0,'legh WW+droogt'!C28-D28-E28-F28))))),IF(LEGPLUIMVEE!$H$13="parallel geschakeld met warmtewisselaar",MIN(I$7,C28-D28-E28-F28,MIN(I$7,C28-E28-F28)),MIN(I$7,MAX(0,C28-D28-F28))))</f>
        <v>0</v>
      </c>
      <c r="H28" s="21">
        <f>IF(LEGPLUIMVEE!$H$13="parallel geschakeld met warmtewisselaar",IF(LEGPLUIMVEE!$L$9="nee",IF(LEGPLUIMVEE!$J$18="ja",C28-F28-G28,C28-D28-F28-G28),IF(LEGPLUIMVEE!$L$9="ja",IF(LEGPLUIMVEE!$J$18="ja",C28-G28,IF(LEGPLUIMVEE!$J$18="nee",C28-D28-G28)))),IF(LEGPLUIMVEE!$H$13="serie geschakeld met warmtewisselaar",IF(LEGPLUIMVEE!$J$18="ja",C28-G28,C28-D28-F28-G28),C28-D28-F28-G28))</f>
        <v>1.2179888829273526</v>
      </c>
      <c r="I28" s="121">
        <f t="shared" si="21"/>
        <v>1.2179888829273526</v>
      </c>
      <c r="J28" s="122">
        <v>3.6690999999999998</v>
      </c>
      <c r="K28" s="163">
        <f t="shared" si="22"/>
        <v>6.4004066843130397E-2</v>
      </c>
      <c r="L28" s="164">
        <f>SUM(K$16:K28)/$K$73</f>
        <v>3.0061225243918003E-3</v>
      </c>
      <c r="M28" s="22">
        <f t="shared" si="23"/>
        <v>6.4004066843130397E-2</v>
      </c>
      <c r="N28" s="22">
        <f t="shared" si="0"/>
        <v>6.4004066843130397E-2</v>
      </c>
      <c r="O28" s="237">
        <f>IF(E28&lt;I$3,P28*(1-I$6*D28/C28),IF(LEGPLUIMVEE!$H$11="droogtunnel (platen) 55%",((K28-P28)/I$4-(K28-P28))*(1-I$6)+K28-(K28-P28)/I$4-IF(D28&gt;E28,(D28-E28)/C28*(K28-P28)),P28*(1-$I$6)+(C28-D28)/C28*(K28-P28*(1-I$6))))</f>
        <v>6.4004066843130397E-2</v>
      </c>
      <c r="P28" s="162">
        <f t="shared" si="24"/>
        <v>6.4004066843130397E-2</v>
      </c>
      <c r="Q28" s="181">
        <f t="shared" si="29"/>
        <v>1</v>
      </c>
      <c r="R28" s="184">
        <f t="shared" si="25"/>
        <v>1</v>
      </c>
      <c r="S28" s="166">
        <f t="shared" si="2"/>
        <v>6.4004066843130397E-2</v>
      </c>
      <c r="T28" s="166">
        <f t="shared" si="26"/>
        <v>6.4004066843130397E-2</v>
      </c>
      <c r="U28" s="283">
        <f>IF(G28&lt;0.1,K28,IF(C28=F28,S28/(1-I$4),IF(I$3=0,K28-(G28/C28)*K28*U$13,IF(LEGPLUIMVEE!$H$13="Parallel geschakeld met warmtewisselaar",K28-(K28-(K28-S28)/I$4)*(G28/(C28-F28))*U$13,IF(LEGPLUIMVEE!$H$20="ja",K28-(K28-(K28-P28)/I$4)*(G28/(C28-MIN(D28,I$5)))*U$13,K28-(K28-(K28-P28)/I$4)*(G28/(C28-MIN(D27,I$5)))*U$13)))))</f>
        <v>6.4004066843130397E-2</v>
      </c>
      <c r="V28" s="278">
        <f t="shared" si="27"/>
        <v>1</v>
      </c>
      <c r="W28" s="273">
        <f t="shared" si="3"/>
        <v>0</v>
      </c>
      <c r="X28" s="22">
        <f t="shared" si="4"/>
        <v>6.4004066843130397E-2</v>
      </c>
      <c r="Y28" s="177">
        <f t="shared" si="5"/>
        <v>0</v>
      </c>
      <c r="Z28" s="163">
        <f t="shared" si="6"/>
        <v>6.4004066843130397E-2</v>
      </c>
      <c r="AA28" s="306"/>
      <c r="AB28" s="306"/>
      <c r="AC28" s="306"/>
      <c r="AD28" s="219">
        <f>IF(H28&lt;0.02,0,IF(LEGPLUIMVEE!$H$11="geen droogtunnel",IF(LEGPLUIMVEE!$H$15="geen warmtewisselaar",(P28-(K28-T28)/T$13),K28-(K28-O28)/I$6-(K28-T28)/95%)+IF(LEGPLUIMVEE!$J$18="ja",(K28-O28)*(1-I$6)),IF(LEGPLUIMVEE!$H$12&gt;=0,IF(LEGPLUIMVEE!$L$9="ja",IF(LEGPLUIMVEE!$J$18="ja",IF(LEGPLUIMVEE!$H$20="ja",O28-(K28-U28),IF(LEGPLUIMVEE!$H$20="nee",(O28-(K28-U28)),(O28-(K28-U28)))),IF(LEGPLUIMVEE!$J$18="nee",IF(LEGPLUIMVEE!$H$20="nee",O28-(K28-U28)/81%,O28-(K28-U28)))),IF(LEGPLUIMVEE!$L$9="nee",IF(LEGPLUIMVEE!$J$18="nee",IF(LEGPLUIMVEE!$H$20="nee",O28-(K28-U28)/95%,O28-(K28-U28)),IF(LEGPLUIMVEE!$H$20="nee",IF(LEGPLUIMVEE!$J$18="ja",IF(LEGPLUIMVEE!$L$9="nee",O28-(K28-U28))),O28-(K28-U28))))))))</f>
        <v>6.4004066843130397E-2</v>
      </c>
      <c r="AE28" s="239">
        <f>IF(H28&lt;0.02,0,IF(LEGPLUIMVEE!$H$11="geen droogtunnel",IF(LEGPLUIMVEE!$H$15="geen warmtewisselaar",(K28-(K28-T28)/T$13),K28-(K28-N28)/I$6-((K28-T28)/95%))+IF(LEGPLUIMVEE!$J$18="ja",(K28-O28)*(1-I$6)),IF(LEGPLUIMVEE!$H$12&gt;=0,IF(LEGPLUIMVEE!$L$9="ja",IF(LEGPLUIMVEE!$J$18="ja",IF(LEGPLUIMVEE!$H$20="ja",S28-(K28-N28)-(K28-U28),IF(LEGPLUIMVEE!$H$20="nee",(S28-(K28-N28)-(K28-U28)),(O28-(K28-U28)))),IF(LEGPLUIMVEE!$J$18="nee",IF(LEGPLUIMVEE!$H$20="nee",S28*$N$72-(K28-N28)-(K28-U28),S28-(K28-N28)-(K28-U28)))),IF(LEGPLUIMVEE!$L$9="nee",IF(LEGPLUIMVEE!$J$18="nee",IF(LEGPLUIMVEE!$H$20="nee",(N28-(K28-S28)/I$4-(K28-U28)),N28-(K28-S28)/I$4-(K28-U28)),IF(LEGPLUIMVEE!$H$20="nee",IF(LEGPLUIMVEE!$J$18="ja",IF(LEGPLUIMVEE!$L$9="nee",N28-(K28-S28)/I$4-(K28-U28))),N28-(K28-S28)/I$4-(K28-U28))))))))</f>
        <v>6.4004066843130397E-2</v>
      </c>
      <c r="AF28" s="219"/>
      <c r="AG28" s="164">
        <f t="shared" si="7"/>
        <v>1</v>
      </c>
      <c r="AH28" s="35">
        <f t="shared" si="8"/>
        <v>0</v>
      </c>
      <c r="AI28" s="36">
        <f t="shared" si="9"/>
        <v>3.6690999999999998</v>
      </c>
      <c r="AJ28" s="36">
        <f t="shared" si="10"/>
        <v>0</v>
      </c>
      <c r="AK28" s="37">
        <f t="shared" si="11"/>
        <v>0</v>
      </c>
      <c r="AL28" s="36">
        <f t="shared" si="28"/>
        <v>3.6690999999999998</v>
      </c>
      <c r="AM28" s="36">
        <f t="shared" si="12"/>
        <v>0</v>
      </c>
      <c r="AN28" s="37">
        <f t="shared" si="13"/>
        <v>1.2179888829273526</v>
      </c>
      <c r="AO28" s="36">
        <f t="shared" si="14"/>
        <v>6.4004066843130397E-2</v>
      </c>
      <c r="AP28" s="38">
        <f t="shared" si="15"/>
        <v>6.4004066843130397E-2</v>
      </c>
      <c r="AR28" s="123">
        <f t="shared" si="16"/>
        <v>3.6690999999999998</v>
      </c>
      <c r="AS28" s="123">
        <f t="shared" si="17"/>
        <v>3.6654308999999996</v>
      </c>
      <c r="AT28" s="123">
        <f t="shared" si="18"/>
        <v>3.6654308999999996</v>
      </c>
      <c r="AU28" s="123">
        <f t="shared" si="19"/>
        <v>6.4004066843130397E-2</v>
      </c>
    </row>
    <row r="29" spans="1:47" x14ac:dyDescent="0.25">
      <c r="A29" s="6">
        <v>-7</v>
      </c>
      <c r="B29" s="3">
        <v>20.237288135593221</v>
      </c>
      <c r="C29" s="5">
        <v>1.272522361184989</v>
      </c>
      <c r="D29" s="21">
        <f t="shared" si="20"/>
        <v>0</v>
      </c>
      <c r="E29" s="21">
        <f>IF(I$3=0,0,IF(LEGPLUIMVEE!$H$13="parallel geschakeld met warmtewisselaar",0,MIN(I$3,C29)))</f>
        <v>0</v>
      </c>
      <c r="F29" s="21">
        <f>IF(I$3=0,0,IF(LEGPLUIMVEE!$H$13="serie geschakeld met warmtewisselaar",0,IF(C29&lt;$I$3,C29-D29,MIN($I$3,C29-D29))))</f>
        <v>0</v>
      </c>
      <c r="G29" s="21">
        <f>IF(C29&lt;$I$7,MAX(0,C29-D29-E29-F29,IF(LEGPLUIMVEE!$H$15="warmtewisselaar",IF(LEGPLUIMVEE!$H$13="serie geschakeld met warmtewisselaar",MIN(I$7,MAX(0,C29-D29-F29)),MIN(I$7,MAX(0,'legh WW+droogt'!C29-D29-E29-F29))))),IF(LEGPLUIMVEE!$H$13="parallel geschakeld met warmtewisselaar",MIN(I$7,C29-D29-E29-F29,MIN(I$7,C29-E29-F29)),MIN(I$7,MAX(0,C29-D29-F29))))</f>
        <v>0</v>
      </c>
      <c r="H29" s="21">
        <f>IF(LEGPLUIMVEE!$H$13="parallel geschakeld met warmtewisselaar",IF(LEGPLUIMVEE!$L$9="nee",IF(LEGPLUIMVEE!$J$18="ja",C29-F29-G29,C29-D29-F29-G29),IF(LEGPLUIMVEE!$L$9="ja",IF(LEGPLUIMVEE!$J$18="ja",C29-G29,IF(LEGPLUIMVEE!$J$18="nee",C29-D29-G29)))),IF(LEGPLUIMVEE!$H$13="serie geschakeld met warmtewisselaar",IF(LEGPLUIMVEE!$J$18="ja",C29-G29,C29-D29-F29-G29),C29-D29-F29-G29))</f>
        <v>1.272522361184989</v>
      </c>
      <c r="I29" s="121">
        <f t="shared" si="21"/>
        <v>1.272522361184989</v>
      </c>
      <c r="J29" s="122">
        <v>3.6150000000000002</v>
      </c>
      <c r="K29" s="163">
        <f t="shared" si="22"/>
        <v>9.3094932081464063E-2</v>
      </c>
      <c r="L29" s="164">
        <f>SUM(K$16:K29)/$K$73</f>
        <v>4.5253325124688711E-3</v>
      </c>
      <c r="M29" s="22">
        <f t="shared" si="23"/>
        <v>9.3094932081464063E-2</v>
      </c>
      <c r="N29" s="22">
        <f t="shared" si="0"/>
        <v>9.3094932081464063E-2</v>
      </c>
      <c r="O29" s="237">
        <f>IF(E29&lt;I$3,P29*(1-I$6*D29/C29),IF(LEGPLUIMVEE!$H$11="droogtunnel (platen) 55%",((K29-P29)/I$4-(K29-P29))*(1-I$6)+K29-(K29-P29)/I$4-IF(D29&gt;E29,(D29-E29)/C29*(K29-P29)),P29*(1-$I$6)+(C29-D29)/C29*(K29-P29*(1-I$6))))</f>
        <v>9.3094932081464063E-2</v>
      </c>
      <c r="P29" s="162">
        <f t="shared" si="24"/>
        <v>9.3094932081464063E-2</v>
      </c>
      <c r="Q29" s="181">
        <f t="shared" si="29"/>
        <v>1</v>
      </c>
      <c r="R29" s="184">
        <f t="shared" si="25"/>
        <v>1</v>
      </c>
      <c r="S29" s="166">
        <f t="shared" si="2"/>
        <v>9.3094932081464063E-2</v>
      </c>
      <c r="T29" s="166">
        <f t="shared" si="26"/>
        <v>9.3094932081464063E-2</v>
      </c>
      <c r="U29" s="283">
        <f>IF(G29&lt;0.1,K29,IF(C29=F29,S29/(1-I$4),IF(I$3=0,K29-(G29/C29)*K29*U$13,IF(LEGPLUIMVEE!$H$13="Parallel geschakeld met warmtewisselaar",K29-(K29-(K29-S29)/I$4)*(G29/(C29-F29))*U$13,IF(LEGPLUIMVEE!$H$20="ja",K29-(K29-(K29-P29)/I$4)*(G29/(C29-MIN(D29,I$5)))*U$13,K29-(K29-(K29-P29)/I$4)*(G29/(C29-MIN(D28,I$5)))*U$13)))))</f>
        <v>9.3094932081464063E-2</v>
      </c>
      <c r="V29" s="278">
        <f t="shared" si="27"/>
        <v>1</v>
      </c>
      <c r="W29" s="273">
        <f t="shared" si="3"/>
        <v>0</v>
      </c>
      <c r="X29" s="22">
        <f t="shared" si="4"/>
        <v>9.3094932081464063E-2</v>
      </c>
      <c r="Y29" s="177">
        <f t="shared" si="5"/>
        <v>0</v>
      </c>
      <c r="Z29" s="163">
        <f t="shared" si="6"/>
        <v>9.3094932081464063E-2</v>
      </c>
      <c r="AA29" s="306"/>
      <c r="AB29" s="306"/>
      <c r="AC29" s="306"/>
      <c r="AD29" s="219">
        <f>IF(H29&lt;0.02,0,IF(LEGPLUIMVEE!$H$11="geen droogtunnel",IF(LEGPLUIMVEE!$H$15="geen warmtewisselaar",(P29-(K29-T29)/T$13),K29-(K29-O29)/I$6-(K29-T29)/95%)+IF(LEGPLUIMVEE!$J$18="ja",(K29-O29)*(1-I$6)),IF(LEGPLUIMVEE!$H$12&gt;=0,IF(LEGPLUIMVEE!$L$9="ja",IF(LEGPLUIMVEE!$J$18="ja",IF(LEGPLUIMVEE!$H$20="ja",O29-(K29-U29),IF(LEGPLUIMVEE!$H$20="nee",(O29-(K29-U29)),(O29-(K29-U29)))),IF(LEGPLUIMVEE!$J$18="nee",IF(LEGPLUIMVEE!$H$20="nee",O29-(K29-U29)/81%,O29-(K29-U29)))),IF(LEGPLUIMVEE!$L$9="nee",IF(LEGPLUIMVEE!$J$18="nee",IF(LEGPLUIMVEE!$H$20="nee",O29-(K29-U29)/95%,O29-(K29-U29)),IF(LEGPLUIMVEE!$H$20="nee",IF(LEGPLUIMVEE!$J$18="ja",IF(LEGPLUIMVEE!$L$9="nee",O29-(K29-U29))),O29-(K29-U29))))))))</f>
        <v>9.3094932081464063E-2</v>
      </c>
      <c r="AE29" s="239">
        <f>IF(H29&lt;0.02,0,IF(LEGPLUIMVEE!$H$11="geen droogtunnel",IF(LEGPLUIMVEE!$H$15="geen warmtewisselaar",(K29-(K29-T29)/T$13),K29-(K29-N29)/I$6-((K29-T29)/95%))+IF(LEGPLUIMVEE!$J$18="ja",(K29-O29)*(1-I$6)),IF(LEGPLUIMVEE!$H$12&gt;=0,IF(LEGPLUIMVEE!$L$9="ja",IF(LEGPLUIMVEE!$J$18="ja",IF(LEGPLUIMVEE!$H$20="ja",S29-(K29-N29)-(K29-U29),IF(LEGPLUIMVEE!$H$20="nee",(S29-(K29-N29)-(K29-U29)),(O29-(K29-U29)))),IF(LEGPLUIMVEE!$J$18="nee",IF(LEGPLUIMVEE!$H$20="nee",S29*$N$72-(K29-N29)-(K29-U29),S29-(K29-N29)-(K29-U29)))),IF(LEGPLUIMVEE!$L$9="nee",IF(LEGPLUIMVEE!$J$18="nee",IF(LEGPLUIMVEE!$H$20="nee",(N29-(K29-S29)/I$4-(K29-U29)),N29-(K29-S29)/I$4-(K29-U29)),IF(LEGPLUIMVEE!$H$20="nee",IF(LEGPLUIMVEE!$J$18="ja",IF(LEGPLUIMVEE!$L$9="nee",N29-(K29-S29)/I$4-(K29-U29))),N29-(K29-S29)/I$4-(K29-U29))))))))</f>
        <v>9.3094932081464063E-2</v>
      </c>
      <c r="AF29" s="219"/>
      <c r="AG29" s="164">
        <f t="shared" si="7"/>
        <v>1</v>
      </c>
      <c r="AH29" s="35">
        <f t="shared" si="8"/>
        <v>0</v>
      </c>
      <c r="AI29" s="36">
        <f t="shared" si="9"/>
        <v>3.6150000000000002</v>
      </c>
      <c r="AJ29" s="36">
        <f t="shared" si="10"/>
        <v>0</v>
      </c>
      <c r="AK29" s="37">
        <f t="shared" si="11"/>
        <v>0</v>
      </c>
      <c r="AL29" s="36">
        <f t="shared" si="28"/>
        <v>3.6150000000000002</v>
      </c>
      <c r="AM29" s="36">
        <f t="shared" si="12"/>
        <v>0</v>
      </c>
      <c r="AN29" s="37">
        <f t="shared" si="13"/>
        <v>1.272522361184989</v>
      </c>
      <c r="AO29" s="36">
        <f t="shared" si="14"/>
        <v>9.3094932081464063E-2</v>
      </c>
      <c r="AP29" s="38">
        <f t="shared" si="15"/>
        <v>9.3094932081464063E-2</v>
      </c>
      <c r="AR29" s="123">
        <f t="shared" si="16"/>
        <v>3.6150000000000002</v>
      </c>
      <c r="AS29" s="123">
        <f t="shared" si="17"/>
        <v>3.6113850000000003</v>
      </c>
      <c r="AT29" s="123">
        <f t="shared" si="18"/>
        <v>3.6113850000000003</v>
      </c>
      <c r="AU29" s="123">
        <f t="shared" si="19"/>
        <v>9.3094932081464063E-2</v>
      </c>
    </row>
    <row r="30" spans="1:47" x14ac:dyDescent="0.25">
      <c r="A30" s="6">
        <v>-6</v>
      </c>
      <c r="B30" s="3">
        <v>25.983050847457626</v>
      </c>
      <c r="C30" s="5">
        <v>1.3294974875500603</v>
      </c>
      <c r="D30" s="21">
        <f t="shared" si="20"/>
        <v>0</v>
      </c>
      <c r="E30" s="21">
        <f>IF(I$3=0,0,IF(LEGPLUIMVEE!$H$13="parallel geschakeld met warmtewisselaar",0,MIN(I$3,C30)))</f>
        <v>0</v>
      </c>
      <c r="F30" s="21">
        <f>IF(I$3=0,0,IF(LEGPLUIMVEE!$H$13="serie geschakeld met warmtewisselaar",0,IF(C30&lt;$I$3,C30-D30,MIN($I$3,C30-D30))))</f>
        <v>0</v>
      </c>
      <c r="G30" s="21">
        <f>IF(C30&lt;$I$7,MAX(0,C30-D30-E30-F30,IF(LEGPLUIMVEE!$H$15="warmtewisselaar",IF(LEGPLUIMVEE!$H$13="serie geschakeld met warmtewisselaar",MIN(I$7,MAX(0,C30-D30-F30)),MIN(I$7,MAX(0,'legh WW+droogt'!C30-D30-E30-F30))))),IF(LEGPLUIMVEE!$H$13="parallel geschakeld met warmtewisselaar",MIN(I$7,C30-D30-E30-F30,MIN(I$7,C30-E30-F30)),MIN(I$7,MAX(0,C30-D30-F30))))</f>
        <v>0</v>
      </c>
      <c r="H30" s="21">
        <f>IF(LEGPLUIMVEE!$H$13="parallel geschakeld met warmtewisselaar",IF(LEGPLUIMVEE!$L$9="nee",IF(LEGPLUIMVEE!$J$18="ja",C30-F30-G30,C30-D30-F30-G30),IF(LEGPLUIMVEE!$L$9="ja",IF(LEGPLUIMVEE!$J$18="ja",C30-G30,IF(LEGPLUIMVEE!$J$18="nee",C30-D30-G30)))),IF(LEGPLUIMVEE!$H$13="serie geschakeld met warmtewisselaar",IF(LEGPLUIMVEE!$J$18="ja",C30-G30,C30-D30-F30-G30),C30-D30-F30-G30))</f>
        <v>1.3294974875500603</v>
      </c>
      <c r="I30" s="121">
        <f t="shared" si="21"/>
        <v>1.3294974875500603</v>
      </c>
      <c r="J30" s="122">
        <v>3.5609000000000002</v>
      </c>
      <c r="K30" s="163">
        <f t="shared" si="22"/>
        <v>0.12300915688200467</v>
      </c>
      <c r="L30" s="164">
        <f>SUM(K$16:K30)/$K$73</f>
        <v>6.5327107400672511E-3</v>
      </c>
      <c r="M30" s="22">
        <f t="shared" si="23"/>
        <v>0.12300915688200467</v>
      </c>
      <c r="N30" s="22">
        <f t="shared" si="0"/>
        <v>0.12300915688200467</v>
      </c>
      <c r="O30" s="237">
        <f>IF(E30&lt;I$3,P30*(1-I$6*D30/C30),IF(LEGPLUIMVEE!$H$11="droogtunnel (platen) 55%",((K30-P30)/I$4-(K30-P30))*(1-I$6)+K30-(K30-P30)/I$4-IF(D30&gt;E30,(D30-E30)/C30*(K30-P30)),P30*(1-$I$6)+(C30-D30)/C30*(K30-P30*(1-I$6))))</f>
        <v>0.12300915688200467</v>
      </c>
      <c r="P30" s="162">
        <f t="shared" si="24"/>
        <v>0.12300915688200467</v>
      </c>
      <c r="Q30" s="181">
        <f t="shared" si="29"/>
        <v>1</v>
      </c>
      <c r="R30" s="184">
        <f t="shared" si="25"/>
        <v>1</v>
      </c>
      <c r="S30" s="166">
        <f t="shared" si="2"/>
        <v>0.12300915688200467</v>
      </c>
      <c r="T30" s="166">
        <f t="shared" si="26"/>
        <v>0.12300915688200467</v>
      </c>
      <c r="U30" s="283">
        <f>IF(G30&lt;0.1,K30,IF(C30=F30,S30/(1-I$4),IF(I$3=0,K30-(G30/C30)*K30*U$13,IF(LEGPLUIMVEE!$H$13="Parallel geschakeld met warmtewisselaar",K30-(K30-(K30-S30)/I$4)*(G30/(C30-F30))*U$13,IF(LEGPLUIMVEE!$H$20="ja",K30-(K30-(K30-P30)/I$4)*(G30/(C30-MIN(D30,I$5)))*U$13,K30-(K30-(K30-P30)/I$4)*(G30/(C30-MIN(D29,I$5)))*U$13)))))</f>
        <v>0.12300915688200467</v>
      </c>
      <c r="V30" s="278">
        <f t="shared" si="27"/>
        <v>1</v>
      </c>
      <c r="W30" s="273">
        <f t="shared" si="3"/>
        <v>0</v>
      </c>
      <c r="X30" s="22">
        <f t="shared" si="4"/>
        <v>0.12300915688200467</v>
      </c>
      <c r="Y30" s="177">
        <f t="shared" si="5"/>
        <v>0</v>
      </c>
      <c r="Z30" s="163">
        <f t="shared" si="6"/>
        <v>0.12300915688200467</v>
      </c>
      <c r="AA30" s="306"/>
      <c r="AB30" s="306"/>
      <c r="AC30" s="306"/>
      <c r="AD30" s="219">
        <f>IF(H30&lt;0.02,0,IF(LEGPLUIMVEE!$H$11="geen droogtunnel",IF(LEGPLUIMVEE!$H$15="geen warmtewisselaar",(P30-(K30-T30)/T$13),K30-(K30-O30)/I$6-(K30-T30)/95%)+IF(LEGPLUIMVEE!$J$18="ja",(K30-O30)*(1-I$6)),IF(LEGPLUIMVEE!$H$12&gt;=0,IF(LEGPLUIMVEE!$L$9="ja",IF(LEGPLUIMVEE!$J$18="ja",IF(LEGPLUIMVEE!$H$20="ja",O30-(K30-U30),IF(LEGPLUIMVEE!$H$20="nee",(O30-(K30-U30)),(O30-(K30-U30)))),IF(LEGPLUIMVEE!$J$18="nee",IF(LEGPLUIMVEE!$H$20="nee",O30-(K30-U30)/81%,O30-(K30-U30)))),IF(LEGPLUIMVEE!$L$9="nee",IF(LEGPLUIMVEE!$J$18="nee",IF(LEGPLUIMVEE!$H$20="nee",O30-(K30-U30)/95%,O30-(K30-U30)),IF(LEGPLUIMVEE!$H$20="nee",IF(LEGPLUIMVEE!$J$18="ja",IF(LEGPLUIMVEE!$L$9="nee",O30-(K30-U30))),O30-(K30-U30))))))))</f>
        <v>0.12300915688200467</v>
      </c>
      <c r="AE30" s="239">
        <f>IF(H30&lt;0.02,0,IF(LEGPLUIMVEE!$H$11="geen droogtunnel",IF(LEGPLUIMVEE!$H$15="geen warmtewisselaar",(K30-(K30-T30)/T$13),K30-(K30-N30)/I$6-((K30-T30)/95%))+IF(LEGPLUIMVEE!$J$18="ja",(K30-O30)*(1-I$6)),IF(LEGPLUIMVEE!$H$12&gt;=0,IF(LEGPLUIMVEE!$L$9="ja",IF(LEGPLUIMVEE!$J$18="ja",IF(LEGPLUIMVEE!$H$20="ja",S30-(K30-N30)-(K30-U30),IF(LEGPLUIMVEE!$H$20="nee",(S30-(K30-N30)-(K30-U30)),(O30-(K30-U30)))),IF(LEGPLUIMVEE!$J$18="nee",IF(LEGPLUIMVEE!$H$20="nee",S30*$N$72-(K30-N30)-(K30-U30),S30-(K30-N30)-(K30-U30)))),IF(LEGPLUIMVEE!$L$9="nee",IF(LEGPLUIMVEE!$J$18="nee",IF(LEGPLUIMVEE!$H$20="nee",(N30-(K30-S30)/I$4-(K30-U30)),N30-(K30-S30)/I$4-(K30-U30)),IF(LEGPLUIMVEE!$H$20="nee",IF(LEGPLUIMVEE!$J$18="ja",IF(LEGPLUIMVEE!$L$9="nee",N30-(K30-S30)/I$4-(K30-U30))),N30-(K30-S30)/I$4-(K30-U30))))))))</f>
        <v>0.12300915688200467</v>
      </c>
      <c r="AF30" s="219"/>
      <c r="AG30" s="164">
        <f t="shared" si="7"/>
        <v>1</v>
      </c>
      <c r="AH30" s="35">
        <f t="shared" si="8"/>
        <v>0</v>
      </c>
      <c r="AI30" s="36">
        <f t="shared" si="9"/>
        <v>3.5609000000000002</v>
      </c>
      <c r="AJ30" s="36">
        <f t="shared" si="10"/>
        <v>0</v>
      </c>
      <c r="AK30" s="37">
        <f t="shared" si="11"/>
        <v>0</v>
      </c>
      <c r="AL30" s="36">
        <f t="shared" si="28"/>
        <v>3.5609000000000002</v>
      </c>
      <c r="AM30" s="36">
        <f t="shared" si="12"/>
        <v>0</v>
      </c>
      <c r="AN30" s="37">
        <f t="shared" si="13"/>
        <v>1.3294974875500603</v>
      </c>
      <c r="AO30" s="36">
        <f t="shared" si="14"/>
        <v>0.12300915688200467</v>
      </c>
      <c r="AP30" s="38">
        <f t="shared" si="15"/>
        <v>0.12300915688200467</v>
      </c>
      <c r="AR30" s="123">
        <f t="shared" si="16"/>
        <v>3.5609000000000002</v>
      </c>
      <c r="AS30" s="123">
        <f t="shared" si="17"/>
        <v>3.5573391000000001</v>
      </c>
      <c r="AT30" s="123">
        <f t="shared" si="18"/>
        <v>3.5573391000000001</v>
      </c>
      <c r="AU30" s="123">
        <f t="shared" si="19"/>
        <v>0.12300915688200467</v>
      </c>
    </row>
    <row r="31" spans="1:47" x14ac:dyDescent="0.25">
      <c r="A31" s="6">
        <v>-5</v>
      </c>
      <c r="B31" s="3">
        <v>34.559322033898304</v>
      </c>
      <c r="C31" s="5">
        <v>1.3890235828594357</v>
      </c>
      <c r="D31" s="21">
        <f t="shared" si="20"/>
        <v>0</v>
      </c>
      <c r="E31" s="21">
        <f>IF(I$3=0,0,IF(LEGPLUIMVEE!$H$13="parallel geschakeld met warmtewisselaar",0,MIN(I$3,C31)))</f>
        <v>0</v>
      </c>
      <c r="F31" s="21">
        <f>IF(I$3=0,0,IF(LEGPLUIMVEE!$H$13="serie geschakeld met warmtewisselaar",0,IF(C31&lt;$I$3,C31-D31,MIN($I$3,C31-D31))))</f>
        <v>0</v>
      </c>
      <c r="G31" s="21">
        <f>IF(C31&lt;$I$7,MAX(0,C31-D31-E31-F31,IF(LEGPLUIMVEE!$H$15="warmtewisselaar",IF(LEGPLUIMVEE!$H$13="serie geschakeld met warmtewisselaar",MIN(I$7,MAX(0,C31-D31-F31)),MIN(I$7,MAX(0,'legh WW+droogt'!C31-D31-E31-F31))))),IF(LEGPLUIMVEE!$H$13="parallel geschakeld met warmtewisselaar",MIN(I$7,C31-D31-E31-F31,MIN(I$7,C31-E31-F31)),MIN(I$7,MAX(0,C31-D31-F31))))</f>
        <v>0</v>
      </c>
      <c r="H31" s="21">
        <f>IF(LEGPLUIMVEE!$H$13="parallel geschakeld met warmtewisselaar",IF(LEGPLUIMVEE!$L$9="nee",IF(LEGPLUIMVEE!$J$18="ja",C31-F31-G31,C31-D31-F31-G31),IF(LEGPLUIMVEE!$L$9="ja",IF(LEGPLUIMVEE!$J$18="ja",C31-G31,IF(LEGPLUIMVEE!$J$18="nee",C31-D31-G31)))),IF(LEGPLUIMVEE!$H$13="serie geschakeld met warmtewisselaar",IF(LEGPLUIMVEE!$J$18="ja",C31-G31,C31-D31-F31-G31),C31-D31-F31-G31))</f>
        <v>1.3890235828594357</v>
      </c>
      <c r="I31" s="121">
        <f t="shared" si="21"/>
        <v>1.3890235828594357</v>
      </c>
      <c r="J31" s="122">
        <v>3.5068000000000001</v>
      </c>
      <c r="K31" s="163">
        <f t="shared" si="22"/>
        <v>0.16833942184504111</v>
      </c>
      <c r="L31" s="164">
        <f>SUM(K$16:K31)/$K$73</f>
        <v>9.2798305384931678E-3</v>
      </c>
      <c r="M31" s="22">
        <f t="shared" si="23"/>
        <v>0.16833942184504111</v>
      </c>
      <c r="N31" s="22">
        <f t="shared" si="0"/>
        <v>0.16833942184504111</v>
      </c>
      <c r="O31" s="237">
        <f>IF(E31&lt;I$3,P31*(1-I$6*D31/C31),IF(LEGPLUIMVEE!$H$11="droogtunnel (platen) 55%",((K31-P31)/I$4-(K31-P31))*(1-I$6)+K31-(K31-P31)/I$4-IF(D31&gt;E31,(D31-E31)/C31*(K31-P31)),P31*(1-$I$6)+(C31-D31)/C31*(K31-P31*(1-I$6))))</f>
        <v>0.16833942184504111</v>
      </c>
      <c r="P31" s="162">
        <f t="shared" si="24"/>
        <v>0.16833942184504111</v>
      </c>
      <c r="Q31" s="181">
        <f t="shared" si="29"/>
        <v>1</v>
      </c>
      <c r="R31" s="184">
        <f t="shared" si="25"/>
        <v>1</v>
      </c>
      <c r="S31" s="166">
        <f t="shared" si="2"/>
        <v>0.16833942184504111</v>
      </c>
      <c r="T31" s="166">
        <f t="shared" si="26"/>
        <v>0.16833942184504111</v>
      </c>
      <c r="U31" s="283">
        <f>IF(G31&lt;0.1,K31,IF(C31=F31,S31/(1-I$4),IF(I$3=0,K31-(G31/C31)*K31*U$13,IF(LEGPLUIMVEE!$H$13="Parallel geschakeld met warmtewisselaar",K31-(K31-(K31-S31)/I$4)*(G31/(C31-F31))*U$13,IF(LEGPLUIMVEE!$H$20="ja",K31-(K31-(K31-P31)/I$4)*(G31/(C31-MIN(D31,I$5)))*U$13,K31-(K31-(K31-P31)/I$4)*(G31/(C31-MIN(D30,I$5)))*U$13)))))</f>
        <v>0.16833942184504111</v>
      </c>
      <c r="V31" s="278">
        <f t="shared" si="27"/>
        <v>1</v>
      </c>
      <c r="W31" s="273">
        <f t="shared" si="3"/>
        <v>0</v>
      </c>
      <c r="X31" s="22">
        <f t="shared" si="4"/>
        <v>0.16833942184504111</v>
      </c>
      <c r="Y31" s="177">
        <f t="shared" si="5"/>
        <v>0</v>
      </c>
      <c r="Z31" s="163">
        <f t="shared" si="6"/>
        <v>0.16833942184504111</v>
      </c>
      <c r="AA31" s="306"/>
      <c r="AB31" s="306"/>
      <c r="AC31" s="306"/>
      <c r="AD31" s="219">
        <f>IF(H31&lt;0.02,0,IF(LEGPLUIMVEE!$H$11="geen droogtunnel",IF(LEGPLUIMVEE!$H$15="geen warmtewisselaar",(P31-(K31-T31)/T$13),K31-(K31-O31)/I$6-(K31-T31)/95%)+IF(LEGPLUIMVEE!$J$18="ja",(K31-O31)*(1-I$6)),IF(LEGPLUIMVEE!$H$12&gt;=0,IF(LEGPLUIMVEE!$L$9="ja",IF(LEGPLUIMVEE!$J$18="ja",IF(LEGPLUIMVEE!$H$20="ja",O31-(K31-U31),IF(LEGPLUIMVEE!$H$20="nee",(O31-(K31-U31)),(O31-(K31-U31)))),IF(LEGPLUIMVEE!$J$18="nee",IF(LEGPLUIMVEE!$H$20="nee",O31-(K31-U31)/81%,O31-(K31-U31)))),IF(LEGPLUIMVEE!$L$9="nee",IF(LEGPLUIMVEE!$J$18="nee",IF(LEGPLUIMVEE!$H$20="nee",O31-(K31-U31)/95%,O31-(K31-U31)),IF(LEGPLUIMVEE!$H$20="nee",IF(LEGPLUIMVEE!$J$18="ja",IF(LEGPLUIMVEE!$L$9="nee",O31-(K31-U31))),O31-(K31-U31))))))))</f>
        <v>0.16833942184504111</v>
      </c>
      <c r="AE31" s="239">
        <f>IF(H31&lt;0.02,0,IF(LEGPLUIMVEE!$H$11="geen droogtunnel",IF(LEGPLUIMVEE!$H$15="geen warmtewisselaar",(K31-(K31-T31)/T$13),K31-(K31-N31)/I$6-((K31-T31)/95%))+IF(LEGPLUIMVEE!$J$18="ja",(K31-O31)*(1-I$6)),IF(LEGPLUIMVEE!$H$12&gt;=0,IF(LEGPLUIMVEE!$L$9="ja",IF(LEGPLUIMVEE!$J$18="ja",IF(LEGPLUIMVEE!$H$20="ja",S31-(K31-N31)-(K31-U31),IF(LEGPLUIMVEE!$H$20="nee",(S31-(K31-N31)-(K31-U31)),(O31-(K31-U31)))),IF(LEGPLUIMVEE!$J$18="nee",IF(LEGPLUIMVEE!$H$20="nee",S31*$N$72-(K31-N31)-(K31-U31),S31-(K31-N31)-(K31-U31)))),IF(LEGPLUIMVEE!$L$9="nee",IF(LEGPLUIMVEE!$J$18="nee",IF(LEGPLUIMVEE!$H$20="nee",(N31-(K31-S31)/I$4-(K31-U31)),N31-(K31-S31)/I$4-(K31-U31)),IF(LEGPLUIMVEE!$H$20="nee",IF(LEGPLUIMVEE!$J$18="ja",IF(LEGPLUIMVEE!$L$9="nee",N31-(K31-S31)/I$4-(K31-U31))),N31-(K31-S31)/I$4-(K31-U31))))))))</f>
        <v>0.16833942184504111</v>
      </c>
      <c r="AF31" s="219"/>
      <c r="AG31" s="164">
        <f t="shared" si="7"/>
        <v>1</v>
      </c>
      <c r="AH31" s="35">
        <f t="shared" si="8"/>
        <v>0</v>
      </c>
      <c r="AI31" s="36">
        <f t="shared" si="9"/>
        <v>3.5068000000000001</v>
      </c>
      <c r="AJ31" s="36">
        <f t="shared" si="10"/>
        <v>0</v>
      </c>
      <c r="AK31" s="37">
        <f t="shared" si="11"/>
        <v>0</v>
      </c>
      <c r="AL31" s="36">
        <f t="shared" si="28"/>
        <v>3.5068000000000001</v>
      </c>
      <c r="AM31" s="36">
        <f t="shared" si="12"/>
        <v>0</v>
      </c>
      <c r="AN31" s="37">
        <f t="shared" si="13"/>
        <v>1.3890235828594357</v>
      </c>
      <c r="AO31" s="36">
        <f t="shared" si="14"/>
        <v>0.16833942184504111</v>
      </c>
      <c r="AP31" s="38">
        <f t="shared" si="15"/>
        <v>0.16833942184504111</v>
      </c>
      <c r="AR31" s="123">
        <f t="shared" si="16"/>
        <v>3.5068000000000001</v>
      </c>
      <c r="AS31" s="123">
        <f t="shared" si="17"/>
        <v>3.5032932000000003</v>
      </c>
      <c r="AT31" s="123">
        <f t="shared" si="18"/>
        <v>3.5032932000000003</v>
      </c>
      <c r="AU31" s="123">
        <f t="shared" si="19"/>
        <v>0.16833942184504111</v>
      </c>
    </row>
    <row r="32" spans="1:47" x14ac:dyDescent="0.25">
      <c r="A32" s="6">
        <v>-4</v>
      </c>
      <c r="B32" s="3">
        <v>47.610169491525426</v>
      </c>
      <c r="C32" s="5">
        <v>1.4512148626132815</v>
      </c>
      <c r="D32" s="21">
        <f t="shared" si="20"/>
        <v>0</v>
      </c>
      <c r="E32" s="21">
        <f>IF(I$3=0,0,IF(LEGPLUIMVEE!$H$13="parallel geschakeld met warmtewisselaar",0,MIN(I$3,C32)))</f>
        <v>0</v>
      </c>
      <c r="F32" s="21">
        <f>IF(I$3=0,0,IF(LEGPLUIMVEE!$H$13="serie geschakeld met warmtewisselaar",0,IF(C32&lt;$I$3,C32-D32,MIN($I$3,C32-D32))))</f>
        <v>0</v>
      </c>
      <c r="G32" s="21">
        <f>IF(C32&lt;$I$7,MAX(0,C32-D32-E32-F32,IF(LEGPLUIMVEE!$H$15="warmtewisselaar",IF(LEGPLUIMVEE!$H$13="serie geschakeld met warmtewisselaar",MIN(I$7,MAX(0,C32-D32-F32)),MIN(I$7,MAX(0,'legh WW+droogt'!C32-D32-E32-F32))))),IF(LEGPLUIMVEE!$H$13="parallel geschakeld met warmtewisselaar",MIN(I$7,C32-D32-E32-F32,MIN(I$7,C32-E32-F32)),MIN(I$7,MAX(0,C32-D32-F32))))</f>
        <v>0</v>
      </c>
      <c r="H32" s="21">
        <f>IF(LEGPLUIMVEE!$H$13="parallel geschakeld met warmtewisselaar",IF(LEGPLUIMVEE!$L$9="nee",IF(LEGPLUIMVEE!$J$18="ja",C32-F32-G32,C32-D32-F32-G32),IF(LEGPLUIMVEE!$L$9="ja",IF(LEGPLUIMVEE!$J$18="ja",C32-G32,IF(LEGPLUIMVEE!$J$18="nee",C32-D32-G32)))),IF(LEGPLUIMVEE!$H$13="serie geschakeld met warmtewisselaar",IF(LEGPLUIMVEE!$J$18="ja",C32-G32,C32-D32-F32-G32),C32-D32-F32-G32))</f>
        <v>1.4512148626132815</v>
      </c>
      <c r="I32" s="121">
        <f t="shared" si="21"/>
        <v>1.4512148626132815</v>
      </c>
      <c r="J32" s="122">
        <v>3.4527000000000001</v>
      </c>
      <c r="K32" s="163">
        <f t="shared" si="22"/>
        <v>0.23855597022391456</v>
      </c>
      <c r="L32" s="164">
        <f>SUM(K$16:K32)/$K$73</f>
        <v>1.3172809507127566E-2</v>
      </c>
      <c r="M32" s="22">
        <f t="shared" si="23"/>
        <v>0.23855597022391456</v>
      </c>
      <c r="N32" s="22">
        <f t="shared" si="0"/>
        <v>0.23855597022391456</v>
      </c>
      <c r="O32" s="237">
        <f>IF(E32&lt;I$3,P32*(1-I$6*D32/C32),IF(LEGPLUIMVEE!$H$11="droogtunnel (platen) 55%",((K32-P32)/I$4-(K32-P32))*(1-I$6)+K32-(K32-P32)/I$4-IF(D32&gt;E32,(D32-E32)/C32*(K32-P32)),P32*(1-$I$6)+(C32-D32)/C32*(K32-P32*(1-I$6))))</f>
        <v>0.23855597022391456</v>
      </c>
      <c r="P32" s="162">
        <f t="shared" si="24"/>
        <v>0.23855597022391456</v>
      </c>
      <c r="Q32" s="181">
        <f t="shared" si="29"/>
        <v>1</v>
      </c>
      <c r="R32" s="184">
        <f t="shared" si="25"/>
        <v>1</v>
      </c>
      <c r="S32" s="166">
        <f t="shared" si="2"/>
        <v>0.23855597022391456</v>
      </c>
      <c r="T32" s="166">
        <f t="shared" si="26"/>
        <v>0.23855597022391456</v>
      </c>
      <c r="U32" s="283">
        <f>IF(G32&lt;0.1,K32,IF(C32=F32,S32/(1-I$4),IF(I$3=0,K32-(G32/C32)*K32*U$13,IF(LEGPLUIMVEE!$H$13="Parallel geschakeld met warmtewisselaar",K32-(K32-(K32-S32)/I$4)*(G32/(C32-F32))*U$13,IF(LEGPLUIMVEE!$H$20="ja",K32-(K32-(K32-P32)/I$4)*(G32/(C32-MIN(D32,I$5)))*U$13,K32-(K32-(K32-P32)/I$4)*(G32/(C32-MIN(D31,I$5)))*U$13)))))</f>
        <v>0.23855597022391456</v>
      </c>
      <c r="V32" s="278">
        <f t="shared" si="27"/>
        <v>1</v>
      </c>
      <c r="W32" s="273">
        <f t="shared" si="3"/>
        <v>0</v>
      </c>
      <c r="X32" s="22">
        <f t="shared" si="4"/>
        <v>0.23855597022391456</v>
      </c>
      <c r="Y32" s="177">
        <f t="shared" si="5"/>
        <v>0</v>
      </c>
      <c r="Z32" s="163">
        <f t="shared" si="6"/>
        <v>0.23855597022391456</v>
      </c>
      <c r="AA32" s="306"/>
      <c r="AB32" s="306"/>
      <c r="AC32" s="306"/>
      <c r="AD32" s="219">
        <f>IF(H32&lt;0.02,0,IF(LEGPLUIMVEE!$H$11="geen droogtunnel",IF(LEGPLUIMVEE!$H$15="geen warmtewisselaar",(P32-(K32-T32)/T$13),K32-(K32-O32)/I$6-(K32-T32)/95%)+IF(LEGPLUIMVEE!$J$18="ja",(K32-O32)*(1-I$6)),IF(LEGPLUIMVEE!$H$12&gt;=0,IF(LEGPLUIMVEE!$L$9="ja",IF(LEGPLUIMVEE!$J$18="ja",IF(LEGPLUIMVEE!$H$20="ja",O32-(K32-U32),IF(LEGPLUIMVEE!$H$20="nee",(O32-(K32-U32)),(O32-(K32-U32)))),IF(LEGPLUIMVEE!$J$18="nee",IF(LEGPLUIMVEE!$H$20="nee",O32-(K32-U32)/81%,O32-(K32-U32)))),IF(LEGPLUIMVEE!$L$9="nee",IF(LEGPLUIMVEE!$J$18="nee",IF(LEGPLUIMVEE!$H$20="nee",O32-(K32-U32)/95%,O32-(K32-U32)),IF(LEGPLUIMVEE!$H$20="nee",IF(LEGPLUIMVEE!$J$18="ja",IF(LEGPLUIMVEE!$L$9="nee",O32-(K32-U32))),O32-(K32-U32))))))))</f>
        <v>0.23855597022391456</v>
      </c>
      <c r="AE32" s="239">
        <f>IF(H32&lt;0.02,0,IF(LEGPLUIMVEE!$H$11="geen droogtunnel",IF(LEGPLUIMVEE!$H$15="geen warmtewisselaar",(K32-(K32-T32)/T$13),K32-(K32-N32)/I$6-((K32-T32)/95%))+IF(LEGPLUIMVEE!$J$18="ja",(K32-O32)*(1-I$6)),IF(LEGPLUIMVEE!$H$12&gt;=0,IF(LEGPLUIMVEE!$L$9="ja",IF(LEGPLUIMVEE!$J$18="ja",IF(LEGPLUIMVEE!$H$20="ja",S32-(K32-N32)-(K32-U32),IF(LEGPLUIMVEE!$H$20="nee",(S32-(K32-N32)-(K32-U32)),(O32-(K32-U32)))),IF(LEGPLUIMVEE!$J$18="nee",IF(LEGPLUIMVEE!$H$20="nee",S32*$N$72-(K32-N32)-(K32-U32),S32-(K32-N32)-(K32-U32)))),IF(LEGPLUIMVEE!$L$9="nee",IF(LEGPLUIMVEE!$J$18="nee",IF(LEGPLUIMVEE!$H$20="nee",(N32-(K32-S32)/I$4-(K32-U32)),N32-(K32-S32)/I$4-(K32-U32)),IF(LEGPLUIMVEE!$H$20="nee",IF(LEGPLUIMVEE!$J$18="ja",IF(LEGPLUIMVEE!$L$9="nee",N32-(K32-S32)/I$4-(K32-U32))),N32-(K32-S32)/I$4-(K32-U32))))))))</f>
        <v>0.23855597022391456</v>
      </c>
      <c r="AF32" s="219"/>
      <c r="AG32" s="164">
        <f t="shared" si="7"/>
        <v>1</v>
      </c>
      <c r="AH32" s="35">
        <f t="shared" si="8"/>
        <v>0</v>
      </c>
      <c r="AI32" s="36">
        <f t="shared" si="9"/>
        <v>3.4527000000000001</v>
      </c>
      <c r="AJ32" s="36">
        <f t="shared" si="10"/>
        <v>0</v>
      </c>
      <c r="AK32" s="37">
        <f t="shared" si="11"/>
        <v>0</v>
      </c>
      <c r="AL32" s="36">
        <f t="shared" si="28"/>
        <v>3.4527000000000001</v>
      </c>
      <c r="AM32" s="36">
        <f t="shared" si="12"/>
        <v>0</v>
      </c>
      <c r="AN32" s="37">
        <f t="shared" si="13"/>
        <v>1.4512148626132815</v>
      </c>
      <c r="AO32" s="36">
        <f t="shared" si="14"/>
        <v>0.23855597022391456</v>
      </c>
      <c r="AP32" s="38">
        <f t="shared" si="15"/>
        <v>0.23855597022391456</v>
      </c>
      <c r="AR32" s="123">
        <f t="shared" si="16"/>
        <v>3.4527000000000001</v>
      </c>
      <c r="AS32" s="123">
        <f t="shared" si="17"/>
        <v>3.4492473000000001</v>
      </c>
      <c r="AT32" s="123">
        <f t="shared" si="18"/>
        <v>3.4492473000000001</v>
      </c>
      <c r="AU32" s="123">
        <f t="shared" si="19"/>
        <v>0.23855597022391456</v>
      </c>
    </row>
    <row r="33" spans="1:47" x14ac:dyDescent="0.25">
      <c r="A33" s="6">
        <v>-3</v>
      </c>
      <c r="B33" s="3">
        <v>69.881355932203391</v>
      </c>
      <c r="C33" s="5">
        <v>1.5161906561256764</v>
      </c>
      <c r="D33" s="21">
        <f t="shared" si="20"/>
        <v>0</v>
      </c>
      <c r="E33" s="21">
        <f>IF(I$3=0,0,IF(LEGPLUIMVEE!$H$13="parallel geschakeld met warmtewisselaar",0,MIN(I$3,C33)))</f>
        <v>0</v>
      </c>
      <c r="F33" s="21">
        <f>IF(I$3=0,0,IF(LEGPLUIMVEE!$H$13="serie geschakeld met warmtewisselaar",0,IF(C33&lt;$I$3,C33-D33,MIN($I$3,C33-D33))))</f>
        <v>0</v>
      </c>
      <c r="G33" s="21">
        <f>IF(C33&lt;$I$7,MAX(0,C33-D33-E33-F33,IF(LEGPLUIMVEE!$H$15="warmtewisselaar",IF(LEGPLUIMVEE!$H$13="serie geschakeld met warmtewisselaar",MIN(I$7,MAX(0,C33-D33-F33)),MIN(I$7,MAX(0,'legh WW+droogt'!C33-D33-E33-F33))))),IF(LEGPLUIMVEE!$H$13="parallel geschakeld met warmtewisselaar",MIN(I$7,C33-D33-E33-F33,MIN(I$7,C33-E33-F33)),MIN(I$7,MAX(0,C33-D33-F33))))</f>
        <v>0</v>
      </c>
      <c r="H33" s="21">
        <f>IF(LEGPLUIMVEE!$H$13="parallel geschakeld met warmtewisselaar",IF(LEGPLUIMVEE!$L$9="nee",IF(LEGPLUIMVEE!$J$18="ja",C33-F33-G33,C33-D33-F33-G33),IF(LEGPLUIMVEE!$L$9="ja",IF(LEGPLUIMVEE!$J$18="ja",C33-G33,IF(LEGPLUIMVEE!$J$18="nee",C33-D33-G33)))),IF(LEGPLUIMVEE!$H$13="serie geschakeld met warmtewisselaar",IF(LEGPLUIMVEE!$J$18="ja",C33-G33,C33-D33-F33-G33),C33-D33-F33-G33))</f>
        <v>1.5161906561256764</v>
      </c>
      <c r="I33" s="121">
        <f t="shared" si="21"/>
        <v>1.5161906561256764</v>
      </c>
      <c r="J33" s="122">
        <v>3.3986000000000001</v>
      </c>
      <c r="K33" s="163">
        <f t="shared" si="22"/>
        <v>0.36009342542365536</v>
      </c>
      <c r="L33" s="164">
        <f>SUM(K$16:K33)/$K$73</f>
        <v>1.9049150101756205E-2</v>
      </c>
      <c r="M33" s="22">
        <f t="shared" si="23"/>
        <v>0.36009342542365536</v>
      </c>
      <c r="N33" s="22">
        <f t="shared" si="0"/>
        <v>0.36009342542365536</v>
      </c>
      <c r="O33" s="237">
        <f>IF(E33&lt;I$3,P33*(1-I$6*D33/C33),IF(LEGPLUIMVEE!$H$11="droogtunnel (platen) 55%",((K33-P33)/I$4-(K33-P33))*(1-I$6)+K33-(K33-P33)/I$4-IF(D33&gt;E33,(D33-E33)/C33*(K33-P33)),P33*(1-$I$6)+(C33-D33)/C33*(K33-P33*(1-I$6))))</f>
        <v>0.36009342542365536</v>
      </c>
      <c r="P33" s="162">
        <f t="shared" si="24"/>
        <v>0.36009342542365536</v>
      </c>
      <c r="Q33" s="181">
        <f t="shared" si="29"/>
        <v>1</v>
      </c>
      <c r="R33" s="184">
        <f t="shared" si="25"/>
        <v>1</v>
      </c>
      <c r="S33" s="166">
        <f t="shared" si="2"/>
        <v>0.36009342542365536</v>
      </c>
      <c r="T33" s="166">
        <f t="shared" si="26"/>
        <v>0.36009342542365536</v>
      </c>
      <c r="U33" s="283">
        <f>IF(G33&lt;0.1,K33,IF(C33=F33,S33/(1-I$4),IF(I$3=0,K33-(G33/C33)*K33*U$13,IF(LEGPLUIMVEE!$H$13="Parallel geschakeld met warmtewisselaar",K33-(K33-(K33-S33)/I$4)*(G33/(C33-F33))*U$13,IF(LEGPLUIMVEE!$H$20="ja",K33-(K33-(K33-P33)/I$4)*(G33/(C33-MIN(D33,I$5)))*U$13,K33-(K33-(K33-P33)/I$4)*(G33/(C33-MIN(D32,I$5)))*U$13)))))</f>
        <v>0.36009342542365536</v>
      </c>
      <c r="V33" s="278">
        <f t="shared" si="27"/>
        <v>1</v>
      </c>
      <c r="W33" s="273">
        <f t="shared" si="3"/>
        <v>0</v>
      </c>
      <c r="X33" s="22">
        <f t="shared" si="4"/>
        <v>0.36009342542365536</v>
      </c>
      <c r="Y33" s="177">
        <f t="shared" si="5"/>
        <v>0</v>
      </c>
      <c r="Z33" s="163">
        <f t="shared" si="6"/>
        <v>0.36009342542365536</v>
      </c>
      <c r="AA33" s="306"/>
      <c r="AB33" s="306"/>
      <c r="AC33" s="306"/>
      <c r="AD33" s="219">
        <f>IF(H33&lt;0.02,0,IF(LEGPLUIMVEE!$H$11="geen droogtunnel",IF(LEGPLUIMVEE!$H$15="geen warmtewisselaar",(P33-(K33-T33)/T$13),K33-(K33-O33)/I$6-(K33-T33)/95%)+IF(LEGPLUIMVEE!$J$18="ja",(K33-O33)*(1-I$6)),IF(LEGPLUIMVEE!$H$12&gt;=0,IF(LEGPLUIMVEE!$L$9="ja",IF(LEGPLUIMVEE!$J$18="ja",IF(LEGPLUIMVEE!$H$20="ja",O33-(K33-U33),IF(LEGPLUIMVEE!$H$20="nee",(O33-(K33-U33)),(O33-(K33-U33)))),IF(LEGPLUIMVEE!$J$18="nee",IF(LEGPLUIMVEE!$H$20="nee",O33-(K33-U33)/81%,O33-(K33-U33)))),IF(LEGPLUIMVEE!$L$9="nee",IF(LEGPLUIMVEE!$J$18="nee",IF(LEGPLUIMVEE!$H$20="nee",O33-(K33-U33)/95%,O33-(K33-U33)),IF(LEGPLUIMVEE!$H$20="nee",IF(LEGPLUIMVEE!$J$18="ja",IF(LEGPLUIMVEE!$L$9="nee",O33-(K33-U33))),O33-(K33-U33))))))))</f>
        <v>0.36009342542365536</v>
      </c>
      <c r="AE33" s="239">
        <f>IF(H33&lt;0.02,0,IF(LEGPLUIMVEE!$H$11="geen droogtunnel",IF(LEGPLUIMVEE!$H$15="geen warmtewisselaar",(K33-(K33-T33)/T$13),K33-(K33-N33)/I$6-((K33-T33)/95%))+IF(LEGPLUIMVEE!$J$18="ja",(K33-O33)*(1-I$6)),IF(LEGPLUIMVEE!$H$12&gt;=0,IF(LEGPLUIMVEE!$L$9="ja",IF(LEGPLUIMVEE!$J$18="ja",IF(LEGPLUIMVEE!$H$20="ja",S33-(K33-N33)-(K33-U33),IF(LEGPLUIMVEE!$H$20="nee",(S33-(K33-N33)-(K33-U33)),(O33-(K33-U33)))),IF(LEGPLUIMVEE!$J$18="nee",IF(LEGPLUIMVEE!$H$20="nee",S33*$N$72-(K33-N33)-(K33-U33),S33-(K33-N33)-(K33-U33)))),IF(LEGPLUIMVEE!$L$9="nee",IF(LEGPLUIMVEE!$J$18="nee",IF(LEGPLUIMVEE!$H$20="nee",(N33-(K33-S33)/I$4-(K33-U33)),N33-(K33-S33)/I$4-(K33-U33)),IF(LEGPLUIMVEE!$H$20="nee",IF(LEGPLUIMVEE!$J$18="ja",IF(LEGPLUIMVEE!$L$9="nee",N33-(K33-S33)/I$4-(K33-U33))),N33-(K33-S33)/I$4-(K33-U33))))))))</f>
        <v>0.36009342542365536</v>
      </c>
      <c r="AF33" s="219"/>
      <c r="AG33" s="164">
        <f t="shared" si="7"/>
        <v>1</v>
      </c>
      <c r="AH33" s="35">
        <f t="shared" si="8"/>
        <v>0</v>
      </c>
      <c r="AI33" s="36">
        <f t="shared" si="9"/>
        <v>3.3986000000000001</v>
      </c>
      <c r="AJ33" s="36">
        <f t="shared" si="10"/>
        <v>0</v>
      </c>
      <c r="AK33" s="37">
        <f t="shared" si="11"/>
        <v>0</v>
      </c>
      <c r="AL33" s="36">
        <f t="shared" si="28"/>
        <v>3.3986000000000001</v>
      </c>
      <c r="AM33" s="36">
        <f t="shared" si="12"/>
        <v>0</v>
      </c>
      <c r="AN33" s="37">
        <f t="shared" si="13"/>
        <v>1.5161906561256764</v>
      </c>
      <c r="AO33" s="36">
        <f t="shared" si="14"/>
        <v>0.36009342542365536</v>
      </c>
      <c r="AP33" s="38">
        <f t="shared" si="15"/>
        <v>0.36009342542365536</v>
      </c>
      <c r="AR33" s="123">
        <f t="shared" si="16"/>
        <v>3.3986000000000001</v>
      </c>
      <c r="AS33" s="123">
        <f t="shared" si="17"/>
        <v>3.3952013999999999</v>
      </c>
      <c r="AT33" s="123">
        <f t="shared" si="18"/>
        <v>3.3952013999999999</v>
      </c>
      <c r="AU33" s="123">
        <f t="shared" si="19"/>
        <v>0.36009342542365541</v>
      </c>
    </row>
    <row r="34" spans="1:47" x14ac:dyDescent="0.25">
      <c r="A34" s="6">
        <v>-2</v>
      </c>
      <c r="B34" s="3">
        <v>100.20338983050847</v>
      </c>
      <c r="C34" s="5">
        <v>1.5840756354873415</v>
      </c>
      <c r="D34" s="21">
        <f t="shared" si="20"/>
        <v>0</v>
      </c>
      <c r="E34" s="21">
        <f>IF(I$3=0,0,IF(LEGPLUIMVEE!$H$13="parallel geschakeld met warmtewisselaar",0,MIN(I$3,C34)))</f>
        <v>0</v>
      </c>
      <c r="F34" s="21">
        <f>IF(I$3=0,0,IF(LEGPLUIMVEE!$H$13="serie geschakeld met warmtewisselaar",0,IF(C34&lt;$I$3,C34-D34,MIN($I$3,C34-D34))))</f>
        <v>0</v>
      </c>
      <c r="G34" s="21">
        <f>IF(C34&lt;$I$7,MAX(0,C34-D34-E34-F34,IF(LEGPLUIMVEE!$H$15="warmtewisselaar",IF(LEGPLUIMVEE!$H$13="serie geschakeld met warmtewisselaar",MIN(I$7,MAX(0,C34-D34-F34)),MIN(I$7,MAX(0,'legh WW+droogt'!C34-D34-E34-F34))))),IF(LEGPLUIMVEE!$H$13="parallel geschakeld met warmtewisselaar",MIN(I$7,C34-D34-E34-F34,MIN(I$7,C34-E34-F34)),MIN(I$7,MAX(0,C34-D34-F34))))</f>
        <v>0</v>
      </c>
      <c r="H34" s="21">
        <f>IF(LEGPLUIMVEE!$H$13="parallel geschakeld met warmtewisselaar",IF(LEGPLUIMVEE!$L$9="nee",IF(LEGPLUIMVEE!$J$18="ja",C34-F34-G34,C34-D34-F34-G34),IF(LEGPLUIMVEE!$L$9="ja",IF(LEGPLUIMVEE!$J$18="ja",C34-G34,IF(LEGPLUIMVEE!$J$18="nee",C34-D34-G34)))),IF(LEGPLUIMVEE!$H$13="serie geschakeld met warmtewisselaar",IF(LEGPLUIMVEE!$J$18="ja",C34-G34,C34-D34-F34-G34),C34-D34-F34-G34))</f>
        <v>1.5840756354873415</v>
      </c>
      <c r="I34" s="121">
        <f t="shared" si="21"/>
        <v>1.5840756354873415</v>
      </c>
      <c r="J34" s="122">
        <v>3.3445</v>
      </c>
      <c r="K34" s="163">
        <f t="shared" si="22"/>
        <v>0.53087164360322692</v>
      </c>
      <c r="L34" s="164">
        <f>SUM(K$16:K34)/$K$73</f>
        <v>2.771240904954908E-2</v>
      </c>
      <c r="M34" s="22">
        <f t="shared" si="23"/>
        <v>0.53087164360322692</v>
      </c>
      <c r="N34" s="22">
        <f t="shared" si="0"/>
        <v>0.53087164360322692</v>
      </c>
      <c r="O34" s="237">
        <f>IF(E34&lt;I$3,P34*(1-I$6*D34/C34),IF(LEGPLUIMVEE!$H$11="droogtunnel (platen) 55%",((K34-P34)/I$4-(K34-P34))*(1-I$6)+K34-(K34-P34)/I$4-IF(D34&gt;E34,(D34-E34)/C34*(K34-P34)),P34*(1-$I$6)+(C34-D34)/C34*(K34-P34*(1-I$6))))</f>
        <v>0.53087164360322692</v>
      </c>
      <c r="P34" s="162">
        <f t="shared" si="24"/>
        <v>0.53087164360322692</v>
      </c>
      <c r="Q34" s="181">
        <f t="shared" si="29"/>
        <v>1</v>
      </c>
      <c r="R34" s="184">
        <f t="shared" si="25"/>
        <v>1</v>
      </c>
      <c r="S34" s="166">
        <f t="shared" si="2"/>
        <v>0.53087164360322692</v>
      </c>
      <c r="T34" s="166">
        <f t="shared" si="26"/>
        <v>0.53087164360322692</v>
      </c>
      <c r="U34" s="283">
        <f>IF(G34&lt;0.1,K34,IF(C34=F34,S34/(1-I$4),IF(I$3=0,K34-(G34/C34)*K34*U$13,IF(LEGPLUIMVEE!$H$13="Parallel geschakeld met warmtewisselaar",K34-(K34-(K34-S34)/I$4)*(G34/(C34-F34))*U$13,IF(LEGPLUIMVEE!$H$20="ja",K34-(K34-(K34-P34)/I$4)*(G34/(C34-MIN(D34,I$5)))*U$13,K34-(K34-(K34-P34)/I$4)*(G34/(C34-MIN(D33,I$5)))*U$13)))))</f>
        <v>0.53087164360322692</v>
      </c>
      <c r="V34" s="278">
        <f t="shared" ref="V34:V40" si="30">U34/O34</f>
        <v>1</v>
      </c>
      <c r="W34" s="273">
        <f t="shared" si="3"/>
        <v>0</v>
      </c>
      <c r="X34" s="22">
        <f t="shared" si="4"/>
        <v>0.53087164360322692</v>
      </c>
      <c r="Y34" s="177">
        <f t="shared" si="5"/>
        <v>0</v>
      </c>
      <c r="Z34" s="163">
        <f t="shared" si="6"/>
        <v>0.53087164360322692</v>
      </c>
      <c r="AA34" s="306"/>
      <c r="AB34" s="306"/>
      <c r="AC34" s="306"/>
      <c r="AD34" s="219">
        <f>IF(H34&lt;0.02,0,IF(LEGPLUIMVEE!$H$11="geen droogtunnel",IF(LEGPLUIMVEE!$H$15="geen warmtewisselaar",(P34-(K34-T34)/T$13),K34-(K34-O34)/I$6-(K34-T34)/95%)+IF(LEGPLUIMVEE!$J$18="ja",(K34-O34)*(1-I$6)),IF(LEGPLUIMVEE!$H$12&gt;=0,IF(LEGPLUIMVEE!$L$9="ja",IF(LEGPLUIMVEE!$J$18="ja",IF(LEGPLUIMVEE!$H$20="ja",O34-(K34-U34),IF(LEGPLUIMVEE!$H$20="nee",(O34-(K34-U34)),(O34-(K34-U34)))),IF(LEGPLUIMVEE!$J$18="nee",IF(LEGPLUIMVEE!$H$20="nee",O34-(K34-U34)/81%,O34-(K34-U34)))),IF(LEGPLUIMVEE!$L$9="nee",IF(LEGPLUIMVEE!$J$18="nee",IF(LEGPLUIMVEE!$H$20="nee",O34-(K34-U34)/95%,O34-(K34-U34)),IF(LEGPLUIMVEE!$H$20="nee",IF(LEGPLUIMVEE!$J$18="ja",IF(LEGPLUIMVEE!$L$9="nee",O34-(K34-U34))),O34-(K34-U34))))))))</f>
        <v>0.53087164360322692</v>
      </c>
      <c r="AE34" s="239">
        <f>IF(H34&lt;0.02,0,IF(LEGPLUIMVEE!$H$11="geen droogtunnel",IF(LEGPLUIMVEE!$H$15="geen warmtewisselaar",(K34-(K34-T34)/T$13),K34-(K34-N34)/I$6-((K34-T34)/95%))+IF(LEGPLUIMVEE!$J$18="ja",(K34-O34)*(1-I$6)),IF(LEGPLUIMVEE!$H$12&gt;=0,IF(LEGPLUIMVEE!$L$9="ja",IF(LEGPLUIMVEE!$J$18="ja",IF(LEGPLUIMVEE!$H$20="ja",S34-(K34-N34)-(K34-U34),IF(LEGPLUIMVEE!$H$20="nee",(S34-(K34-N34)-(K34-U34)),(O34-(K34-U34)))),IF(LEGPLUIMVEE!$J$18="nee",IF(LEGPLUIMVEE!$H$20="nee",S34*$N$72-(K34-N34)-(K34-U34),S34-(K34-N34)-(K34-U34)))),IF(LEGPLUIMVEE!$L$9="nee",IF(LEGPLUIMVEE!$J$18="nee",IF(LEGPLUIMVEE!$H$20="nee",(N34-(K34-S34)/I$4-(K34-U34)),N34-(K34-S34)/I$4-(K34-U34)),IF(LEGPLUIMVEE!$H$20="nee",IF(LEGPLUIMVEE!$J$18="ja",IF(LEGPLUIMVEE!$L$9="nee",N34-(K34-S34)/I$4-(K34-U34))),N34-(K34-S34)/I$4-(K34-U34))))))))</f>
        <v>0.53087164360322692</v>
      </c>
      <c r="AF34" s="219"/>
      <c r="AG34" s="164">
        <f t="shared" si="7"/>
        <v>1</v>
      </c>
      <c r="AH34" s="35">
        <f t="shared" si="8"/>
        <v>0</v>
      </c>
      <c r="AI34" s="36">
        <f t="shared" si="9"/>
        <v>3.3445</v>
      </c>
      <c r="AJ34" s="36">
        <f t="shared" si="10"/>
        <v>0</v>
      </c>
      <c r="AK34" s="37">
        <f t="shared" si="11"/>
        <v>0</v>
      </c>
      <c r="AL34" s="36">
        <f t="shared" si="28"/>
        <v>3.3445</v>
      </c>
      <c r="AM34" s="36">
        <f t="shared" si="12"/>
        <v>0</v>
      </c>
      <c r="AN34" s="37">
        <f t="shared" si="13"/>
        <v>1.5840756354873415</v>
      </c>
      <c r="AO34" s="36">
        <f t="shared" si="14"/>
        <v>0.53087164360322692</v>
      </c>
      <c r="AP34" s="38">
        <f t="shared" si="15"/>
        <v>0.53087164360322692</v>
      </c>
      <c r="AR34" s="123">
        <f t="shared" si="16"/>
        <v>3.3445</v>
      </c>
      <c r="AS34" s="123">
        <f t="shared" si="17"/>
        <v>3.3411555000000002</v>
      </c>
      <c r="AT34" s="123">
        <f t="shared" si="18"/>
        <v>3.3411555000000002</v>
      </c>
      <c r="AU34" s="123">
        <f t="shared" si="19"/>
        <v>0.53087164360322692</v>
      </c>
    </row>
    <row r="35" spans="1:47" x14ac:dyDescent="0.25">
      <c r="A35" s="6">
        <v>-1</v>
      </c>
      <c r="B35" s="3">
        <v>137</v>
      </c>
      <c r="C35" s="5">
        <v>1.6550000547798065</v>
      </c>
      <c r="D35" s="21">
        <f t="shared" si="20"/>
        <v>0</v>
      </c>
      <c r="E35" s="21">
        <f>IF(I$3=0,0,IF(LEGPLUIMVEE!$H$13="parallel geschakeld met warmtewisselaar",0,MIN(I$3,C35)))</f>
        <v>0</v>
      </c>
      <c r="F35" s="21">
        <f>IF(I$3=0,0,IF(LEGPLUIMVEE!$H$13="serie geschakeld met warmtewisselaar",0,IF(C35&lt;$I$3,C35-D35,MIN($I$3,C35-D35))))</f>
        <v>0</v>
      </c>
      <c r="G35" s="21">
        <f>IF(C35&lt;$I$7,MAX(0,C35-D35-E35-F35,IF(LEGPLUIMVEE!$H$15="warmtewisselaar",IF(LEGPLUIMVEE!$H$13="serie geschakeld met warmtewisselaar",MIN(I$7,MAX(0,C35-D35-F35)),MIN(I$7,MAX(0,'legh WW+droogt'!C35-D35-E35-F35))))),IF(LEGPLUIMVEE!$H$13="parallel geschakeld met warmtewisselaar",MIN(I$7,C35-D35-E35-F35,MIN(I$7,C35-E35-F35)),MIN(I$7,MAX(0,C35-D35-F35))))</f>
        <v>0</v>
      </c>
      <c r="H35" s="21">
        <f>IF(LEGPLUIMVEE!$H$13="parallel geschakeld met warmtewisselaar",IF(LEGPLUIMVEE!$L$9="nee",IF(LEGPLUIMVEE!$J$18="ja",C35-F35-G35,C35-D35-F35-G35),IF(LEGPLUIMVEE!$L$9="ja",IF(LEGPLUIMVEE!$J$18="ja",C35-G35,IF(LEGPLUIMVEE!$J$18="nee",C35-D35-G35)))),IF(LEGPLUIMVEE!$H$13="serie geschakeld met warmtewisselaar",IF(LEGPLUIMVEE!$J$18="ja",C35-G35,C35-D35-F35-G35),C35-D35-F35-G35))</f>
        <v>1.6550000547798065</v>
      </c>
      <c r="I35" s="121">
        <f t="shared" si="21"/>
        <v>1.6550000547798065</v>
      </c>
      <c r="J35" s="122">
        <v>3.2904</v>
      </c>
      <c r="K35" s="163">
        <f t="shared" si="22"/>
        <v>0.74604886869390419</v>
      </c>
      <c r="L35" s="164">
        <f>SUM(K$16:K35)/$K$73</f>
        <v>3.988713078329046E-2</v>
      </c>
      <c r="M35" s="22">
        <f t="shared" si="23"/>
        <v>0.74604886869390419</v>
      </c>
      <c r="N35" s="22">
        <f t="shared" si="0"/>
        <v>0.74604886869390419</v>
      </c>
      <c r="O35" s="237">
        <f>IF(E35&lt;I$3,P35*(1-I$6*D35/C35),IF(LEGPLUIMVEE!$H$11="droogtunnel (platen) 55%",((K35-P35)/I$4-(K35-P35))*(1-I$6)+K35-(K35-P35)/I$4-IF(D35&gt;E35,(D35-E35)/C35*(K35-P35)),P35*(1-$I$6)+(C35-D35)/C35*(K35-P35*(1-I$6))))</f>
        <v>0.74604886869390419</v>
      </c>
      <c r="P35" s="162">
        <f t="shared" si="24"/>
        <v>0.74604886869390419</v>
      </c>
      <c r="Q35" s="181">
        <f t="shared" si="29"/>
        <v>1</v>
      </c>
      <c r="R35" s="184">
        <f t="shared" si="25"/>
        <v>1</v>
      </c>
      <c r="S35" s="166">
        <f t="shared" si="2"/>
        <v>0.74604886869390419</v>
      </c>
      <c r="T35" s="166">
        <f t="shared" si="26"/>
        <v>0.74604886869390419</v>
      </c>
      <c r="U35" s="283">
        <f>IF(G35&lt;0.1,K35,IF(C35=F35,S35/(1-I$4),IF(I$3=0,K35-(G35/C35)*K35*U$13,IF(LEGPLUIMVEE!$H$13="Parallel geschakeld met warmtewisselaar",K35-(K35-(K35-S35)/I$4)*(G35/(C35-F35))*U$13,IF(LEGPLUIMVEE!$H$20="ja",K35-(K35-(K35-P35)/I$4)*(G35/(C35-MIN(D35,I$5)))*U$13,K35-(K35-(K35-P35)/I$4)*(G35/(C35-MIN(D34,I$5)))*U$13)))))</f>
        <v>0.74604886869390419</v>
      </c>
      <c r="V35" s="278">
        <f t="shared" si="30"/>
        <v>1</v>
      </c>
      <c r="W35" s="273">
        <f t="shared" si="3"/>
        <v>0</v>
      </c>
      <c r="X35" s="22">
        <f t="shared" si="4"/>
        <v>0.74604886869390419</v>
      </c>
      <c r="Y35" s="177">
        <f t="shared" si="5"/>
        <v>0</v>
      </c>
      <c r="Z35" s="163">
        <f t="shared" si="6"/>
        <v>0.74604886869390419</v>
      </c>
      <c r="AA35" s="306"/>
      <c r="AB35" s="306"/>
      <c r="AC35" s="306"/>
      <c r="AD35" s="219">
        <f>IF(H35&lt;0.02,0,IF(LEGPLUIMVEE!$H$11="geen droogtunnel",IF(LEGPLUIMVEE!$H$15="geen warmtewisselaar",(P35-(K35-T35)/T$13),K35-(K35-O35)/I$6-(K35-T35)/95%)+IF(LEGPLUIMVEE!$J$18="ja",(K35-O35)*(1-I$6)),IF(LEGPLUIMVEE!$H$12&gt;=0,IF(LEGPLUIMVEE!$L$9="ja",IF(LEGPLUIMVEE!$J$18="ja",IF(LEGPLUIMVEE!$H$20="ja",O35-(K35-U35),IF(LEGPLUIMVEE!$H$20="nee",(O35-(K35-U35)),(O35-(K35-U35)))),IF(LEGPLUIMVEE!$J$18="nee",IF(LEGPLUIMVEE!$H$20="nee",O35-(K35-U35)/81%,O35-(K35-U35)))),IF(LEGPLUIMVEE!$L$9="nee",IF(LEGPLUIMVEE!$J$18="nee",IF(LEGPLUIMVEE!$H$20="nee",O35-(K35-U35)/95%,O35-(K35-U35)),IF(LEGPLUIMVEE!$H$20="nee",IF(LEGPLUIMVEE!$J$18="ja",IF(LEGPLUIMVEE!$L$9="nee",O35-(K35-U35))),O35-(K35-U35))))))))</f>
        <v>0.74604886869390419</v>
      </c>
      <c r="AE35" s="239">
        <f>IF(H35&lt;0.02,0,IF(LEGPLUIMVEE!$H$11="geen droogtunnel",IF(LEGPLUIMVEE!$H$15="geen warmtewisselaar",(K35-(K35-T35)/T$13),K35-(K35-N35)/I$6-((K35-T35)/95%))+IF(LEGPLUIMVEE!$J$18="ja",(K35-O35)*(1-I$6)),IF(LEGPLUIMVEE!$H$12&gt;=0,IF(LEGPLUIMVEE!$L$9="ja",IF(LEGPLUIMVEE!$J$18="ja",IF(LEGPLUIMVEE!$H$20="ja",S35-(K35-N35)-(K35-U35),IF(LEGPLUIMVEE!$H$20="nee",(S35-(K35-N35)-(K35-U35)),(O35-(K35-U35)))),IF(LEGPLUIMVEE!$J$18="nee",IF(LEGPLUIMVEE!$H$20="nee",S35*$N$72-(K35-N35)-(K35-U35),S35-(K35-N35)-(K35-U35)))),IF(LEGPLUIMVEE!$L$9="nee",IF(LEGPLUIMVEE!$J$18="nee",IF(LEGPLUIMVEE!$H$20="nee",(N35-(K35-S35)/I$4-(K35-U35)),N35-(K35-S35)/I$4-(K35-U35)),IF(LEGPLUIMVEE!$H$20="nee",IF(LEGPLUIMVEE!$J$18="ja",IF(LEGPLUIMVEE!$L$9="nee",N35-(K35-S35)/I$4-(K35-U35))),N35-(K35-S35)/I$4-(K35-U35))))))))</f>
        <v>0.74604886869390419</v>
      </c>
      <c r="AF35" s="219"/>
      <c r="AG35" s="164">
        <f t="shared" si="7"/>
        <v>1</v>
      </c>
      <c r="AH35" s="35">
        <f t="shared" si="8"/>
        <v>0</v>
      </c>
      <c r="AI35" s="36">
        <f t="shared" si="9"/>
        <v>3.2904</v>
      </c>
      <c r="AJ35" s="36">
        <f t="shared" si="10"/>
        <v>0</v>
      </c>
      <c r="AK35" s="37">
        <f t="shared" si="11"/>
        <v>0</v>
      </c>
      <c r="AL35" s="36">
        <f t="shared" si="28"/>
        <v>3.2904</v>
      </c>
      <c r="AM35" s="36">
        <f t="shared" si="12"/>
        <v>0</v>
      </c>
      <c r="AN35" s="37">
        <f t="shared" si="13"/>
        <v>1.6550000547798065</v>
      </c>
      <c r="AO35" s="36">
        <f t="shared" si="14"/>
        <v>0.74604886869390419</v>
      </c>
      <c r="AP35" s="38">
        <f t="shared" si="15"/>
        <v>0.74604886869390419</v>
      </c>
      <c r="AR35" s="123">
        <f t="shared" si="16"/>
        <v>3.2904</v>
      </c>
      <c r="AS35" s="123">
        <f t="shared" si="17"/>
        <v>3.2871096</v>
      </c>
      <c r="AT35" s="123">
        <f t="shared" si="18"/>
        <v>3.2871096</v>
      </c>
      <c r="AU35" s="123">
        <f t="shared" si="19"/>
        <v>0.74604886869390419</v>
      </c>
    </row>
    <row r="36" spans="1:47" x14ac:dyDescent="0.25">
      <c r="A36" s="6">
        <v>0</v>
      </c>
      <c r="B36" s="3">
        <v>198.37288135593221</v>
      </c>
      <c r="C36" s="5">
        <v>1.7291000000000001</v>
      </c>
      <c r="D36" s="21">
        <f t="shared" si="20"/>
        <v>0</v>
      </c>
      <c r="E36" s="21">
        <f>IF(I$3=0,0,IF(LEGPLUIMVEE!$H$13="parallel geschakeld met warmtewisselaar",0,MIN(I$3,C36)))</f>
        <v>0</v>
      </c>
      <c r="F36" s="21">
        <f>IF(I$3=0,0,IF(LEGPLUIMVEE!$H$13="serie geschakeld met warmtewisselaar",0,IF(C36&lt;$I$3,C36-D36,MIN($I$3,C36-D36))))</f>
        <v>0</v>
      </c>
      <c r="G36" s="21">
        <f>IF(C36&lt;$I$7,MAX(0,C36-D36-E36-F36,IF(LEGPLUIMVEE!$H$15="warmtewisselaar",IF(LEGPLUIMVEE!$H$13="serie geschakeld met warmtewisselaar",MIN(I$7,MAX(0,C36-D36-F36)),MIN(I$7,MAX(0,'legh WW+droogt'!C36-D36-E36-F36))))),IF(LEGPLUIMVEE!$H$13="parallel geschakeld met warmtewisselaar",MIN(I$7,C36-D36-E36-F36,MIN(I$7,C36-E36-F36)),MIN(I$7,MAX(0,C36-D36-F36))))</f>
        <v>0</v>
      </c>
      <c r="H36" s="21">
        <f>IF(LEGPLUIMVEE!$H$13="parallel geschakeld met warmtewisselaar",IF(LEGPLUIMVEE!$L$9="nee",IF(LEGPLUIMVEE!$J$18="ja",C36-F36-G36,C36-D36-F36-G36),IF(LEGPLUIMVEE!$L$9="ja",IF(LEGPLUIMVEE!$J$18="ja",C36-G36,IF(LEGPLUIMVEE!$J$18="nee",C36-D36-G36)))),IF(LEGPLUIMVEE!$H$13="serie geschakeld met warmtewisselaar",IF(LEGPLUIMVEE!$J$18="ja",C36-G36,C36-D36-F36-G36),C36-D36-F36-G36))</f>
        <v>1.7291000000000001</v>
      </c>
      <c r="I36" s="121">
        <f t="shared" si="21"/>
        <v>1.7291000000000001</v>
      </c>
      <c r="J36" s="122">
        <v>3.2363</v>
      </c>
      <c r="K36" s="163">
        <f t="shared" si="22"/>
        <v>1.110072095022373</v>
      </c>
      <c r="L36" s="164">
        <f>SUM(K$16:K36)/$K$73</f>
        <v>5.8002323270545199E-2</v>
      </c>
      <c r="M36" s="22">
        <f t="shared" si="23"/>
        <v>1.110072095022373</v>
      </c>
      <c r="N36" s="22">
        <f t="shared" si="0"/>
        <v>1.110072095022373</v>
      </c>
      <c r="O36" s="237">
        <f>IF(E36&lt;I$3,P36*(1-I$6*D36/C36),IF(LEGPLUIMVEE!$H$11="droogtunnel (platen) 55%",((K36-P36)/I$4-(K36-P36))*(1-I$6)+K36-(K36-P36)/I$4-IF(D36&gt;E36,(D36-E36)/C36*(K36-P36)),P36*(1-$I$6)+(C36-D36)/C36*(K36-P36*(1-I$6))))</f>
        <v>1.110072095022373</v>
      </c>
      <c r="P36" s="162">
        <f t="shared" si="24"/>
        <v>1.110072095022373</v>
      </c>
      <c r="Q36" s="181">
        <f t="shared" si="29"/>
        <v>1</v>
      </c>
      <c r="R36" s="184">
        <f t="shared" si="25"/>
        <v>1</v>
      </c>
      <c r="S36" s="166">
        <f t="shared" si="2"/>
        <v>1.110072095022373</v>
      </c>
      <c r="T36" s="166">
        <f t="shared" si="26"/>
        <v>1.110072095022373</v>
      </c>
      <c r="U36" s="283">
        <f>IF(G36&lt;0.1,K36,IF(C36=F36,S36/(1-I$4),IF(I$3=0,K36-(G36/C36)*K36*U$13,IF(LEGPLUIMVEE!$H$13="Parallel geschakeld met warmtewisselaar",K36-(K36-(K36-S36)/I$4)*(G36/(C36-F36))*U$13,IF(LEGPLUIMVEE!$H$20="ja",K36-(K36-(K36-P36)/I$4)*(G36/(C36-MIN(D36,I$5)))*U$13,K36-(K36-(K36-P36)/I$4)*(G36/(C36-MIN(D35,I$5)))*U$13)))))</f>
        <v>1.110072095022373</v>
      </c>
      <c r="V36" s="278">
        <f t="shared" si="30"/>
        <v>1</v>
      </c>
      <c r="W36" s="273">
        <f t="shared" si="3"/>
        <v>0</v>
      </c>
      <c r="X36" s="22">
        <f t="shared" si="4"/>
        <v>1.110072095022373</v>
      </c>
      <c r="Y36" s="177">
        <f t="shared" si="5"/>
        <v>0</v>
      </c>
      <c r="Z36" s="163">
        <f t="shared" si="6"/>
        <v>1.110072095022373</v>
      </c>
      <c r="AA36" s="306"/>
      <c r="AB36" s="306"/>
      <c r="AC36" s="306"/>
      <c r="AD36" s="219">
        <f>IF(H36&lt;0.02,0,IF(LEGPLUIMVEE!$H$11="geen droogtunnel",IF(LEGPLUIMVEE!$H$15="geen warmtewisselaar",(P36-(K36-T36)/T$13),K36-(K36-O36)/I$6-(K36-T36)/95%)+IF(LEGPLUIMVEE!$J$18="ja",(K36-O36)*(1-I$6)),IF(LEGPLUIMVEE!$H$12&gt;=0,IF(LEGPLUIMVEE!$L$9="ja",IF(LEGPLUIMVEE!$J$18="ja",IF(LEGPLUIMVEE!$H$20="ja",O36-(K36-U36),IF(LEGPLUIMVEE!$H$20="nee",(O36-(K36-U36)),(O36-(K36-U36)))),IF(LEGPLUIMVEE!$J$18="nee",IF(LEGPLUIMVEE!$H$20="nee",O36-(K36-U36)/81%,O36-(K36-U36)))),IF(LEGPLUIMVEE!$L$9="nee",IF(LEGPLUIMVEE!$J$18="nee",IF(LEGPLUIMVEE!$H$20="nee",O36-(K36-U36)/95%,O36-(K36-U36)),IF(LEGPLUIMVEE!$H$20="nee",IF(LEGPLUIMVEE!$J$18="ja",IF(LEGPLUIMVEE!$L$9="nee",O36-(K36-U36))),O36-(K36-U36))))))))</f>
        <v>1.110072095022373</v>
      </c>
      <c r="AE36" s="239">
        <f>IF(H36&lt;0.02,0,IF(LEGPLUIMVEE!$H$11="geen droogtunnel",IF(LEGPLUIMVEE!$H$15="geen warmtewisselaar",(K36-(K36-T36)/T$13),K36-(K36-N36)/I$6-((K36-T36)/95%))+IF(LEGPLUIMVEE!$J$18="ja",(K36-O36)*(1-I$6)),IF(LEGPLUIMVEE!$H$12&gt;=0,IF(LEGPLUIMVEE!$L$9="ja",IF(LEGPLUIMVEE!$J$18="ja",IF(LEGPLUIMVEE!$H$20="ja",S36-(K36-N36)-(K36-U36),IF(LEGPLUIMVEE!$H$20="nee",(S36-(K36-N36)-(K36-U36)),(O36-(K36-U36)))),IF(LEGPLUIMVEE!$J$18="nee",IF(LEGPLUIMVEE!$H$20="nee",S36*$N$72-(K36-N36)-(K36-U36),S36-(K36-N36)-(K36-U36)))),IF(LEGPLUIMVEE!$L$9="nee",IF(LEGPLUIMVEE!$J$18="nee",IF(LEGPLUIMVEE!$H$20="nee",(N36-(K36-S36)/I$4-(K36-U36)),N36-(K36-S36)/I$4-(K36-U36)),IF(LEGPLUIMVEE!$H$20="nee",IF(LEGPLUIMVEE!$J$18="ja",IF(LEGPLUIMVEE!$L$9="nee",N36-(K36-S36)/I$4-(K36-U36))),N36-(K36-S36)/I$4-(K36-U36))))))))</f>
        <v>1.110072095022373</v>
      </c>
      <c r="AF36" s="219"/>
      <c r="AG36" s="164">
        <f t="shared" si="7"/>
        <v>1</v>
      </c>
      <c r="AH36" s="35">
        <f t="shared" si="8"/>
        <v>0</v>
      </c>
      <c r="AI36" s="36">
        <f t="shared" si="9"/>
        <v>3.2363</v>
      </c>
      <c r="AJ36" s="36">
        <f t="shared" si="10"/>
        <v>0</v>
      </c>
      <c r="AK36" s="37">
        <f t="shared" si="11"/>
        <v>0</v>
      </c>
      <c r="AL36" s="36">
        <f t="shared" si="28"/>
        <v>3.2363</v>
      </c>
      <c r="AM36" s="36">
        <f t="shared" si="12"/>
        <v>0</v>
      </c>
      <c r="AN36" s="37">
        <f t="shared" si="13"/>
        <v>1.7291000000000001</v>
      </c>
      <c r="AO36" s="36">
        <f t="shared" si="14"/>
        <v>1.110072095022373</v>
      </c>
      <c r="AP36" s="38">
        <f t="shared" si="15"/>
        <v>1.110072095022373</v>
      </c>
      <c r="AR36" s="123">
        <f t="shared" si="16"/>
        <v>3.2363</v>
      </c>
      <c r="AS36" s="123">
        <f t="shared" si="17"/>
        <v>3.2330636999999998</v>
      </c>
      <c r="AT36" s="123">
        <f t="shared" si="18"/>
        <v>3.2330636999999998</v>
      </c>
      <c r="AU36" s="123">
        <f t="shared" si="19"/>
        <v>1.110072095022373</v>
      </c>
    </row>
    <row r="37" spans="1:47" x14ac:dyDescent="0.25">
      <c r="A37" s="6">
        <v>1</v>
      </c>
      <c r="B37" s="3">
        <v>250.03389830508473</v>
      </c>
      <c r="C37" s="5">
        <v>1.8065176501748113</v>
      </c>
      <c r="D37" s="21">
        <f t="shared" si="20"/>
        <v>0</v>
      </c>
      <c r="E37" s="21">
        <f>IF(I$3=0,0,IF(LEGPLUIMVEE!$H$13="parallel geschakeld met warmtewisselaar",0,MIN(I$3,C37)))</f>
        <v>0</v>
      </c>
      <c r="F37" s="21">
        <f>IF(I$3=0,0,IF(LEGPLUIMVEE!$H$13="serie geschakeld met warmtewisselaar",0,IF(C37&lt;$I$3,C37-D37,MIN($I$3,C37-D37))))</f>
        <v>0</v>
      </c>
      <c r="G37" s="21">
        <f>IF(C37&lt;$I$7,MAX(0,C37-D37-E37-F37,IF(LEGPLUIMVEE!$H$15="warmtewisselaar",IF(LEGPLUIMVEE!$H$13="serie geschakeld met warmtewisselaar",MIN(I$7,MAX(0,C37-D37-F37)),MIN(I$7,MAX(0,'legh WW+droogt'!C37-D37-E37-F37))))),IF(LEGPLUIMVEE!$H$13="parallel geschakeld met warmtewisselaar",MIN(I$7,C37-D37-E37-F37,MIN(I$7,C37-E37-F37)),MIN(I$7,MAX(0,C37-D37-F37))))</f>
        <v>0</v>
      </c>
      <c r="H37" s="21">
        <f>IF(LEGPLUIMVEE!$H$13="parallel geschakeld met warmtewisselaar",IF(LEGPLUIMVEE!$L$9="nee",IF(LEGPLUIMVEE!$J$18="ja",C37-F37-G37,C37-D37-F37-G37),IF(LEGPLUIMVEE!$L$9="ja",IF(LEGPLUIMVEE!$J$18="ja",C37-G37,IF(LEGPLUIMVEE!$J$18="nee",C37-D37-G37)))),IF(LEGPLUIMVEE!$H$13="serie geschakeld met warmtewisselaar",IF(LEGPLUIMVEE!$J$18="ja",C37-G37,C37-D37-F37-G37),C37-D37-F37-G37))</f>
        <v>1.8065176501748113</v>
      </c>
      <c r="I37" s="121">
        <f t="shared" si="21"/>
        <v>1.8065176501748113</v>
      </c>
      <c r="J37" s="122">
        <v>3.1821999999999999</v>
      </c>
      <c r="K37" s="163">
        <f t="shared" si="22"/>
        <v>1.4373699877988213</v>
      </c>
      <c r="L37" s="164">
        <f>SUM(K$16:K37)/$K$73</f>
        <v>8.1458668242313764E-2</v>
      </c>
      <c r="M37" s="22">
        <f t="shared" si="23"/>
        <v>1.4373699877988213</v>
      </c>
      <c r="N37" s="22">
        <f t="shared" si="0"/>
        <v>1.4373699877988213</v>
      </c>
      <c r="O37" s="237">
        <f>IF(E37&lt;I$3,P37*(1-I$6*D37/C37),IF(LEGPLUIMVEE!$H$11="droogtunnel (platen) 55%",((K37-P37)/I$4-(K37-P37))*(1-I$6)+K37-(K37-P37)/I$4-IF(D37&gt;E37,(D37-E37)/C37*(K37-P37)),P37*(1-$I$6)+(C37-D37)/C37*(K37-P37*(1-I$6))))</f>
        <v>1.4373699877988213</v>
      </c>
      <c r="P37" s="162">
        <f t="shared" si="24"/>
        <v>1.4373699877988213</v>
      </c>
      <c r="Q37" s="181">
        <f t="shared" si="29"/>
        <v>1</v>
      </c>
      <c r="R37" s="184">
        <f t="shared" si="25"/>
        <v>1</v>
      </c>
      <c r="S37" s="166">
        <f t="shared" si="2"/>
        <v>1.4373699877988213</v>
      </c>
      <c r="T37" s="166">
        <f t="shared" si="26"/>
        <v>1.4373699877988213</v>
      </c>
      <c r="U37" s="283">
        <f>IF(G37&lt;0.1,K37,IF(C37=F37,S37/(1-I$4),IF(I$3=0,K37-(G37/C37)*K37*U$13,IF(LEGPLUIMVEE!$H$13="Parallel geschakeld met warmtewisselaar",K37-(K37-(K37-S37)/I$4)*(G37/(C37-F37))*U$13,IF(LEGPLUIMVEE!$H$20="ja",K37-(K37-(K37-P37)/I$4)*(G37/(C37-MIN(D37,I$5)))*U$13,K37-(K37-(K37-P37)/I$4)*(G37/(C37-MIN(D36,I$5)))*U$13)))))</f>
        <v>1.4373699877988213</v>
      </c>
      <c r="V37" s="278">
        <f t="shared" si="30"/>
        <v>1</v>
      </c>
      <c r="W37" s="273">
        <f t="shared" si="3"/>
        <v>0</v>
      </c>
      <c r="X37" s="22">
        <f t="shared" si="4"/>
        <v>1.4373699877988213</v>
      </c>
      <c r="Y37" s="177">
        <f t="shared" si="5"/>
        <v>0</v>
      </c>
      <c r="Z37" s="163">
        <f t="shared" si="6"/>
        <v>1.4373699877988213</v>
      </c>
      <c r="AA37" s="306"/>
      <c r="AB37" s="306"/>
      <c r="AC37" s="306"/>
      <c r="AD37" s="219">
        <f>IF(H37&lt;0.02,0,IF(LEGPLUIMVEE!$H$11="geen droogtunnel",IF(LEGPLUIMVEE!$H$15="geen warmtewisselaar",(P37-(K37-T37)/T$13),K37-(K37-O37)/I$6-(K37-T37)/95%)+IF(LEGPLUIMVEE!$J$18="ja",(K37-O37)*(1-I$6)),IF(LEGPLUIMVEE!$H$12&gt;=0,IF(LEGPLUIMVEE!$L$9="ja",IF(LEGPLUIMVEE!$J$18="ja",IF(LEGPLUIMVEE!$H$20="ja",O37-(K37-U37),IF(LEGPLUIMVEE!$H$20="nee",(O37-(K37-U37)),(O37-(K37-U37)))),IF(LEGPLUIMVEE!$J$18="nee",IF(LEGPLUIMVEE!$H$20="nee",O37-(K37-U37)/81%,O37-(K37-U37)))),IF(LEGPLUIMVEE!$L$9="nee",IF(LEGPLUIMVEE!$J$18="nee",IF(LEGPLUIMVEE!$H$20="nee",O37-(K37-U37)/95%,O37-(K37-U37)),IF(LEGPLUIMVEE!$H$20="nee",IF(LEGPLUIMVEE!$J$18="ja",IF(LEGPLUIMVEE!$L$9="nee",O37-(K37-U37))),O37-(K37-U37))))))))</f>
        <v>1.4373699877988213</v>
      </c>
      <c r="AE37" s="239">
        <f>IF(H37&lt;0.02,0,IF(LEGPLUIMVEE!$H$11="geen droogtunnel",IF(LEGPLUIMVEE!$H$15="geen warmtewisselaar",(K37-(K37-T37)/T$13),K37-(K37-N37)/I$6-((K37-T37)/95%))+IF(LEGPLUIMVEE!$J$18="ja",(K37-O37)*(1-I$6)),IF(LEGPLUIMVEE!$H$12&gt;=0,IF(LEGPLUIMVEE!$L$9="ja",IF(LEGPLUIMVEE!$J$18="ja",IF(LEGPLUIMVEE!$H$20="ja",S37-(K37-N37)-(K37-U37),IF(LEGPLUIMVEE!$H$20="nee",(S37-(K37-N37)-(K37-U37)),(O37-(K37-U37)))),IF(LEGPLUIMVEE!$J$18="nee",IF(LEGPLUIMVEE!$H$20="nee",S37*$N$72-(K37-N37)-(K37-U37),S37-(K37-N37)-(K37-U37)))),IF(LEGPLUIMVEE!$L$9="nee",IF(LEGPLUIMVEE!$J$18="nee",IF(LEGPLUIMVEE!$H$20="nee",(N37-(K37-S37)/I$4-(K37-U37)),N37-(K37-S37)/I$4-(K37-U37)),IF(LEGPLUIMVEE!$H$20="nee",IF(LEGPLUIMVEE!$J$18="ja",IF(LEGPLUIMVEE!$L$9="nee",N37-(K37-S37)/I$4-(K37-U37))),N37-(K37-S37)/I$4-(K37-U37))))))))</f>
        <v>1.4373699877988213</v>
      </c>
      <c r="AF37" s="219"/>
      <c r="AG37" s="164">
        <f t="shared" si="7"/>
        <v>1</v>
      </c>
      <c r="AH37" s="35">
        <f t="shared" si="8"/>
        <v>0</v>
      </c>
      <c r="AI37" s="36">
        <f t="shared" si="9"/>
        <v>3.1821999999999999</v>
      </c>
      <c r="AJ37" s="36">
        <f t="shared" si="10"/>
        <v>0</v>
      </c>
      <c r="AK37" s="37">
        <f t="shared" si="11"/>
        <v>0</v>
      </c>
      <c r="AL37" s="36">
        <f t="shared" si="28"/>
        <v>3.1821999999999999</v>
      </c>
      <c r="AM37" s="36">
        <f t="shared" si="12"/>
        <v>0</v>
      </c>
      <c r="AN37" s="37">
        <f t="shared" si="13"/>
        <v>1.8065176501748113</v>
      </c>
      <c r="AO37" s="36">
        <f t="shared" si="14"/>
        <v>1.4373699877988213</v>
      </c>
      <c r="AP37" s="38">
        <f t="shared" si="15"/>
        <v>1.4373699877988213</v>
      </c>
      <c r="AR37" s="123">
        <f t="shared" si="16"/>
        <v>3.1821999999999999</v>
      </c>
      <c r="AS37" s="123">
        <f t="shared" si="17"/>
        <v>3.1790178</v>
      </c>
      <c r="AT37" s="123">
        <f t="shared" si="18"/>
        <v>3.1790178</v>
      </c>
      <c r="AU37" s="123">
        <f t="shared" si="19"/>
        <v>1.4373699877988215</v>
      </c>
    </row>
    <row r="38" spans="1:47" x14ac:dyDescent="0.25">
      <c r="A38" s="6">
        <v>2</v>
      </c>
      <c r="B38" s="3">
        <v>276.5593220338983</v>
      </c>
      <c r="C38" s="5">
        <v>1.8874015501666315</v>
      </c>
      <c r="D38" s="21">
        <f t="shared" si="20"/>
        <v>0</v>
      </c>
      <c r="E38" s="21">
        <f>IF(I$3=0,0,IF(LEGPLUIMVEE!$H$13="parallel geschakeld met warmtewisselaar",0,MIN(I$3,C38)))</f>
        <v>0</v>
      </c>
      <c r="F38" s="21">
        <f>IF(I$3=0,0,IF(LEGPLUIMVEE!$H$13="serie geschakeld met warmtewisselaar",0,IF(C38&lt;$I$3,C38-D38,MIN($I$3,C38-D38))))</f>
        <v>0</v>
      </c>
      <c r="G38" s="21">
        <f>IF(C38&lt;$I$7,MAX(0,C38-D38-E38-F38,IF(LEGPLUIMVEE!$H$15="warmtewisselaar",IF(LEGPLUIMVEE!$H$13="serie geschakeld met warmtewisselaar",MIN(I$7,MAX(0,C38-D38-F38)),MIN(I$7,MAX(0,'legh WW+droogt'!C38-D38-E38-F38))))),IF(LEGPLUIMVEE!$H$13="parallel geschakeld met warmtewisselaar",MIN(I$7,C38-D38-E38-F38,MIN(I$7,C38-E38-F38)),MIN(I$7,MAX(0,C38-D38-F38))))</f>
        <v>0</v>
      </c>
      <c r="H38" s="21">
        <f>IF(LEGPLUIMVEE!$H$13="parallel geschakeld met warmtewisselaar",IF(LEGPLUIMVEE!$L$9="nee",IF(LEGPLUIMVEE!$J$18="ja",C38-F38-G38,C38-D38-F38-G38),IF(LEGPLUIMVEE!$L$9="ja",IF(LEGPLUIMVEE!$J$18="ja",C38-G38,IF(LEGPLUIMVEE!$J$18="nee",C38-D38-G38)))),IF(LEGPLUIMVEE!$H$13="serie geschakeld met warmtewisselaar",IF(LEGPLUIMVEE!$J$18="ja",C38-G38,C38-D38-F38-G38),C38-D38-F38-G38))</f>
        <v>1.8874015501666315</v>
      </c>
      <c r="I38" s="121">
        <f t="shared" si="21"/>
        <v>1.8874015501666315</v>
      </c>
      <c r="J38" s="122">
        <v>3.1280999999999999</v>
      </c>
      <c r="K38" s="163">
        <f t="shared" si="22"/>
        <v>1.6328009243280848</v>
      </c>
      <c r="L38" s="164">
        <f>SUM(K$16:K38)/$K$73</f>
        <v>0.10810423763388971</v>
      </c>
      <c r="M38" s="22">
        <f t="shared" si="23"/>
        <v>1.6328009243280848</v>
      </c>
      <c r="N38" s="22">
        <f t="shared" si="0"/>
        <v>1.6328009243280848</v>
      </c>
      <c r="O38" s="237">
        <f>IF(E38&lt;I$3,P38*(1-I$6*D38/C38),IF(LEGPLUIMVEE!$H$11="droogtunnel (platen) 55%",((K38-P38)/I$4-(K38-P38))*(1-I$6)+K38-(K38-P38)/I$4-IF(D38&gt;E38,(D38-E38)/C38*(K38-P38)),P38*(1-$I$6)+(C38-D38)/C38*(K38-P38*(1-I$6))))</f>
        <v>1.6328009243280848</v>
      </c>
      <c r="P38" s="162">
        <f t="shared" si="24"/>
        <v>1.6328009243280848</v>
      </c>
      <c r="Q38" s="181">
        <f t="shared" si="29"/>
        <v>1</v>
      </c>
      <c r="R38" s="184">
        <f t="shared" si="25"/>
        <v>1</v>
      </c>
      <c r="S38" s="166">
        <f t="shared" si="2"/>
        <v>1.6328009243280848</v>
      </c>
      <c r="T38" s="166">
        <f t="shared" si="26"/>
        <v>1.6328009243280848</v>
      </c>
      <c r="U38" s="283">
        <f>IF(G38&lt;0.1,K38,IF(C38=F38,S38/(1-I$4),IF(I$3=0,K38-(G38/C38)*K38*U$13,IF(LEGPLUIMVEE!$H$13="Parallel geschakeld met warmtewisselaar",K38-(K38-(K38-S38)/I$4)*(G38/(C38-F38))*U$13,IF(LEGPLUIMVEE!$H$20="ja",K38-(K38-(K38-P38)/I$4)*(G38/(C38-MIN(D38,I$5)))*U$13,K38-(K38-(K38-P38)/I$4)*(G38/(C38-MIN(D37,I$5)))*U$13)))))</f>
        <v>1.6328009243280848</v>
      </c>
      <c r="V38" s="278">
        <f t="shared" si="30"/>
        <v>1</v>
      </c>
      <c r="W38" s="273">
        <f t="shared" si="3"/>
        <v>0</v>
      </c>
      <c r="X38" s="22">
        <f t="shared" si="4"/>
        <v>1.6328009243280848</v>
      </c>
      <c r="Y38" s="177">
        <f t="shared" si="5"/>
        <v>0</v>
      </c>
      <c r="Z38" s="163">
        <f t="shared" si="6"/>
        <v>1.6328009243280848</v>
      </c>
      <c r="AA38" s="306"/>
      <c r="AB38" s="306"/>
      <c r="AC38" s="306"/>
      <c r="AD38" s="219">
        <f>IF(H38&lt;0.02,0,IF(LEGPLUIMVEE!$H$11="geen droogtunnel",IF(LEGPLUIMVEE!$H$15="geen warmtewisselaar",(P38-(K38-T38)/T$13),K38-(K38-O38)/I$6-(K38-T38)/95%)+IF(LEGPLUIMVEE!$J$18="ja",(K38-O38)*(1-I$6)),IF(LEGPLUIMVEE!$H$12&gt;=0,IF(LEGPLUIMVEE!$L$9="ja",IF(LEGPLUIMVEE!$J$18="ja",IF(LEGPLUIMVEE!$H$20="ja",O38-(K38-U38),IF(LEGPLUIMVEE!$H$20="nee",(O38-(K38-U38)),(O38-(K38-U38)))),IF(LEGPLUIMVEE!$J$18="nee",IF(LEGPLUIMVEE!$H$20="nee",O38-(K38-U38)/81%,O38-(K38-U38)))),IF(LEGPLUIMVEE!$L$9="nee",IF(LEGPLUIMVEE!$J$18="nee",IF(LEGPLUIMVEE!$H$20="nee",O38-(K38-U38)/95%,O38-(K38-U38)),IF(LEGPLUIMVEE!$H$20="nee",IF(LEGPLUIMVEE!$J$18="ja",IF(LEGPLUIMVEE!$L$9="nee",O38-(K38-U38))),O38-(K38-U38))))))))</f>
        <v>1.6328009243280848</v>
      </c>
      <c r="AE38" s="239">
        <f>IF(H38&lt;0.02,0,IF(LEGPLUIMVEE!$H$11="geen droogtunnel",IF(LEGPLUIMVEE!$H$15="geen warmtewisselaar",(K38-(K38-T38)/T$13),K38-(K38-N38)/I$6-((K38-T38)/95%))+IF(LEGPLUIMVEE!$J$18="ja",(K38-O38)*(1-I$6)),IF(LEGPLUIMVEE!$H$12&gt;=0,IF(LEGPLUIMVEE!$L$9="ja",IF(LEGPLUIMVEE!$J$18="ja",IF(LEGPLUIMVEE!$H$20="ja",S38-(K38-N38)-(K38-U38),IF(LEGPLUIMVEE!$H$20="nee",(S38-(K38-N38)-(K38-U38)),(O38-(K38-U38)))),IF(LEGPLUIMVEE!$J$18="nee",IF(LEGPLUIMVEE!$H$20="nee",S38*$N$72-(K38-N38)-(K38-U38),S38-(K38-N38)-(K38-U38)))),IF(LEGPLUIMVEE!$L$9="nee",IF(LEGPLUIMVEE!$J$18="nee",IF(LEGPLUIMVEE!$H$20="nee",(N38-(K38-S38)/I$4-(K38-U38)),N38-(K38-S38)/I$4-(K38-U38)),IF(LEGPLUIMVEE!$H$20="nee",IF(LEGPLUIMVEE!$J$18="ja",IF(LEGPLUIMVEE!$L$9="nee",N38-(K38-S38)/I$4-(K38-U38))),N38-(K38-S38)/I$4-(K38-U38))))))))</f>
        <v>1.6328009243280848</v>
      </c>
      <c r="AF38" s="219"/>
      <c r="AG38" s="164">
        <f t="shared" si="7"/>
        <v>1</v>
      </c>
      <c r="AH38" s="35">
        <f t="shared" si="8"/>
        <v>0</v>
      </c>
      <c r="AI38" s="36">
        <f t="shared" si="9"/>
        <v>3.1280999999999999</v>
      </c>
      <c r="AJ38" s="36">
        <f t="shared" si="10"/>
        <v>0</v>
      </c>
      <c r="AK38" s="37">
        <f t="shared" si="11"/>
        <v>0</v>
      </c>
      <c r="AL38" s="36">
        <f t="shared" si="28"/>
        <v>3.1280999999999999</v>
      </c>
      <c r="AM38" s="36">
        <f t="shared" si="12"/>
        <v>0</v>
      </c>
      <c r="AN38" s="37">
        <f t="shared" si="13"/>
        <v>1.8874015501666315</v>
      </c>
      <c r="AO38" s="36">
        <f t="shared" si="14"/>
        <v>1.6328009243280848</v>
      </c>
      <c r="AP38" s="38">
        <f t="shared" si="15"/>
        <v>1.6328009243280848</v>
      </c>
      <c r="AR38" s="123">
        <f t="shared" si="16"/>
        <v>3.1280999999999999</v>
      </c>
      <c r="AS38" s="123">
        <f t="shared" si="17"/>
        <v>3.1249718999999998</v>
      </c>
      <c r="AT38" s="123">
        <f t="shared" si="18"/>
        <v>3.1249718999999998</v>
      </c>
      <c r="AU38" s="123">
        <f t="shared" si="19"/>
        <v>1.6328009243280848</v>
      </c>
    </row>
    <row r="39" spans="1:47" x14ac:dyDescent="0.25">
      <c r="A39" s="6">
        <v>3</v>
      </c>
      <c r="B39" s="3">
        <v>300.50847457627117</v>
      </c>
      <c r="C39" s="5">
        <v>1.9719068956933199</v>
      </c>
      <c r="D39" s="21">
        <f t="shared" si="20"/>
        <v>0</v>
      </c>
      <c r="E39" s="21">
        <f>IF(I$3=0,0,IF(LEGPLUIMVEE!$H$13="parallel geschakeld met warmtewisselaar",0,MIN(I$3,C39)))</f>
        <v>0</v>
      </c>
      <c r="F39" s="21">
        <f>IF(I$3=0,0,IF(LEGPLUIMVEE!$H$13="serie geschakeld met warmtewisselaar",0,IF(C39&lt;$I$3,C39-D39,MIN($I$3,C39-D39))))</f>
        <v>0</v>
      </c>
      <c r="G39" s="21">
        <f>IF(C39&lt;$I$7,MAX(0,C39-D39-E39-F39,IF(LEGPLUIMVEE!$H$15="warmtewisselaar",IF(LEGPLUIMVEE!$H$13="serie geschakeld met warmtewisselaar",MIN(I$7,MAX(0,C39-D39-F39)),MIN(I$7,MAX(0,'legh WW+droogt'!C39-D39-E39-F39))))),IF(LEGPLUIMVEE!$H$13="parallel geschakeld met warmtewisselaar",MIN(I$7,C39-D39-E39-F39,MIN(I$7,C39-E39-F39)),MIN(I$7,MAX(0,C39-D39-F39))))</f>
        <v>0</v>
      </c>
      <c r="H39" s="21">
        <f>IF(LEGPLUIMVEE!$H$13="parallel geschakeld met warmtewisselaar",IF(LEGPLUIMVEE!$L$9="nee",IF(LEGPLUIMVEE!$J$18="ja",C39-F39-G39,C39-D39-F39-G39),IF(LEGPLUIMVEE!$L$9="ja",IF(LEGPLUIMVEE!$J$18="ja",C39-G39,IF(LEGPLUIMVEE!$J$18="nee",C39-D39-G39)))),IF(LEGPLUIMVEE!$H$13="serie geschakeld met warmtewisselaar",IF(LEGPLUIMVEE!$J$18="ja",C39-G39,C39-D39-F39-G39),C39-D39-F39-G39))</f>
        <v>1.9719068956933199</v>
      </c>
      <c r="I39" s="121">
        <f t="shared" si="21"/>
        <v>1.9719068956933199</v>
      </c>
      <c r="J39" s="122">
        <v>3.0739999999999998</v>
      </c>
      <c r="K39" s="163">
        <f t="shared" si="22"/>
        <v>1.8215747299528005</v>
      </c>
      <c r="L39" s="164">
        <f>SUM(K$16:K39)/$K$73</f>
        <v>0.13783039417000997</v>
      </c>
      <c r="M39" s="22">
        <f t="shared" si="23"/>
        <v>1.8215747299528005</v>
      </c>
      <c r="N39" s="22">
        <f t="shared" si="0"/>
        <v>1.8215747299528005</v>
      </c>
      <c r="O39" s="237">
        <f>IF(E39&lt;I$3,P39*(1-I$6*D39/C39),IF(LEGPLUIMVEE!$H$11="droogtunnel (platen) 55%",((K39-P39)/I$4-(K39-P39))*(1-I$6)+K39-(K39-P39)/I$4-IF(D39&gt;E39,(D39-E39)/C39*(K39-P39)),P39*(1-$I$6)+(C39-D39)/C39*(K39-P39*(1-I$6))))</f>
        <v>1.8215747299528005</v>
      </c>
      <c r="P39" s="162">
        <f t="shared" si="24"/>
        <v>1.8215747299528005</v>
      </c>
      <c r="Q39" s="181">
        <f t="shared" si="29"/>
        <v>1</v>
      </c>
      <c r="R39" s="184">
        <f t="shared" si="25"/>
        <v>1</v>
      </c>
      <c r="S39" s="166">
        <f t="shared" si="2"/>
        <v>1.8215747299528005</v>
      </c>
      <c r="T39" s="166">
        <f t="shared" si="26"/>
        <v>1.8215747299528005</v>
      </c>
      <c r="U39" s="283">
        <f>IF(G39&lt;0.1,K39,IF(C39=F39,S39/(1-I$4),IF(I$3=0,K39-(G39/C39)*K39*U$13,IF(LEGPLUIMVEE!$H$13="Parallel geschakeld met warmtewisselaar",K39-(K39-(K39-S39)/I$4)*(G39/(C39-F39))*U$13,IF(LEGPLUIMVEE!$H$20="ja",K39-(K39-(K39-P39)/I$4)*(G39/(C39-MIN(D39,I$5)))*U$13,K39-(K39-(K39-P39)/I$4)*(G39/(C39-MIN(D38,I$5)))*U$13)))))</f>
        <v>1.8215747299528005</v>
      </c>
      <c r="V39" s="278">
        <f t="shared" si="30"/>
        <v>1</v>
      </c>
      <c r="W39" s="273">
        <f t="shared" si="3"/>
        <v>0</v>
      </c>
      <c r="X39" s="22">
        <f t="shared" si="4"/>
        <v>1.8215747299528005</v>
      </c>
      <c r="Y39" s="177">
        <f>(((($J39/1000))*$B39*$D39)*(1-$I$6))+(((($J39/1000))*$B39*$E39)*(1-$I$4))</f>
        <v>0</v>
      </c>
      <c r="Z39" s="163">
        <f t="shared" si="6"/>
        <v>1.8215747299528005</v>
      </c>
      <c r="AA39" s="306"/>
      <c r="AB39" s="306"/>
      <c r="AC39" s="306"/>
      <c r="AD39" s="219">
        <f>IF(H39&lt;0.02,0,IF(LEGPLUIMVEE!$H$11="geen droogtunnel",IF(LEGPLUIMVEE!$H$15="geen warmtewisselaar",(P39-(K39-T39)/T$13),K39-(K39-O39)/I$6-(K39-T39)/95%)+IF(LEGPLUIMVEE!$J$18="ja",(K39-O39)*(1-I$6)),IF(LEGPLUIMVEE!$H$12&gt;=0,IF(LEGPLUIMVEE!$L$9="ja",IF(LEGPLUIMVEE!$J$18="ja",IF(LEGPLUIMVEE!$H$20="ja",O39-(K39-U39),IF(LEGPLUIMVEE!$H$20="nee",(O39-(K39-U39)),(O39-(K39-U39)))),IF(LEGPLUIMVEE!$J$18="nee",IF(LEGPLUIMVEE!$H$20="nee",O39-(K39-U39)/81%,O39-(K39-U39)))),IF(LEGPLUIMVEE!$L$9="nee",IF(LEGPLUIMVEE!$J$18="nee",IF(LEGPLUIMVEE!$H$20="nee",O39-(K39-U39)/95%,O39-(K39-U39)),IF(LEGPLUIMVEE!$H$20="nee",IF(LEGPLUIMVEE!$J$18="ja",IF(LEGPLUIMVEE!$L$9="nee",O39-(K39-U39))),O39-(K39-U39))))))))</f>
        <v>1.8215747299528005</v>
      </c>
      <c r="AE39" s="239">
        <f>IF(H39&lt;0.02,0,IF(LEGPLUIMVEE!$H$11="geen droogtunnel",IF(LEGPLUIMVEE!$H$15="geen warmtewisselaar",(K39-(K39-T39)/T$13),K39-(K39-N39)/I$6-((K39-T39)/95%))+IF(LEGPLUIMVEE!$J$18="ja",(K39-O39)*(1-I$6)),IF(LEGPLUIMVEE!$H$12&gt;=0,IF(LEGPLUIMVEE!$L$9="ja",IF(LEGPLUIMVEE!$J$18="ja",IF(LEGPLUIMVEE!$H$20="ja",S39-(K39-N39)-(K39-U39),IF(LEGPLUIMVEE!$H$20="nee",(S39-(K39-N39)-(K39-U39)),(O39-(K39-U39)))),IF(LEGPLUIMVEE!$J$18="nee",IF(LEGPLUIMVEE!$H$20="nee",S39*$N$72-(K39-N39)-(K39-U39),S39-(K39-N39)-(K39-U39)))),IF(LEGPLUIMVEE!$L$9="nee",IF(LEGPLUIMVEE!$J$18="nee",IF(LEGPLUIMVEE!$H$20="nee",(N39-(K39-S39)/I$4-(K39-U39)),N39-(K39-S39)/I$4-(K39-U39)),IF(LEGPLUIMVEE!$H$20="nee",IF(LEGPLUIMVEE!$J$18="ja",IF(LEGPLUIMVEE!$L$9="nee",N39-(K39-S39)/I$4-(K39-U39))),N39-(K39-S39)/I$4-(K39-U39))))))))</f>
        <v>1.8215747299528005</v>
      </c>
      <c r="AF39" s="219"/>
      <c r="AG39" s="164">
        <f t="shared" si="7"/>
        <v>1</v>
      </c>
      <c r="AH39" s="35">
        <f t="shared" si="8"/>
        <v>0</v>
      </c>
      <c r="AI39" s="36">
        <f t="shared" si="9"/>
        <v>3.0739999999999998</v>
      </c>
      <c r="AJ39" s="36">
        <f t="shared" si="10"/>
        <v>0</v>
      </c>
      <c r="AK39" s="37">
        <f t="shared" si="11"/>
        <v>0</v>
      </c>
      <c r="AL39" s="36">
        <f t="shared" si="28"/>
        <v>3.0739999999999998</v>
      </c>
      <c r="AM39" s="36">
        <f t="shared" si="12"/>
        <v>0</v>
      </c>
      <c r="AN39" s="37">
        <f t="shared" si="13"/>
        <v>1.9719068956933199</v>
      </c>
      <c r="AO39" s="36">
        <f t="shared" si="14"/>
        <v>1.8215747299528005</v>
      </c>
      <c r="AP39" s="38">
        <f t="shared" si="15"/>
        <v>1.8215747299528005</v>
      </c>
      <c r="AR39" s="123">
        <f t="shared" si="16"/>
        <v>3.0739999999999998</v>
      </c>
      <c r="AS39" s="123">
        <f t="shared" si="17"/>
        <v>3.070926</v>
      </c>
      <c r="AT39" s="123">
        <f t="shared" si="18"/>
        <v>3.070926</v>
      </c>
      <c r="AU39" s="123">
        <f t="shared" si="19"/>
        <v>1.8215747299528005</v>
      </c>
    </row>
    <row r="40" spans="1:47" x14ac:dyDescent="0.25">
      <c r="A40" s="6">
        <v>4</v>
      </c>
      <c r="B40" s="3">
        <v>347.42372881355931</v>
      </c>
      <c r="C40" s="182">
        <f>2.06019583110948-0.06</f>
        <v>2.0001958311094801</v>
      </c>
      <c r="D40" s="167">
        <f t="shared" si="20"/>
        <v>0</v>
      </c>
      <c r="E40" s="167">
        <f>IF(I$3=0,0,IF(LEGPLUIMVEE!$H$13="parallel geschakeld met warmtewisselaar",0,MIN(I$3,C40)))</f>
        <v>0</v>
      </c>
      <c r="F40" s="167">
        <f>IF(I$3=0,0,IF(LEGPLUIMVEE!$H$13="serie geschakeld met warmtewisselaar",0,IF(C40&lt;$I$3,C40-D40,MIN($I$3,C40-D40))))</f>
        <v>0</v>
      </c>
      <c r="G40" s="21">
        <f>IF(C40&lt;$I$7,MAX(0,C40-D40-E40-F40,IF(LEGPLUIMVEE!$H$15="warmtewisselaar",IF(LEGPLUIMVEE!$H$13="serie geschakeld met warmtewisselaar",MIN(I$7,MAX(0,C40-D40-F40)),MIN(I$7,MAX(0,'legh WW+droogt'!C40-D40-E40-F40))))),IF(LEGPLUIMVEE!$H$13="parallel geschakeld met warmtewisselaar",MIN(I$7,C40-D40-E40-F40,MIN(I$7,C40-E40-F40)),MIN(I$7,MAX(0,C40-D40-F40))))</f>
        <v>0</v>
      </c>
      <c r="H40" s="21">
        <f>IF(LEGPLUIMVEE!$H$13="parallel geschakeld met warmtewisselaar",IF(LEGPLUIMVEE!$L$9="nee",IF(LEGPLUIMVEE!$J$18="ja",C40-F40-G40,C40-D40-F40-G40),IF(LEGPLUIMVEE!$L$9="ja",IF(LEGPLUIMVEE!$J$18="ja",C40-G40,IF(LEGPLUIMVEE!$J$18="nee",C40-D40-G40)))),IF(LEGPLUIMVEE!$H$13="serie geschakeld met warmtewisselaar",IF(LEGPLUIMVEE!$J$18="ja",C40-G40,C40-D40-F40-G40),C40-D40-F40-G40))</f>
        <v>2.0001958311094801</v>
      </c>
      <c r="I40" s="121">
        <f>IF(C40-D40-E40&lt;0, 0, C40-D40-E40)</f>
        <v>2.0001958311094801</v>
      </c>
      <c r="J40" s="122">
        <v>0.91169999999999995</v>
      </c>
      <c r="K40" s="183">
        <f>(J40/1000)*B40*C40</f>
        <v>0.63355445588106896</v>
      </c>
      <c r="L40" s="164">
        <f>SUM(K$16:K40)/$K$73</f>
        <v>0.14816932708338276</v>
      </c>
      <c r="M40" s="22">
        <f t="shared" si="23"/>
        <v>0.63355445588106896</v>
      </c>
      <c r="N40" s="22">
        <f>(((($K40)*(1-($I$6*(D40)/C40)))))</f>
        <v>0.63355445588106896</v>
      </c>
      <c r="O40" s="237">
        <f>IF(E40&lt;I$3,P40*(1-I$6*D40/C40),IF(LEGPLUIMVEE!$H$11="droogtunnel (platen) 55%",((K40-P40)/I$4-(K40-P40))*(1-I$6)+K40-(K40-P40)/I$4-IF(D40&gt;E40,(D40-E40)/C40*(K40-P40)),P40*(1-$I$6)+(C40-D40)/C40*(K40-P40*(1-I$6))))</f>
        <v>0.63355445588106896</v>
      </c>
      <c r="P40" s="162">
        <f>IF(E40=0,K40,K40-K40*I$4*E40/C40)</f>
        <v>0.63355445588106896</v>
      </c>
      <c r="Q40" s="181">
        <f>P40/K40</f>
        <v>1</v>
      </c>
      <c r="R40" s="184">
        <f>O40/K40</f>
        <v>1</v>
      </c>
      <c r="S40" s="166">
        <f t="shared" si="2"/>
        <v>0.63355445588106896</v>
      </c>
      <c r="T40" s="166">
        <f t="shared" si="26"/>
        <v>0.63355445588106896</v>
      </c>
      <c r="U40" s="283">
        <f>IF(G40&lt;0.1,K40,IF(C40=F40,S40/(1-I$4),IF(I$3=0,K40-(G40/C40)*K40*U$13,IF(LEGPLUIMVEE!$H$13="Parallel geschakeld met warmtewisselaar",K40-(K40-(K40-S40)/I$4)*(G40/(C40-F40))*U$13,IF(LEGPLUIMVEE!$H$20="ja",K40-(K40-(K40-P40)/I$4)*(G40/(C40-MIN(D40,I$5)))*U$13,K40-(K40-(K40-P40)/I$4)*(G40/(C40-MIN(D39,I$5)))*U$13)))))</f>
        <v>0.63355445588106896</v>
      </c>
      <c r="V40" s="278">
        <f t="shared" si="30"/>
        <v>1</v>
      </c>
      <c r="W40" s="273">
        <f t="shared" si="3"/>
        <v>0</v>
      </c>
      <c r="X40" s="22">
        <f t="shared" si="4"/>
        <v>0.63355445588106896</v>
      </c>
      <c r="Y40" s="177">
        <f t="shared" ref="Y40:Y71" si="31">(((($J40/1000))*$B40*$D40)*(1-$I$6))+(((($J40/1000))*$B40*$E40)*(1-$I$4))</f>
        <v>0</v>
      </c>
      <c r="Z40" s="163">
        <f t="shared" si="6"/>
        <v>0.63355445588106896</v>
      </c>
      <c r="AA40" s="306"/>
      <c r="AB40" s="306"/>
      <c r="AC40" s="306"/>
      <c r="AD40" s="219">
        <f>IF(H40&lt;0.02,0,IF(LEGPLUIMVEE!$H$11="geen droogtunnel",IF(LEGPLUIMVEE!$H$15="geen warmtewisselaar",(P40-(K40-T40)/T$13),K40-(K40-O40)/I$6-(K40-T40)/95%)+IF(LEGPLUIMVEE!$J$18="ja",(K40-O40)*(1-I$6)),IF(LEGPLUIMVEE!$H$12&gt;=0,IF(LEGPLUIMVEE!$L$9="ja",IF(LEGPLUIMVEE!$J$18="ja",IF(LEGPLUIMVEE!$H$20="ja",O40-(K40-U40),IF(LEGPLUIMVEE!$H$20="nee",(O40-(K40-U40)),(O40-(K40-U40)))),IF(LEGPLUIMVEE!$J$18="nee",IF(LEGPLUIMVEE!$H$20="nee",O40-(K40-U40)/81%,O40-(K40-U40)))),IF(LEGPLUIMVEE!$L$9="nee",IF(LEGPLUIMVEE!$J$18="nee",IF(LEGPLUIMVEE!$H$20="nee",O40-(K40-U40)/95%,O40-(K40-U40)),IF(LEGPLUIMVEE!$H$20="nee",IF(LEGPLUIMVEE!$J$18="ja",IF(LEGPLUIMVEE!$L$9="nee",O40-(K40-U40))),O40-(K40-U40))))))))</f>
        <v>0.63355445588106896</v>
      </c>
      <c r="AE40" s="239">
        <f>IF(H40&lt;0.02,0,IF(LEGPLUIMVEE!$H$11="geen droogtunnel",IF(LEGPLUIMVEE!$H$15="geen warmtewisselaar",(K40-(K40-T40)/T$13),K40-(K40-N40)/I$6-((K40-T40)/95%))+IF(LEGPLUIMVEE!$J$18="ja",(K40-O40)*(1-I$6)),IF(LEGPLUIMVEE!$H$12&gt;=0,IF(LEGPLUIMVEE!$L$9="ja",IF(LEGPLUIMVEE!$J$18="ja",IF(LEGPLUIMVEE!$H$20="ja",S40-(K40-N40)-(K40-U40),IF(LEGPLUIMVEE!$H$20="nee",(S40-(K40-N40)-(K40-U40)),(O40-(K40-U40)))),IF(LEGPLUIMVEE!$J$18="nee",IF(LEGPLUIMVEE!$H$20="nee",S40*$N$72-(K40-N40)-(K40-U40),S40-(K40-N40)-(K40-U40)))),IF(LEGPLUIMVEE!$L$9="nee",IF(LEGPLUIMVEE!$J$18="nee",IF(LEGPLUIMVEE!$H$20="nee",(N40-(K40-S40)/I$4-(K40-U40)),N40-(K40-S40)/I$4-(K40-U40)),IF(LEGPLUIMVEE!$H$20="nee",IF(LEGPLUIMVEE!$J$18="ja",IF(LEGPLUIMVEE!$L$9="nee",N40-(K40-S40)/I$4-(K40-U40))),N40-(K40-S40)/I$4-(K40-U40))))))))</f>
        <v>0.63355445588106896</v>
      </c>
      <c r="AF40" s="219"/>
      <c r="AG40" s="164">
        <f t="shared" si="7"/>
        <v>1</v>
      </c>
      <c r="AH40" s="35">
        <f t="shared" si="8"/>
        <v>0</v>
      </c>
      <c r="AI40" s="36">
        <f t="shared" si="9"/>
        <v>0.91169999999999995</v>
      </c>
      <c r="AJ40" s="36">
        <f t="shared" si="10"/>
        <v>0</v>
      </c>
      <c r="AK40" s="37">
        <f t="shared" si="11"/>
        <v>0</v>
      </c>
      <c r="AL40" s="36">
        <f t="shared" si="28"/>
        <v>0.91169999999999995</v>
      </c>
      <c r="AM40" s="36">
        <f t="shared" si="12"/>
        <v>0</v>
      </c>
      <c r="AN40" s="37">
        <f t="shared" si="13"/>
        <v>2.0001958311094801</v>
      </c>
      <c r="AO40" s="36">
        <f t="shared" si="14"/>
        <v>0.63355445588106896</v>
      </c>
      <c r="AP40" s="38">
        <f t="shared" si="15"/>
        <v>0.63355445588106896</v>
      </c>
      <c r="AR40" s="123">
        <f t="shared" si="16"/>
        <v>0.91169999999999995</v>
      </c>
      <c r="AS40" s="123">
        <f t="shared" si="17"/>
        <v>0.9107883</v>
      </c>
      <c r="AT40" s="123">
        <f t="shared" si="18"/>
        <v>0.9107883</v>
      </c>
      <c r="AU40" s="123">
        <f t="shared" si="19"/>
        <v>0.63355445588106896</v>
      </c>
    </row>
    <row r="41" spans="1:47" x14ac:dyDescent="0.25">
      <c r="A41" s="6">
        <v>5</v>
      </c>
      <c r="B41" s="3">
        <v>394.72881355932202</v>
      </c>
      <c r="C41" s="5">
        <v>2.1524377605204101</v>
      </c>
      <c r="D41" s="21">
        <f t="shared" si="20"/>
        <v>0</v>
      </c>
      <c r="E41" s="21">
        <f>IF(I$3=0,0,IF(LEGPLUIMVEE!$H$13="parallel geschakeld met warmtewisselaar",0,MIN(I$3,C41)))</f>
        <v>0</v>
      </c>
      <c r="F41" s="21">
        <f>IF(I$3=0,0,IF(LEGPLUIMVEE!$H$13="serie geschakeld met warmtewisselaar",0,IF(C41&lt;$I$3,C41-D41,MIN($I$3,C41-D41))))</f>
        <v>0</v>
      </c>
      <c r="G41" s="21">
        <f>IF(C41&lt;$I$7,MAX(0,C41-D41-E41-F41,IF(LEGPLUIMVEE!$H$15="warmtewisselaar",IF(LEGPLUIMVEE!$H$13="serie geschakeld met warmtewisselaar",MIN(I$7,MAX(0,C41-D41-F41)),MIN(I$7,MAX(0,'legh WW+droogt'!C41-D41-E41-F41))))),IF(LEGPLUIMVEE!$H$13="parallel geschakeld met warmtewisselaar",MIN(I$7,C41-D41-E41-F41,MIN(I$7,C41-E41-F41)),MIN(I$7,MAX(0,C41-D41-F41))))</f>
        <v>0</v>
      </c>
      <c r="H41" s="21">
        <f>IF(LEGPLUIMVEE!$H$13="parallel geschakeld met warmtewisselaar",IF(LEGPLUIMVEE!$L$9="nee",IF(LEGPLUIMVEE!$J$18="ja",C41-F41-G41,C41-D41-F41-G41),IF(LEGPLUIMVEE!$L$9="ja",IF(LEGPLUIMVEE!$J$18="ja",C41-G41,IF(LEGPLUIMVEE!$J$18="nee",C41-D41-G41)))),IF(LEGPLUIMVEE!$H$13="serie geschakeld met warmtewisselaar",IF(LEGPLUIMVEE!$J$18="ja",C41-G41,C41-D41-F41-G41),C41-D41-F41-G41))</f>
        <v>2.1524377605204101</v>
      </c>
      <c r="I41" s="121">
        <f>IF(C41-D41-E41&lt;0, 0, C41-D41-E41)</f>
        <v>2.1524377605204101</v>
      </c>
      <c r="J41" s="122">
        <v>1.9117</v>
      </c>
      <c r="K41" s="183">
        <f>(J41/1000)*B41*C41</f>
        <v>1.6242361482745655</v>
      </c>
      <c r="L41" s="164">
        <f>SUM(K$16:K41)/$K$73</f>
        <v>0.17467512846573172</v>
      </c>
      <c r="M41" s="22">
        <f t="shared" si="23"/>
        <v>1.6242361482745655</v>
      </c>
      <c r="N41" s="22">
        <f>(((($K41)*(1-($I$6*(D41)/C41)))))</f>
        <v>1.6242361482745655</v>
      </c>
      <c r="O41" s="237">
        <f>IF(E41&lt;I$3,P41*(1-I$6*D41/C41),IF(LEGPLUIMVEE!$H$11="droogtunnel (platen) 55%",((K41-P41)/I$4-(K41-P41))*(1-I$6)+K41-(K41-P41)/I$4-IF(D41&gt;E41,(D41-E41)/C41*(K41-P41)),P41*(1-$I$6)+(C41-D41)/C41*(K41-P41*(1-I$6))))</f>
        <v>1.6242361482745655</v>
      </c>
      <c r="P41" s="162">
        <f>IF(E41=0,K41,K41-K41*I$4*E41/C41)</f>
        <v>1.6242361482745655</v>
      </c>
      <c r="Q41" s="181">
        <f>P41/K41</f>
        <v>1</v>
      </c>
      <c r="R41" s="184">
        <f>O41/K41</f>
        <v>1</v>
      </c>
      <c r="S41" s="166">
        <f t="shared" si="2"/>
        <v>1.6242361482745655</v>
      </c>
      <c r="T41" s="166">
        <f t="shared" si="26"/>
        <v>1.6242361482745655</v>
      </c>
      <c r="U41" s="283">
        <f>IF(G41&lt;0.1,K41,IF(C41=F41,S41/(1-I$4),IF(I$3=0,K41-(G41/C41)*K41*U$13,IF(LEGPLUIMVEE!$H$13="Parallel geschakeld met warmtewisselaar",K41-(K41-(K41-S41)/I$4)*(G41/(C41-F41))*U$13,IF(LEGPLUIMVEE!$H$20="ja",K41-(K41-(K41-P41)/I$4)*(G41/(C41-MIN(D41,I$5)))*U$13,K41-(K41-(K41-P41)/I$4)*(G41/(C41-MIN(D40,I$5)))*U$13)))))</f>
        <v>1.6242361482745655</v>
      </c>
      <c r="V41" s="258">
        <f>1-S41/K41</f>
        <v>0</v>
      </c>
      <c r="W41" s="273">
        <f t="shared" si="3"/>
        <v>0</v>
      </c>
      <c r="X41" s="22">
        <f t="shared" si="4"/>
        <v>1.6242361482745655</v>
      </c>
      <c r="Y41" s="177">
        <f t="shared" si="31"/>
        <v>0</v>
      </c>
      <c r="Z41" s="163">
        <f t="shared" si="6"/>
        <v>1.6242361482745655</v>
      </c>
      <c r="AA41" s="306"/>
      <c r="AB41" s="306"/>
      <c r="AC41" s="306"/>
      <c r="AD41" s="219">
        <f>IF(H41&lt;0.02,0,IF(LEGPLUIMVEE!$H$11="geen droogtunnel",IF(LEGPLUIMVEE!$H$15="geen warmtewisselaar",(P41-(K41-T41)/T$13),K41-(K41-O41)/I$6-(K41-T41)/95%)+IF(LEGPLUIMVEE!$J$18="ja",(K41-O41)*(1-I$6)),IF(LEGPLUIMVEE!$H$12&gt;=0,IF(LEGPLUIMVEE!$L$9="ja",IF(LEGPLUIMVEE!$J$18="ja",IF(LEGPLUIMVEE!$H$20="ja",O41-(K41-U41),IF(LEGPLUIMVEE!$H$20="nee",(O41-(K41-U41)),(O41-(K41-U41)))),IF(LEGPLUIMVEE!$J$18="nee",IF(LEGPLUIMVEE!$H$20="nee",O41-(K41-U41)/81%,O41-(K41-U41)))),IF(LEGPLUIMVEE!$L$9="nee",IF(LEGPLUIMVEE!$J$18="nee",IF(LEGPLUIMVEE!$H$20="nee",O41-(K41-U41)/95%,O41-(K41-U41)),IF(LEGPLUIMVEE!$H$20="nee",IF(LEGPLUIMVEE!$J$18="ja",IF(LEGPLUIMVEE!$L$9="nee",O41-(K41-U41))),O41-(K41-U41))))))))</f>
        <v>1.6242361482745655</v>
      </c>
      <c r="AE41" s="239">
        <f>IF(H41&lt;0.02,0,IF(LEGPLUIMVEE!$H$11="geen droogtunnel",IF(LEGPLUIMVEE!$H$15="geen warmtewisselaar",(K41-(K41-T41)/T$13),K41-(K41-N41)/I$6-((K41-T41)/95%))+IF(LEGPLUIMVEE!$J$18="ja",(K41-O41)*(1-I$6)),IF(LEGPLUIMVEE!$H$12&gt;=0,IF(LEGPLUIMVEE!$L$9="ja",IF(LEGPLUIMVEE!$J$18="ja",IF(LEGPLUIMVEE!$H$20="ja",S41-(K41-N41)-(K41-U41),IF(LEGPLUIMVEE!$H$20="nee",(S41-(K41-N41)-(K41-U41)),(O41-(K41-U41)))),IF(LEGPLUIMVEE!$J$18="nee",IF(LEGPLUIMVEE!$H$20="nee",S41*$N$72-(K41-N41)-(K41-U41),S41-(K41-N41)-(K41-U41)))),IF(LEGPLUIMVEE!$L$9="nee",IF(LEGPLUIMVEE!$J$18="nee",IF(LEGPLUIMVEE!$H$20="nee",(N41-(K41-S41)/I$4-(K41-U41)),N41-(K41-S41)/I$4-(K41-U41)),IF(LEGPLUIMVEE!$H$20="nee",IF(LEGPLUIMVEE!$J$18="ja",IF(LEGPLUIMVEE!$L$9="nee",N41-(K41-S41)/I$4-(K41-U41))),N41-(K41-S41)/I$4-(K41-U41))))))))</f>
        <v>1.6242361482745655</v>
      </c>
      <c r="AF41" s="219"/>
      <c r="AG41" s="164">
        <f t="shared" si="7"/>
        <v>1</v>
      </c>
      <c r="AH41" s="35">
        <f t="shared" si="8"/>
        <v>0</v>
      </c>
      <c r="AI41" s="36">
        <f t="shared" si="9"/>
        <v>1.9117</v>
      </c>
      <c r="AJ41" s="36">
        <f t="shared" si="10"/>
        <v>0</v>
      </c>
      <c r="AK41" s="37">
        <f t="shared" si="11"/>
        <v>0</v>
      </c>
      <c r="AL41" s="36">
        <f t="shared" si="28"/>
        <v>1.9117</v>
      </c>
      <c r="AM41" s="36">
        <f t="shared" si="12"/>
        <v>0</v>
      </c>
      <c r="AN41" s="37">
        <f t="shared" si="13"/>
        <v>2.1524377605204101</v>
      </c>
      <c r="AO41" s="36">
        <f t="shared" si="14"/>
        <v>1.6242361482745655</v>
      </c>
      <c r="AP41" s="38">
        <f t="shared" si="15"/>
        <v>1.6242361482745655</v>
      </c>
      <c r="AR41" s="123">
        <f t="shared" si="16"/>
        <v>1.9117</v>
      </c>
      <c r="AS41" s="123">
        <f t="shared" si="17"/>
        <v>1.9097883</v>
      </c>
      <c r="AT41" s="123">
        <f t="shared" si="18"/>
        <v>1.9097883</v>
      </c>
      <c r="AU41" s="123">
        <f t="shared" si="19"/>
        <v>1.6242361482745653</v>
      </c>
    </row>
    <row r="42" spans="1:47" x14ac:dyDescent="0.25">
      <c r="A42" s="6">
        <v>6</v>
      </c>
      <c r="B42" s="3">
        <v>441.05084745762713</v>
      </c>
      <c r="C42" s="5">
        <v>2.2488096728256695</v>
      </c>
      <c r="D42" s="21">
        <f t="shared" si="20"/>
        <v>0</v>
      </c>
      <c r="E42" s="21">
        <f>IF(I$3=0,0,IF(LEGPLUIMVEE!$H$13="parallel geschakeld met warmtewisselaar",0,MIN(I$3,C42)))</f>
        <v>0</v>
      </c>
      <c r="F42" s="21">
        <f>IF(I$3=0,0,IF(LEGPLUIMVEE!$H$13="serie geschakeld met warmtewisselaar",0,IF(C42&lt;$I$3,C42-D42,MIN($I$3,C42-D42))))</f>
        <v>0</v>
      </c>
      <c r="G42" s="21">
        <f>IF(C42&lt;$I$7,MAX(0,C42-D42-E42-F42,IF(LEGPLUIMVEE!$H$15="warmtewisselaar",IF(LEGPLUIMVEE!$H$13="serie geschakeld met warmtewisselaar",MIN(I$7,MAX(0,C42-D42-F42)),MIN(I$7,MAX(0,'legh WW+droogt'!C42-D42-E42-F42))))),IF(LEGPLUIMVEE!$H$13="parallel geschakeld met warmtewisselaar",MIN(I$7,C42-D42-E42-F42,MIN(I$7,C42-E42-F42)),MIN(I$7,MAX(0,C42-D42-F42))))</f>
        <v>0</v>
      </c>
      <c r="H42" s="21">
        <f>IF(LEGPLUIMVEE!$H$13="parallel geschakeld met warmtewisselaar",IF(LEGPLUIMVEE!$L$9="nee",IF(LEGPLUIMVEE!$J$18="ja",C42-F42-G42,C42-D42-F42-G42),IF(LEGPLUIMVEE!$L$9="ja",IF(LEGPLUIMVEE!$J$18="ja",C42-G42,IF(LEGPLUIMVEE!$J$18="nee",C42-D42-G42)))),IF(LEGPLUIMVEE!$H$13="serie geschakeld met warmtewisselaar",IF(LEGPLUIMVEE!$J$18="ja",C42-G42,C42-D42-F42-G42),C42-D42-F42-G42))</f>
        <v>2.2488096728256695</v>
      </c>
      <c r="I42" s="121">
        <f t="shared" si="21"/>
        <v>2.2488096728256695</v>
      </c>
      <c r="J42" s="122">
        <v>2.9116999999999997</v>
      </c>
      <c r="K42" s="183">
        <f t="shared" si="22"/>
        <v>2.8879388158350014</v>
      </c>
      <c r="L42" s="164">
        <f>SUM(K$16:K42)/$K$73</f>
        <v>0.22180320940286324</v>
      </c>
      <c r="M42" s="22">
        <f t="shared" si="23"/>
        <v>2.8879388158350014</v>
      </c>
      <c r="N42" s="22">
        <f t="shared" si="0"/>
        <v>2.8879388158350014</v>
      </c>
      <c r="O42" s="237">
        <f>IF(E42&lt;I$3,P42*(1-I$6*D42/C42),IF(LEGPLUIMVEE!$H$11="droogtunnel (platen) 55%",((K42-P42)/I$4-(K42-P42))*(1-I$6)+K42-(K42-P42)/I$4-IF(D42&gt;E42,(D42-E42)/C42*(K42-P42)),P42*(1-$I$6)+(C42-D42)/C42*(K42-P42*(1-I$6))))</f>
        <v>2.8879388158350014</v>
      </c>
      <c r="P42" s="162">
        <f t="shared" si="24"/>
        <v>2.8879388158350014</v>
      </c>
      <c r="Q42" s="181">
        <f t="shared" si="29"/>
        <v>1</v>
      </c>
      <c r="R42" s="184">
        <f t="shared" si="25"/>
        <v>1</v>
      </c>
      <c r="S42" s="166">
        <f t="shared" ref="S42:S71" si="32">IF(F42=0,K42,K42-K42*I$4*F42/C42)</f>
        <v>2.8879388158350014</v>
      </c>
      <c r="T42" s="166">
        <f t="shared" si="26"/>
        <v>2.8879388158350014</v>
      </c>
      <c r="U42" s="283">
        <f>IF(G42&lt;0.1,K42,IF(C42=F42,S42/(1-I$4),IF(I$3=0,K42-(G42/C42)*K42*U$13,IF(LEGPLUIMVEE!$H$13="Parallel geschakeld met warmtewisselaar",K42-(K42-(K42-S42)/I$4)*(G42/(C42-F42))*U$13,IF(LEGPLUIMVEE!$H$20="ja",K42-(K42-(K42-P42)/I$4)*(G42/(C42-MIN(D42,I$5)))*U$13,K42-(K42-(K42-P42)/I$4)*(G42/(C42-MIN(D41,I$5)))*U$13)))))</f>
        <v>2.8879388158350014</v>
      </c>
      <c r="V42" s="258">
        <f>1-S42/K42</f>
        <v>0</v>
      </c>
      <c r="W42" s="273">
        <f t="shared" si="3"/>
        <v>0</v>
      </c>
      <c r="X42" s="22">
        <f t="shared" si="4"/>
        <v>2.8879388158350014</v>
      </c>
      <c r="Y42" s="177">
        <f t="shared" si="31"/>
        <v>0</v>
      </c>
      <c r="Z42" s="163">
        <f t="shared" si="6"/>
        <v>2.8879388158350014</v>
      </c>
      <c r="AA42" s="306"/>
      <c r="AB42" s="306"/>
      <c r="AC42" s="306"/>
      <c r="AD42" s="219">
        <f>IF(H42&lt;0.02,0,IF(LEGPLUIMVEE!$H$11="geen droogtunnel",IF(LEGPLUIMVEE!$H$15="geen warmtewisselaar",(P42-(K42-T42)/T$13),K42-(K42-O42)/I$6-(K42-T42)/95%)+IF(LEGPLUIMVEE!$J$18="ja",(K42-O42)*(1-I$6)),IF(LEGPLUIMVEE!$H$12&gt;=0,IF(LEGPLUIMVEE!$L$9="ja",IF(LEGPLUIMVEE!$J$18="ja",IF(LEGPLUIMVEE!$H$20="ja",O42-(K42-U42),IF(LEGPLUIMVEE!$H$20="nee",(O42-(K42-U42)),(O42-(K42-U42)))),IF(LEGPLUIMVEE!$J$18="nee",IF(LEGPLUIMVEE!$H$20="nee",O42-(K42-U42)/81%,O42-(K42-U42)))),IF(LEGPLUIMVEE!$L$9="nee",IF(LEGPLUIMVEE!$J$18="nee",IF(LEGPLUIMVEE!$H$20="nee",O42-(K42-U42)/95%,O42-(K42-U42)),IF(LEGPLUIMVEE!$H$20="nee",IF(LEGPLUIMVEE!$J$18="ja",IF(LEGPLUIMVEE!$L$9="nee",O42-(K42-U42))),O42-(K42-U42))))))))</f>
        <v>2.8879388158350014</v>
      </c>
      <c r="AE42" s="239">
        <f>IF(H42&lt;0.02,0,IF(LEGPLUIMVEE!$H$11="geen droogtunnel",IF(LEGPLUIMVEE!$H$15="geen warmtewisselaar",(K42-(K42-T42)/T$13),K42-(K42-N42)/I$6-((K42-T42)/95%))+IF(LEGPLUIMVEE!$J$18="ja",(K42-O42)*(1-I$6)),IF(LEGPLUIMVEE!$H$12&gt;=0,IF(LEGPLUIMVEE!$L$9="ja",IF(LEGPLUIMVEE!$J$18="ja",IF(LEGPLUIMVEE!$H$20="ja",S42-(K42-N42)-(K42-U42),IF(LEGPLUIMVEE!$H$20="nee",(S42-(K42-N42)-(K42-U42)),(O42-(K42-U42)))),IF(LEGPLUIMVEE!$J$18="nee",IF(LEGPLUIMVEE!$H$20="nee",S42*$N$72-(K42-N42)-(K42-U42),S42-(K42-N42)-(K42-U42)))),IF(LEGPLUIMVEE!$L$9="nee",IF(LEGPLUIMVEE!$J$18="nee",IF(LEGPLUIMVEE!$H$20="nee",(N42-(K42-S42)/I$4-(K42-U42)),N42-(K42-S42)/I$4-(K42-U42)),IF(LEGPLUIMVEE!$H$20="nee",IF(LEGPLUIMVEE!$J$18="ja",IF(LEGPLUIMVEE!$L$9="nee",N42-(K42-S42)/I$4-(K42-U42))),N42-(K42-S42)/I$4-(K42-U42))))))))</f>
        <v>2.8879388158350014</v>
      </c>
      <c r="AF42" s="219"/>
      <c r="AG42" s="164">
        <f t="shared" si="7"/>
        <v>1</v>
      </c>
      <c r="AH42" s="35">
        <f t="shared" si="8"/>
        <v>0</v>
      </c>
      <c r="AI42" s="36">
        <f t="shared" si="9"/>
        <v>2.9116999999999997</v>
      </c>
      <c r="AJ42" s="36">
        <f t="shared" si="10"/>
        <v>0</v>
      </c>
      <c r="AK42" s="37">
        <f t="shared" si="11"/>
        <v>0</v>
      </c>
      <c r="AL42" s="36">
        <f t="shared" si="28"/>
        <v>2.9116999999999997</v>
      </c>
      <c r="AM42" s="36">
        <f t="shared" si="12"/>
        <v>0</v>
      </c>
      <c r="AN42" s="37">
        <f t="shared" si="13"/>
        <v>2.2488096728256695</v>
      </c>
      <c r="AO42" s="36">
        <f t="shared" si="14"/>
        <v>2.8879388158350014</v>
      </c>
      <c r="AP42" s="38">
        <f t="shared" si="15"/>
        <v>2.8879388158350014</v>
      </c>
      <c r="AR42" s="123">
        <f t="shared" si="16"/>
        <v>2.9116999999999997</v>
      </c>
      <c r="AS42" s="123">
        <f t="shared" si="17"/>
        <v>2.9087882999999999</v>
      </c>
      <c r="AT42" s="123">
        <f t="shared" si="18"/>
        <v>2.9087882999999999</v>
      </c>
      <c r="AU42" s="123">
        <f t="shared" si="19"/>
        <v>2.8879388158350014</v>
      </c>
    </row>
    <row r="43" spans="1:47" x14ac:dyDescent="0.25">
      <c r="A43" s="6">
        <v>7</v>
      </c>
      <c r="B43" s="3">
        <v>464.38983050847457</v>
      </c>
      <c r="C43" s="5">
        <v>2.3494964813159531</v>
      </c>
      <c r="D43" s="21">
        <f t="shared" si="20"/>
        <v>0</v>
      </c>
      <c r="E43" s="21">
        <f>IF(I$3=0,0,IF(LEGPLUIMVEE!$H$13="parallel geschakeld met warmtewisselaar",0,MIN(I$3,C43)))</f>
        <v>0</v>
      </c>
      <c r="F43" s="21">
        <f>IF(I$3=0,0,IF(LEGPLUIMVEE!$H$13="serie geschakeld met warmtewisselaar",0,IF(C43&lt;$I$3,C43-D43,MIN($I$3,C43-D43))))</f>
        <v>0</v>
      </c>
      <c r="G43" s="21">
        <f>IF(C43&lt;$I$7,MAX(0,C43-D43-E43-F43,IF(LEGPLUIMVEE!$H$15="warmtewisselaar",IF(LEGPLUIMVEE!$H$13="serie geschakeld met warmtewisselaar",MIN(I$7,MAX(0,C43-D43-F43)),MIN(I$7,MAX(0,'legh WW+droogt'!C43-D43-E43-F43))))),IF(LEGPLUIMVEE!$H$13="parallel geschakeld met warmtewisselaar",MIN(I$7,C43-D43-E43-F43,MIN(I$7,C43-E43-F43)),MIN(I$7,MAX(0,C43-D43-F43))))</f>
        <v>0</v>
      </c>
      <c r="H43" s="21">
        <f>IF(LEGPLUIMVEE!$H$13="parallel geschakeld met warmtewisselaar",IF(LEGPLUIMVEE!$L$9="nee",IF(LEGPLUIMVEE!$J$18="ja",C43-F43-G43,C43-D43-F43-G43),IF(LEGPLUIMVEE!$L$9="ja",IF(LEGPLUIMVEE!$J$18="ja",C43-G43,IF(LEGPLUIMVEE!$J$18="nee",C43-D43-G43)))),IF(LEGPLUIMVEE!$H$13="serie geschakeld met warmtewisselaar",IF(LEGPLUIMVEE!$J$18="ja",C43-G43,C43-D43-F43-G43),C43-D43-F43-G43))</f>
        <v>2.3494964813159531</v>
      </c>
      <c r="I43" s="121">
        <f t="shared" si="21"/>
        <v>2.3494964813159531</v>
      </c>
      <c r="J43" s="122">
        <v>2.8575999999999997</v>
      </c>
      <c r="K43" s="183">
        <f t="shared" si="22"/>
        <v>3.1178767025777456</v>
      </c>
      <c r="L43" s="164">
        <f>SUM(K$16:K43)/$K$73</f>
        <v>0.27268363137904544</v>
      </c>
      <c r="M43" s="22">
        <f t="shared" si="23"/>
        <v>3.1178767025777456</v>
      </c>
      <c r="N43" s="22">
        <f t="shared" si="0"/>
        <v>3.1178767025777456</v>
      </c>
      <c r="O43" s="237">
        <f>IF(E43&lt;I$3,P43*(1-I$6*D43/C43),IF(LEGPLUIMVEE!$H$11="droogtunnel (platen) 55%",((K43-P43)/I$4-(K43-P43))*(1-I$6)+K43-(K43-P43)/I$4-IF(D43&gt;E43,(D43-E43)/C43*(K43-P43)),P43*(1-$I$6)+(C43-D43)/C43*(K43-P43*(1-I$6))))</f>
        <v>3.1178767025777456</v>
      </c>
      <c r="P43" s="162">
        <f t="shared" si="24"/>
        <v>3.1178767025777456</v>
      </c>
      <c r="Q43" s="181">
        <f t="shared" si="29"/>
        <v>1</v>
      </c>
      <c r="R43" s="184">
        <f t="shared" si="25"/>
        <v>1</v>
      </c>
      <c r="S43" s="166">
        <f t="shared" si="32"/>
        <v>3.1178767025777456</v>
      </c>
      <c r="T43" s="166">
        <f t="shared" si="26"/>
        <v>3.1178767025777456</v>
      </c>
      <c r="U43" s="283">
        <f>IF(G43&lt;0.1,K43,IF(C43=F43,S43/(1-I$4),IF(I$3=0,K43-(G43/C43)*K43*U$13,IF(LEGPLUIMVEE!$H$13="Parallel geschakeld met warmtewisselaar",K43-(K43-(K43-S43)/I$4)*(G43/(C43-F43))*U$13,IF(LEGPLUIMVEE!$H$20="ja",K43-(K43-(K43-P43)/I$4)*(G43/(C43-MIN(D43,I$5)))*U$13,K43-(K43-(K43-P43)/I$4)*(G43/(C43-MIN(D42,I$5)))*U$13)))))</f>
        <v>3.1178767025777456</v>
      </c>
      <c r="V43" s="258">
        <f>1-S43/K43</f>
        <v>0</v>
      </c>
      <c r="W43" s="273">
        <f t="shared" si="3"/>
        <v>0</v>
      </c>
      <c r="X43" s="22">
        <f t="shared" si="4"/>
        <v>3.1178767025777456</v>
      </c>
      <c r="Y43" s="177">
        <f t="shared" si="31"/>
        <v>0</v>
      </c>
      <c r="Z43" s="163">
        <f t="shared" si="6"/>
        <v>3.1178767025777456</v>
      </c>
      <c r="AA43" s="306"/>
      <c r="AB43" s="306"/>
      <c r="AC43" s="306"/>
      <c r="AD43" s="219">
        <f>IF(H43&lt;0.02,0,IF(LEGPLUIMVEE!$H$11="geen droogtunnel",IF(LEGPLUIMVEE!$H$15="geen warmtewisselaar",(P43-(K43-T43)/T$13),K43-(K43-O43)/I$6-(K43-T43)/95%)+IF(LEGPLUIMVEE!$J$18="ja",(K43-O43)*(1-I$6)),IF(LEGPLUIMVEE!$H$12&gt;=0,IF(LEGPLUIMVEE!$L$9="ja",IF(LEGPLUIMVEE!$J$18="ja",IF(LEGPLUIMVEE!$H$20="ja",O43-(K43-U43),IF(LEGPLUIMVEE!$H$20="nee",(O43-(K43-U43)),(O43-(K43-U43)))),IF(LEGPLUIMVEE!$J$18="nee",IF(LEGPLUIMVEE!$H$20="nee",O43-(K43-U43)/81%,O43-(K43-U43)))),IF(LEGPLUIMVEE!$L$9="nee",IF(LEGPLUIMVEE!$J$18="nee",IF(LEGPLUIMVEE!$H$20="nee",O43-(K43-U43)/95%,O43-(K43-U43)),IF(LEGPLUIMVEE!$H$20="nee",IF(LEGPLUIMVEE!$J$18="ja",IF(LEGPLUIMVEE!$L$9="nee",O43-(K43-U43))),O43-(K43-U43))))))))</f>
        <v>3.1178767025777456</v>
      </c>
      <c r="AE43" s="239">
        <f>IF(H43&lt;0.02,0,IF(LEGPLUIMVEE!$H$11="geen droogtunnel",IF(LEGPLUIMVEE!$H$15="geen warmtewisselaar",(K43-(K43-T43)/T$13),K43-(K43-N43)/I$6-((K43-T43)/95%))+IF(LEGPLUIMVEE!$J$18="ja",(K43-O43)*(1-I$6)),IF(LEGPLUIMVEE!$H$12&gt;=0,IF(LEGPLUIMVEE!$L$9="ja",IF(LEGPLUIMVEE!$J$18="ja",IF(LEGPLUIMVEE!$H$20="ja",S43-(K43-N43)-(K43-U43),IF(LEGPLUIMVEE!$H$20="nee",(S43-(K43-N43)-(K43-U43)),(O43-(K43-U43)))),IF(LEGPLUIMVEE!$J$18="nee",IF(LEGPLUIMVEE!$H$20="nee",S43*$N$72-(K43-N43)-(K43-U43),S43-(K43-N43)-(K43-U43)))),IF(LEGPLUIMVEE!$L$9="nee",IF(LEGPLUIMVEE!$J$18="nee",IF(LEGPLUIMVEE!$H$20="nee",(N43-(K43-S43)/I$4-(K43-U43)),N43-(K43-S43)/I$4-(K43-U43)),IF(LEGPLUIMVEE!$H$20="nee",IF(LEGPLUIMVEE!$J$18="ja",IF(LEGPLUIMVEE!$L$9="nee",N43-(K43-S43)/I$4-(K43-U43))),N43-(K43-S43)/I$4-(K43-U43))))))))</f>
        <v>3.1178767025777456</v>
      </c>
      <c r="AF43" s="219"/>
      <c r="AG43" s="164">
        <f t="shared" si="7"/>
        <v>1</v>
      </c>
      <c r="AH43" s="35">
        <f t="shared" si="8"/>
        <v>0</v>
      </c>
      <c r="AI43" s="36">
        <f t="shared" si="9"/>
        <v>2.8575999999999997</v>
      </c>
      <c r="AJ43" s="36">
        <f t="shared" si="10"/>
        <v>0</v>
      </c>
      <c r="AK43" s="37">
        <f t="shared" si="11"/>
        <v>0</v>
      </c>
      <c r="AL43" s="36">
        <f t="shared" si="28"/>
        <v>2.8575999999999997</v>
      </c>
      <c r="AM43" s="36">
        <f t="shared" si="12"/>
        <v>0</v>
      </c>
      <c r="AN43" s="37">
        <f t="shared" si="13"/>
        <v>2.3494964813159531</v>
      </c>
      <c r="AO43" s="36">
        <f t="shared" si="14"/>
        <v>3.1178767025777456</v>
      </c>
      <c r="AP43" s="38">
        <f t="shared" si="15"/>
        <v>3.1178767025777456</v>
      </c>
      <c r="AR43" s="123">
        <f t="shared" si="16"/>
        <v>2.8575999999999997</v>
      </c>
      <c r="AS43" s="123">
        <f t="shared" si="17"/>
        <v>2.8547423999999997</v>
      </c>
      <c r="AT43" s="123">
        <f t="shared" si="18"/>
        <v>2.8547423999999997</v>
      </c>
      <c r="AU43" s="123">
        <f t="shared" si="19"/>
        <v>3.1178767025777452</v>
      </c>
    </row>
    <row r="44" spans="1:47" x14ac:dyDescent="0.25">
      <c r="A44" s="6">
        <v>8</v>
      </c>
      <c r="B44" s="3">
        <v>464.30508474576271</v>
      </c>
      <c r="C44" s="5">
        <v>2.4546913784748616</v>
      </c>
      <c r="D44" s="21">
        <f t="shared" si="20"/>
        <v>0</v>
      </c>
      <c r="E44" s="21">
        <f>IF(I$3=0,0,IF(LEGPLUIMVEE!$H$13="parallel geschakeld met warmtewisselaar",0,MIN(I$3,C44)))</f>
        <v>0</v>
      </c>
      <c r="F44" s="21">
        <f>IF(I$3=0,0,IF(LEGPLUIMVEE!$H$13="serie geschakeld met warmtewisselaar",0,IF(C44&lt;$I$3,C44-D44,MIN($I$3,C44-D44))))</f>
        <v>0</v>
      </c>
      <c r="G44" s="21">
        <f>IF(C44&lt;$I$7,MAX(0,C44-D44-E44-F44,IF(LEGPLUIMVEE!$H$15="warmtewisselaar",IF(LEGPLUIMVEE!$H$13="serie geschakeld met warmtewisselaar",MIN(I$7,MAX(0,C44-D44-F44)),MIN(I$7,MAX(0,'legh WW+droogt'!C44-D44-E44-F44))))),IF(LEGPLUIMVEE!$H$13="parallel geschakeld met warmtewisselaar",MIN(I$7,C44-D44-E44-F44,MIN(I$7,C44-E44-F44)),MIN(I$7,MAX(0,C44-D44-F44))))</f>
        <v>0</v>
      </c>
      <c r="H44" s="21">
        <f>IF(LEGPLUIMVEE!$H$13="parallel geschakeld met warmtewisselaar",IF(LEGPLUIMVEE!$L$9="nee",IF(LEGPLUIMVEE!$J$18="ja",C44-F44-G44,C44-D44-F44-G44),IF(LEGPLUIMVEE!$L$9="ja",IF(LEGPLUIMVEE!$J$18="ja",C44-G44,IF(LEGPLUIMVEE!$J$18="nee",C44-D44-G44)))),IF(LEGPLUIMVEE!$H$13="serie geschakeld met warmtewisselaar",IF(LEGPLUIMVEE!$J$18="ja",C44-G44,C44-D44-F44-G44),C44-D44-F44-G44))</f>
        <v>2.4546913784748616</v>
      </c>
      <c r="I44" s="121">
        <f t="shared" si="21"/>
        <v>2.4546913784748616</v>
      </c>
      <c r="J44" s="122">
        <v>2.8035000000000001</v>
      </c>
      <c r="K44" s="183">
        <f t="shared" si="22"/>
        <v>3.1952209677306742</v>
      </c>
      <c r="L44" s="164">
        <f>SUM(K$16:K44)/$K$73</f>
        <v>0.32482622926011995</v>
      </c>
      <c r="M44" s="22">
        <f t="shared" si="23"/>
        <v>3.1952209677306742</v>
      </c>
      <c r="N44" s="22">
        <f t="shared" si="0"/>
        <v>3.1952209677306742</v>
      </c>
      <c r="O44" s="237">
        <f>IF(E44&lt;I$3,P44*(1-I$6*D44/C44),
IF(LEGPLUIMVEE!$H$11="droogtunnel (platen) 55%",((K44-P44)/I$4-(K44-P44))*(1-I$6)+K44-(K44-P44)/I$4-
IF(D44&gt;E44,(D44-E44)/C44*(K44-P44)),P44*(1-$I$6)+(C44-D44)/C44*(K44-P44*(1-I$6))))</f>
        <v>3.1952209677306742</v>
      </c>
      <c r="P44" s="162">
        <f t="shared" si="24"/>
        <v>3.1952209677306742</v>
      </c>
      <c r="Q44" s="181">
        <f t="shared" si="29"/>
        <v>1</v>
      </c>
      <c r="R44" s="184">
        <f t="shared" si="25"/>
        <v>1</v>
      </c>
      <c r="S44" s="166">
        <f t="shared" si="32"/>
        <v>3.1952209677306742</v>
      </c>
      <c r="T44" s="166">
        <f t="shared" si="26"/>
        <v>3.1952209677306742</v>
      </c>
      <c r="U44" s="283">
        <f>IF(G44&lt;0.1,K44,IF(C44=F44,S44/(1-I$4),IF(I$3=0,K44-(G44/C44)*K44*U$13,IF(LEGPLUIMVEE!$H$13="Parallel geschakeld met warmtewisselaar",K44-(K44-(K44-S44)/I$4)*(G44/(C44-F44))*U$13,IF(LEGPLUIMVEE!$H$20="ja",K44-(K44-(K44-P44)/I$4)*(G44/(C44-MIN(D44,I$5)))*U$13,K44-(K44-(K44-P44)/I$4)*(G44/(C44-MIN(D43,I$5)))*U$13)))))</f>
        <v>3.1952209677306742</v>
      </c>
      <c r="V44" s="258">
        <f t="shared" ref="V44:V71" si="33">1-S44/K44</f>
        <v>0</v>
      </c>
      <c r="W44" s="273">
        <f t="shared" si="3"/>
        <v>0</v>
      </c>
      <c r="X44" s="22">
        <f t="shared" si="4"/>
        <v>3.1952209677306742</v>
      </c>
      <c r="Y44" s="177">
        <f t="shared" si="31"/>
        <v>0</v>
      </c>
      <c r="Z44" s="163">
        <f t="shared" si="6"/>
        <v>3.1952209677306742</v>
      </c>
      <c r="AA44" s="306"/>
      <c r="AB44" s="306"/>
      <c r="AC44" s="306"/>
      <c r="AD44" s="219">
        <f>IF(H44&lt;0.02,0,IF(LEGPLUIMVEE!$H$11="geen droogtunnel",IF(LEGPLUIMVEE!$H$15="geen warmtewisselaar",(P44-(K44-T44)/T$13),K44-(K44-O44)/I$6-(K44-T44)/95%)+IF(LEGPLUIMVEE!$J$18="ja",(K44-O44)*(1-I$6)),IF(LEGPLUIMVEE!$H$12&gt;=0,IF(LEGPLUIMVEE!$L$9="ja",IF(LEGPLUIMVEE!$J$18="ja",IF(LEGPLUIMVEE!$H$20="ja",O44-(K44-U44),IF(LEGPLUIMVEE!$H$20="nee",(O44-(K44-U44)),(O44-(K44-U44)))),IF(LEGPLUIMVEE!$J$18="nee",IF(LEGPLUIMVEE!$H$20="nee",O44-(K44-U44)/81%,O44-(K44-U44)))),IF(LEGPLUIMVEE!$L$9="nee",IF(LEGPLUIMVEE!$J$18="nee",IF(LEGPLUIMVEE!$H$20="nee",O44-(K44-U44)/95%,O44-(K44-U44)),IF(LEGPLUIMVEE!$H$20="nee",IF(LEGPLUIMVEE!$J$18="ja",IF(LEGPLUIMVEE!$L$9="nee",O44-(K44-U44))),O44-(K44-U44))))))))</f>
        <v>3.1952209677306742</v>
      </c>
      <c r="AE44" s="239">
        <f>IF(H44&lt;0.02,0,IF(LEGPLUIMVEE!$H$11="geen droogtunnel",IF(LEGPLUIMVEE!$H$15="geen warmtewisselaar",(K44-(K44-T44)/T$13),K44-(K44-N44)/I$6-((K44-T44)/95%))+IF(LEGPLUIMVEE!$J$18="ja",(K44-O44)*(1-I$6)),IF(LEGPLUIMVEE!$H$12&gt;=0,IF(LEGPLUIMVEE!$L$9="ja",IF(LEGPLUIMVEE!$J$18="ja",IF(LEGPLUIMVEE!$H$20="ja",S44-(K44-N44)-(K44-U44),IF(LEGPLUIMVEE!$H$20="nee",(S44-(K44-N44)-(K44-U44)),(O44-(K44-U44)))),IF(LEGPLUIMVEE!$J$18="nee",IF(LEGPLUIMVEE!$H$20="nee",S44*$N$72-(K44-N44)-(K44-U44),S44-(K44-N44)-(K44-U44)))),IF(LEGPLUIMVEE!$L$9="nee",IF(LEGPLUIMVEE!$J$18="nee",IF(LEGPLUIMVEE!$H$20="nee",(N44-(K44-S44)/I$4-(K44-U44)),N44-(K44-S44)/I$4-(K44-U44)),IF(LEGPLUIMVEE!$H$20="nee",IF(LEGPLUIMVEE!$J$18="ja",IF(LEGPLUIMVEE!$L$9="nee",N44-(K44-S44)/I$4-(K44-U44))),N44-(K44-S44)/I$4-(K44-U44))))))))</f>
        <v>3.1952209677306742</v>
      </c>
      <c r="AF44" s="219"/>
      <c r="AG44" s="164">
        <f t="shared" si="7"/>
        <v>1</v>
      </c>
      <c r="AH44" s="35">
        <f t="shared" si="8"/>
        <v>0</v>
      </c>
      <c r="AI44" s="36">
        <f t="shared" si="9"/>
        <v>2.8035000000000001</v>
      </c>
      <c r="AJ44" s="36">
        <f t="shared" si="10"/>
        <v>0</v>
      </c>
      <c r="AK44" s="37">
        <f t="shared" si="11"/>
        <v>0</v>
      </c>
      <c r="AL44" s="36">
        <f t="shared" si="28"/>
        <v>2.8035000000000001</v>
      </c>
      <c r="AM44" s="36">
        <f t="shared" si="12"/>
        <v>0</v>
      </c>
      <c r="AN44" s="37">
        <f t="shared" si="13"/>
        <v>2.4546913784748616</v>
      </c>
      <c r="AO44" s="36">
        <f t="shared" si="14"/>
        <v>3.1952209677306742</v>
      </c>
      <c r="AP44" s="38">
        <f t="shared" si="15"/>
        <v>3.1952209677306742</v>
      </c>
      <c r="AR44" s="123">
        <f t="shared" si="16"/>
        <v>2.8035000000000001</v>
      </c>
      <c r="AS44" s="123">
        <f t="shared" si="17"/>
        <v>2.8006964999999999</v>
      </c>
      <c r="AT44" s="123">
        <f t="shared" si="18"/>
        <v>2.8006964999999999</v>
      </c>
      <c r="AU44" s="123">
        <f t="shared" si="19"/>
        <v>3.1952209677306747</v>
      </c>
    </row>
    <row r="45" spans="1:47" x14ac:dyDescent="0.25">
      <c r="A45" s="6">
        <v>9</v>
      </c>
      <c r="B45" s="3">
        <v>458.89830508474574</v>
      </c>
      <c r="C45" s="5">
        <v>2.5645962066663439</v>
      </c>
      <c r="D45" s="21">
        <f t="shared" si="20"/>
        <v>0</v>
      </c>
      <c r="E45" s="21">
        <f>IF(I$3=0,0,IF(LEGPLUIMVEE!$H$13="parallel geschakeld met warmtewisselaar",0,MIN(I$3,C45)))</f>
        <v>0</v>
      </c>
      <c r="F45" s="21">
        <f>IF(I$3=0,0,IF(LEGPLUIMVEE!$H$13="serie geschakeld met warmtewisselaar",0,IF(C45&lt;$I$3,C45-D45,MIN($I$3,C45-D45))))</f>
        <v>0</v>
      </c>
      <c r="G45" s="21">
        <f>IF(C45&lt;$I$7,MAX(0,C45-D45-E45-F45,IF(LEGPLUIMVEE!$H$15="warmtewisselaar",IF(LEGPLUIMVEE!$H$13="serie geschakeld met warmtewisselaar",MIN(I$7,MAX(0,C45-D45-F45)),MIN(I$7,MAX(0,'legh WW+droogt'!C45-D45-E45-F45))))),IF(LEGPLUIMVEE!$H$13="parallel geschakeld met warmtewisselaar",MIN(I$7,C45-D45-E45-F45,MIN(I$7,C45-E45-F45)),MIN(I$7,MAX(0,C45-D45-F45))))</f>
        <v>0</v>
      </c>
      <c r="H45" s="21">
        <f>IF(LEGPLUIMVEE!$H$13="parallel geschakeld met warmtewisselaar",IF(LEGPLUIMVEE!$L$9="nee",IF(LEGPLUIMVEE!$J$18="ja",C45-F45-G45,C45-D45-F45-G45),IF(LEGPLUIMVEE!$L$9="ja",IF(LEGPLUIMVEE!$J$18="ja",C45-G45,IF(LEGPLUIMVEE!$J$18="nee",C45-D45-G45)))),IF(LEGPLUIMVEE!$H$13="serie geschakeld met warmtewisselaar",IF(LEGPLUIMVEE!$J$18="ja",C45-G45,C45-D45-F45-G45),C45-D45-F45-G45))</f>
        <v>2.5645962066663439</v>
      </c>
      <c r="I45" s="121">
        <f t="shared" si="21"/>
        <v>2.5645962066663439</v>
      </c>
      <c r="J45" s="122">
        <v>2.7494000000000001</v>
      </c>
      <c r="K45" s="183">
        <f t="shared" si="22"/>
        <v>3.2357382109698927</v>
      </c>
      <c r="L45" s="164">
        <f>SUM(K$16:K45)/$K$73</f>
        <v>0.37763002533149448</v>
      </c>
      <c r="M45" s="22">
        <f t="shared" si="23"/>
        <v>3.2357382109698927</v>
      </c>
      <c r="N45" s="22">
        <f t="shared" si="0"/>
        <v>3.2357382109698927</v>
      </c>
      <c r="O45" s="312">
        <f>IF(E45&lt;I$3,P45*(1-I$6*D45/C45),
IF(LEGPLUIMVEE!$H$11="droogtunnel (platen) 55%",((K45-P45)/I$4-(K45-P45))*(1-I$6)+K45-(K45-P45)/I$4-
IF(D45&gt;E45,(D45-E45)/C45*(K45-P45)),
P45*(1-$I$6)+(C45-D45)/C45*(K45-P45*(1-I$6))))</f>
        <v>3.2357382109698927</v>
      </c>
      <c r="P45" s="162">
        <f t="shared" si="24"/>
        <v>3.2357382109698927</v>
      </c>
      <c r="Q45" s="181">
        <f t="shared" si="29"/>
        <v>1</v>
      </c>
      <c r="R45" s="184">
        <f t="shared" si="25"/>
        <v>1</v>
      </c>
      <c r="S45" s="166">
        <f t="shared" si="32"/>
        <v>3.2357382109698927</v>
      </c>
      <c r="T45" s="166">
        <f t="shared" si="26"/>
        <v>3.2357382109698927</v>
      </c>
      <c r="U45" s="283">
        <f>IF(G45&lt;0.1,K45,IF(C45=F45,S45/(1-I$4),IF(I$3=0,K45-(G45/C45)*K45*U$13,IF(LEGPLUIMVEE!$H$13="Parallel geschakeld met warmtewisselaar",K45-(K45-(K45-S45)/I$4)*(G45/(C45-F45))*U$13,IF(LEGPLUIMVEE!$H$20="ja",K45-(K45-(K45-P45)/I$4)*(G45/(C45-MIN(D45,I$5)))*U$13,K45-(K45-(K45-P45)/I$4)*(G45/(C45-MIN(D44,I$5)))*U$13)))))</f>
        <v>3.2357382109698927</v>
      </c>
      <c r="V45" s="258">
        <f t="shared" si="33"/>
        <v>0</v>
      </c>
      <c r="W45" s="273">
        <f t="shared" si="3"/>
        <v>0</v>
      </c>
      <c r="X45" s="22">
        <f t="shared" si="4"/>
        <v>3.2357382109698927</v>
      </c>
      <c r="Y45" s="177">
        <f t="shared" si="31"/>
        <v>0</v>
      </c>
      <c r="Z45" s="163">
        <f t="shared" si="6"/>
        <v>3.2357382109698927</v>
      </c>
      <c r="AA45" s="306"/>
      <c r="AB45" s="306"/>
      <c r="AC45" s="306"/>
      <c r="AD45" s="219">
        <f>IF(H45&lt;0.02,0,IF(LEGPLUIMVEE!$H$11="geen droogtunnel",IF(LEGPLUIMVEE!$H$15="geen warmtewisselaar",(P45-(K45-T45)/T$13),K45-(K45-O45)/I$6-(K45-T45)/95%)+IF(LEGPLUIMVEE!$J$18="ja",(K45-O45)*(1-I$6)),IF(LEGPLUIMVEE!$H$12&gt;=0,IF(LEGPLUIMVEE!$L$9="ja",IF(LEGPLUIMVEE!$J$18="ja",IF(LEGPLUIMVEE!$H$20="ja",O45-(K45-U45),IF(LEGPLUIMVEE!$H$20="nee",(O45-(K45-U45)),(O45-(K45-U45)))),IF(LEGPLUIMVEE!$J$18="nee",IF(LEGPLUIMVEE!$H$20="nee",O45-(K45-U45)/81%,O45-(K45-U45)))),IF(LEGPLUIMVEE!$L$9="nee",IF(LEGPLUIMVEE!$J$18="nee",IF(LEGPLUIMVEE!$H$20="nee",O45-(K45-U45)/95%,O45-(K45-U45)),IF(LEGPLUIMVEE!$H$20="nee",IF(LEGPLUIMVEE!$J$18="ja",IF(LEGPLUIMVEE!$L$9="nee",O45-(K45-U45))),O45-(K45-U45))))))))</f>
        <v>3.2357382109698927</v>
      </c>
      <c r="AE45" s="239">
        <f>IF(H45&lt;0.02,0,IF(LEGPLUIMVEE!$H$11="geen droogtunnel",IF(LEGPLUIMVEE!$H$15="geen warmtewisselaar",(K45-(K45-T45)/T$13),K45-(K45-N45)/I$6-((K45-T45)/95%))+IF(LEGPLUIMVEE!$J$18="ja",(K45-O45)*(1-I$6)),IF(LEGPLUIMVEE!$H$12&gt;=0,IF(LEGPLUIMVEE!$L$9="ja",IF(LEGPLUIMVEE!$J$18="ja",IF(LEGPLUIMVEE!$H$20="ja",S45-(K45-N45)-(K45-U45),IF(LEGPLUIMVEE!$H$20="nee",(S45-(K45-N45)-(K45-U45)),(O45-(K45-U45)))),IF(LEGPLUIMVEE!$J$18="nee",IF(LEGPLUIMVEE!$H$20="nee",S45*$N$72-(K45-N45)-(K45-U45),S45-(K45-N45)-(K45-U45)))),IF(LEGPLUIMVEE!$L$9="nee",IF(LEGPLUIMVEE!$J$18="nee",IF(LEGPLUIMVEE!$H$20="nee",(N45-(K45-S45)/I$4-(K45-U45)),N45-(K45-S45)/I$4-(K45-U45)),IF(LEGPLUIMVEE!$H$20="nee",IF(LEGPLUIMVEE!$J$18="ja",IF(LEGPLUIMVEE!$L$9="nee",N45-(K45-S45)/I$4-(K45-U45))),N45-(K45-S45)/I$4-(K45-U45))))))))</f>
        <v>3.2357382109698927</v>
      </c>
      <c r="AF45" s="219"/>
      <c r="AG45" s="164">
        <f t="shared" si="7"/>
        <v>1</v>
      </c>
      <c r="AH45" s="35">
        <f t="shared" si="8"/>
        <v>0</v>
      </c>
      <c r="AI45" s="36">
        <f t="shared" si="9"/>
        <v>2.7494000000000001</v>
      </c>
      <c r="AJ45" s="36">
        <f t="shared" si="10"/>
        <v>0</v>
      </c>
      <c r="AK45" s="37">
        <f t="shared" si="11"/>
        <v>0</v>
      </c>
      <c r="AL45" s="36">
        <f t="shared" si="28"/>
        <v>2.7494000000000001</v>
      </c>
      <c r="AM45" s="36">
        <f t="shared" si="12"/>
        <v>0</v>
      </c>
      <c r="AN45" s="37">
        <f t="shared" si="13"/>
        <v>2.5645962066663439</v>
      </c>
      <c r="AO45" s="36">
        <f t="shared" si="14"/>
        <v>3.2357382109698927</v>
      </c>
      <c r="AP45" s="38">
        <f t="shared" si="15"/>
        <v>3.2357382109698927</v>
      </c>
      <c r="AR45" s="123">
        <f t="shared" si="16"/>
        <v>2.7494000000000001</v>
      </c>
      <c r="AS45" s="123">
        <f t="shared" si="17"/>
        <v>2.7466506000000002</v>
      </c>
      <c r="AT45" s="123">
        <f t="shared" si="18"/>
        <v>2.7466506000000002</v>
      </c>
      <c r="AU45" s="123">
        <f t="shared" si="19"/>
        <v>3.2357382109698927</v>
      </c>
    </row>
    <row r="46" spans="1:47" x14ac:dyDescent="0.25">
      <c r="A46" s="6">
        <v>10</v>
      </c>
      <c r="B46" s="3">
        <v>457.03389830508473</v>
      </c>
      <c r="C46" s="5">
        <v>2.679421845419073</v>
      </c>
      <c r="D46" s="21">
        <f t="shared" si="20"/>
        <v>0</v>
      </c>
      <c r="E46" s="21">
        <f>IF(I$3=0,0,IF(LEGPLUIMVEE!$H$13="parallel geschakeld met warmtewisselaar",0,MIN(I$3,C46)))</f>
        <v>0</v>
      </c>
      <c r="F46" s="21">
        <f>IF(I$3=0,0,IF(LEGPLUIMVEE!$H$13="serie geschakeld met warmtewisselaar",0,IF(C46&lt;$I$3,C46-D46,MIN($I$3,C46-D46))))</f>
        <v>0</v>
      </c>
      <c r="G46" s="174">
        <f>IF(C46&lt;$I$7,MAX(0,C46-D46-E46-F46,IF(LEGPLUIMVEE!$H$15="warmtewisselaar",IF(LEGPLUIMVEE!$H$13="serie geschakeld met warmtewisselaar",MIN(I$7,MAX(0,C46-D46-F46)),MIN(I$7,MAX(0,'legh WW+droogt'!C46-D46-E46-F46))))),IF(LEGPLUIMVEE!$H$13="parallel geschakeld met warmtewisselaar",MIN(I$7,C46-D46-E46-F46,MIN(I$7,C46-E46-F46)),MIN(I$7,MAX(0,C46-D46-F46))))</f>
        <v>0</v>
      </c>
      <c r="H46" s="21">
        <f>IF(LEGPLUIMVEE!$H$13="parallel geschakeld met warmtewisselaar",IF(LEGPLUIMVEE!$L$9="nee",IF(LEGPLUIMVEE!$J$18="ja",C46-F46-G46,C46-D46-F46-G46),IF(LEGPLUIMVEE!$L$9="ja",IF(LEGPLUIMVEE!$J$18="ja",C46-G46,IF(LEGPLUIMVEE!$J$18="nee",C46-D46-G46)))),IF(LEGPLUIMVEE!$H$13="serie geschakeld met warmtewisselaar",IF(LEGPLUIMVEE!$J$18="ja",C46-G46,C46-D46-F46-G46),C46-D46-F46-G46))</f>
        <v>2.679421845419073</v>
      </c>
      <c r="I46" s="121">
        <f t="shared" si="21"/>
        <v>2.679421845419073</v>
      </c>
      <c r="J46" s="122">
        <v>2.6953</v>
      </c>
      <c r="K46" s="280">
        <f t="shared" si="22"/>
        <v>3.3006282932096305</v>
      </c>
      <c r="L46" s="164">
        <f>SUM(K$16:K46)/$K$73</f>
        <v>0.43149275832737838</v>
      </c>
      <c r="M46" s="22">
        <f t="shared" si="23"/>
        <v>3.3006282932096305</v>
      </c>
      <c r="N46" s="22">
        <f t="shared" si="0"/>
        <v>3.3006282932096305</v>
      </c>
      <c r="O46" s="312">
        <f>IF(E46&lt;I$3,P46*(1-I$6*D46/C46),
IF(LEGPLUIMVEE!$H$11="droogtunnel (platen) 55%",((K46-P46)/I$4-(K46-P46))*(1-I$6)+K46-(K46-P46)/I$4-
IF(D46&gt;E46,(D46-E46)/C46*(K46-P46)),
P46*(1-$I$6)+(C46-D46)/C46*(K46-P46*(1-I$6))))</f>
        <v>3.3006282932096305</v>
      </c>
      <c r="P46" s="280">
        <f t="shared" si="24"/>
        <v>3.3006282932096305</v>
      </c>
      <c r="Q46" s="181">
        <f t="shared" si="29"/>
        <v>1</v>
      </c>
      <c r="R46" s="184">
        <f t="shared" si="25"/>
        <v>1</v>
      </c>
      <c r="S46" s="166">
        <f t="shared" si="32"/>
        <v>3.3006282932096305</v>
      </c>
      <c r="T46" s="166">
        <f t="shared" si="26"/>
        <v>3.3006282932096305</v>
      </c>
      <c r="U46" s="283">
        <f>IF(G46&lt;0.1,K46,IF(C46=F46,S46/(1-I$4),IF(I$3=0,K46-(G46/C46)*K46*U$13,IF(LEGPLUIMVEE!$H$13="Parallel geschakeld met warmtewisselaar",K46-(K46-(K46-S46)/I$4)*(G46/(C46-F46))*U$13,IF(LEGPLUIMVEE!$H$20="ja",K46-(K46-(K46-P46)/I$4)*(G46/(C46-MIN(D46,I$5)))*U$13,K46-(K46-(K46-P46)/I$4)*(G46/(C46-MIN(D45,I$5)))*U$13)))))</f>
        <v>3.3006282932096305</v>
      </c>
      <c r="V46" s="258">
        <f t="shared" si="33"/>
        <v>0</v>
      </c>
      <c r="W46" s="273">
        <f t="shared" si="3"/>
        <v>0</v>
      </c>
      <c r="X46" s="22">
        <f t="shared" si="4"/>
        <v>3.3006282932096305</v>
      </c>
      <c r="Y46" s="177">
        <f t="shared" si="31"/>
        <v>0</v>
      </c>
      <c r="Z46" s="163">
        <f t="shared" si="6"/>
        <v>3.3006282932096305</v>
      </c>
      <c r="AA46" s="306"/>
      <c r="AB46" s="306"/>
      <c r="AC46" s="306"/>
      <c r="AD46" s="219">
        <f>IF(H46&lt;0.02,0,IF(LEGPLUIMVEE!$H$11="geen droogtunnel",IF(LEGPLUIMVEE!$H$15="geen warmtewisselaar",(P46-(K46-T46)/T$13),K46-(K46-O46)/I$6-(K46-T46)/95%)+IF(LEGPLUIMVEE!$J$18="ja",(K46-O46)*(1-I$6)),IF(LEGPLUIMVEE!$H$12&gt;=0,IF(LEGPLUIMVEE!$L$9="ja",IF(LEGPLUIMVEE!$J$18="ja",IF(LEGPLUIMVEE!$H$20="ja",O46-(K46-U46),IF(LEGPLUIMVEE!$H$20="nee",(O46-(K46-U46)),(O46-(K46-U46)))),IF(LEGPLUIMVEE!$J$18="nee",IF(LEGPLUIMVEE!$H$20="nee",O46-(K46-U46)/81%,O46-(K46-U46)))),IF(LEGPLUIMVEE!$L$9="nee",IF(LEGPLUIMVEE!$J$18="nee",IF(LEGPLUIMVEE!$H$20="nee",O46-(K46-U46)/95%,O46-(K46-U46)),IF(LEGPLUIMVEE!$H$20="nee",IF(LEGPLUIMVEE!$J$18="ja",IF(LEGPLUIMVEE!$L$9="nee",O46-(K46-U46))),O46-(K46-U46))))))))</f>
        <v>3.3006282932096305</v>
      </c>
      <c r="AE46" s="239">
        <f>IF(H46&lt;0.02,0,IF(LEGPLUIMVEE!$H$11="geen droogtunnel",IF(LEGPLUIMVEE!$H$15="geen warmtewisselaar",(K46-(K46-T46)/T$13),K46-(K46-N46)/I$6-((K46-T46)/95%))+IF(LEGPLUIMVEE!$J$18="ja",(K46-O46)*(1-I$6)),IF(LEGPLUIMVEE!$H$12&gt;=0,IF(LEGPLUIMVEE!$L$9="ja",IF(LEGPLUIMVEE!$J$18="ja",IF(LEGPLUIMVEE!$H$20="ja",S46-(K46-N46)-(K46-U46),IF(LEGPLUIMVEE!$H$20="nee",(S46-(K46-N46)-(K46-U46)),(O46-(K46-U46)))),IF(LEGPLUIMVEE!$J$18="nee",IF(LEGPLUIMVEE!$H$20="nee",S46*$N$72-(K46-N46)-(K46-U46),S46-(K46-N46)-(K46-U46)))),IF(LEGPLUIMVEE!$L$9="nee",IF(LEGPLUIMVEE!$J$18="nee",IF(LEGPLUIMVEE!$H$20="nee",(N46-(K46-S46)/I$4-(K46-U46)),N46-(K46-S46)/I$4-(K46-U46)),IF(LEGPLUIMVEE!$H$20="nee",IF(LEGPLUIMVEE!$J$18="ja",IF(LEGPLUIMVEE!$L$9="nee",N46-(K46-S46)/I$4-(K46-U46))),N46-(K46-S46)/I$4-(K46-U46))))))))</f>
        <v>3.3006282932096305</v>
      </c>
      <c r="AF46" s="219"/>
      <c r="AG46" s="164">
        <f t="shared" si="7"/>
        <v>1</v>
      </c>
      <c r="AH46" s="35">
        <f t="shared" si="8"/>
        <v>0</v>
      </c>
      <c r="AI46" s="36">
        <f t="shared" si="9"/>
        <v>2.6953</v>
      </c>
      <c r="AJ46" s="36">
        <f t="shared" si="10"/>
        <v>0</v>
      </c>
      <c r="AK46" s="37">
        <f t="shared" si="11"/>
        <v>0</v>
      </c>
      <c r="AL46" s="36">
        <f t="shared" si="28"/>
        <v>2.6953</v>
      </c>
      <c r="AM46" s="36">
        <f t="shared" si="12"/>
        <v>0</v>
      </c>
      <c r="AN46" s="37">
        <f t="shared" si="13"/>
        <v>2.679421845419073</v>
      </c>
      <c r="AO46" s="36">
        <f t="shared" si="14"/>
        <v>3.3006282932096305</v>
      </c>
      <c r="AP46" s="38">
        <f t="shared" si="15"/>
        <v>3.3006282932096305</v>
      </c>
      <c r="AR46" s="123">
        <f t="shared" si="16"/>
        <v>2.6953</v>
      </c>
      <c r="AS46" s="123">
        <f t="shared" si="17"/>
        <v>2.6926047</v>
      </c>
      <c r="AT46" s="123">
        <f t="shared" si="18"/>
        <v>2.6926047</v>
      </c>
      <c r="AU46" s="123">
        <f t="shared" si="19"/>
        <v>3.3006282932096305</v>
      </c>
    </row>
    <row r="47" spans="1:47" x14ac:dyDescent="0.25">
      <c r="A47" s="6">
        <v>11</v>
      </c>
      <c r="B47" s="3">
        <v>447.57627118644069</v>
      </c>
      <c r="C47" s="5">
        <v>2.7993886160508477</v>
      </c>
      <c r="D47" s="21">
        <f t="shared" si="20"/>
        <v>0</v>
      </c>
      <c r="E47" s="21">
        <f>IF(I$3=0,0,IF(LEGPLUIMVEE!$H$13="parallel geschakeld met warmtewisselaar",0,MIN(I$3,C47)))</f>
        <v>0</v>
      </c>
      <c r="F47" s="21">
        <f>IF(I$3=0,0,IF(LEGPLUIMVEE!$H$13="serie geschakeld met warmtewisselaar",0,IF(C47&lt;$I$3,C47-D47,MIN($I$3,C47-D47))))</f>
        <v>0</v>
      </c>
      <c r="G47" s="21">
        <f>IF(C47&lt;$I$7,MAX(0,C47-D47-E47-F47,IF(LEGPLUIMVEE!$H$15="warmtewisselaar",IF(LEGPLUIMVEE!$H$13="serie geschakeld met warmtewisselaar",MIN(I$7,MAX(0,C47-D47-F47)),MIN(I$7,MAX(0,'legh WW+droogt'!C47-D47-E47-F47))))),IF(LEGPLUIMVEE!$H$13="parallel geschakeld met warmtewisselaar",MIN(I$7,C47-D47-E47-F47,MIN(I$7,C47-E47-F47)),MIN(I$7,MAX(0,C47-D47-F47))))</f>
        <v>0</v>
      </c>
      <c r="H47" s="21">
        <f>IF(LEGPLUIMVEE!$H$13="parallel geschakeld met warmtewisselaar",IF(LEGPLUIMVEE!$L$9="nee",IF(LEGPLUIMVEE!$J$18="ja",C47-F47-G47,C47-D47-F47-G47),IF(LEGPLUIMVEE!$L$9="ja",IF(LEGPLUIMVEE!$J$18="ja",C47-G47,IF(LEGPLUIMVEE!$J$18="nee",C47-D47-G47)))),IF(LEGPLUIMVEE!$H$13="serie geschakeld met warmtewisselaar",IF(LEGPLUIMVEE!$J$18="ja",C47-G47,C47-D47-F47-G47),C47-D47-F47-G47))</f>
        <v>2.7993886160508477</v>
      </c>
      <c r="I47" s="121">
        <f t="shared" si="21"/>
        <v>2.7993886160508477</v>
      </c>
      <c r="J47" s="122">
        <v>2.6412</v>
      </c>
      <c r="K47" s="183">
        <f t="shared" si="22"/>
        <v>3.3092649124089042</v>
      </c>
      <c r="L47" s="164">
        <f>SUM(K$16:K47)/$K$73</f>
        <v>0.48549643173599361</v>
      </c>
      <c r="M47" s="22">
        <f t="shared" si="23"/>
        <v>3.3092649124089042</v>
      </c>
      <c r="N47" s="22">
        <f>(((($K47)*(1-($I$6*(D47)/C47)))))</f>
        <v>3.3092649124089042</v>
      </c>
      <c r="O47" s="312">
        <f>IF(E47&lt;I$3,P47*(1-I$6*D47/C47),
IF(LEGPLUIMVEE!$H$11="droogtunnel (platen) 55%",((K47-P47)/I$4-(K47-P47))*(1-I$6)+K47-(K47-P47)/I$4-
IF(D47&gt;E47,(D47-E47)/C47*(K47-P47)),
P47*(1-$I$6)+(C47-D47)/C47*(K47-P47*(1-I$6))))</f>
        <v>3.3092649124089042</v>
      </c>
      <c r="P47" s="162">
        <f t="shared" si="24"/>
        <v>3.3092649124089042</v>
      </c>
      <c r="Q47" s="181">
        <f t="shared" si="29"/>
        <v>1</v>
      </c>
      <c r="R47" s="184">
        <f t="shared" si="25"/>
        <v>1</v>
      </c>
      <c r="S47" s="166">
        <f t="shared" si="32"/>
        <v>3.3092649124089042</v>
      </c>
      <c r="T47" s="166">
        <f t="shared" si="26"/>
        <v>3.3092649124089042</v>
      </c>
      <c r="U47" s="283">
        <f>IF(G47&lt;0.1,K47,IF(C47=F47,S47/(1-I$4),IF(I$3=0,K47-(G47/C47)*K47*U$13,IF(LEGPLUIMVEE!$H$13="Parallel geschakeld met warmtewisselaar",K47-(K47-(K47-S47)/I$4)*(G47/(C47-F47))*U$13,IF(LEGPLUIMVEE!$H$20="ja",K47-(K47-(K47-P47)/I$4)*(G47/(C47-MIN(D47,I$5)))*U$13,K47-(K47-(K47-P47)/I$4)*(G47/(C47-MIN(D46,I$5)))*U$13)))))</f>
        <v>3.3092649124089042</v>
      </c>
      <c r="V47" s="258">
        <f t="shared" si="33"/>
        <v>0</v>
      </c>
      <c r="W47" s="273">
        <f t="shared" si="3"/>
        <v>0</v>
      </c>
      <c r="X47" s="22">
        <f t="shared" si="4"/>
        <v>3.3092649124089042</v>
      </c>
      <c r="Y47" s="177">
        <f t="shared" si="31"/>
        <v>0</v>
      </c>
      <c r="Z47" s="163">
        <f t="shared" si="6"/>
        <v>3.3092649124089042</v>
      </c>
      <c r="AA47" s="306"/>
      <c r="AB47" s="306"/>
      <c r="AC47" s="306"/>
      <c r="AD47" s="219">
        <f>IF(H47&lt;0.02,0,IF(LEGPLUIMVEE!$H$11="geen droogtunnel",IF(LEGPLUIMVEE!$H$15="geen warmtewisselaar",(P47-(K47-T47)/T$13),K47-(K47-O47)/I$6-(K47-T47)/95%)+IF(LEGPLUIMVEE!$J$18="ja",(K47-O47)*(1-I$6)),IF(LEGPLUIMVEE!$H$12&gt;=0,IF(LEGPLUIMVEE!$L$9="ja",IF(LEGPLUIMVEE!$J$18="ja",IF(LEGPLUIMVEE!$H$20="ja",O47-(K47-U47),IF(LEGPLUIMVEE!$H$20="nee",(O47-(K47-U47)),(O47-(K47-U47)))),IF(LEGPLUIMVEE!$J$18="nee",IF(LEGPLUIMVEE!$H$20="nee",O47-(K47-U47)/81%,O47-(K47-U47)))),IF(LEGPLUIMVEE!$L$9="nee",IF(LEGPLUIMVEE!$J$18="nee",IF(LEGPLUIMVEE!$H$20="nee",O47-(K47-U47)/95%,O47-(K47-U47)),IF(LEGPLUIMVEE!$H$20="nee",IF(LEGPLUIMVEE!$J$18="ja",IF(LEGPLUIMVEE!$L$9="nee",O47-(K47-U47))),O47-(K47-U47))))))))</f>
        <v>3.3092649124089042</v>
      </c>
      <c r="AE47" s="239">
        <f>IF(H47&lt;0.02,0,IF(LEGPLUIMVEE!$H$11="geen droogtunnel",IF(LEGPLUIMVEE!$H$15="geen warmtewisselaar",(K47-(K47-T47)/T$13),K47-(K47-N47)/I$6-((K47-T47)/95%))+IF(LEGPLUIMVEE!$J$18="ja",(K47-O47)*(1-I$6)),IF(LEGPLUIMVEE!$H$12&gt;=0,IF(LEGPLUIMVEE!$L$9="ja",IF(LEGPLUIMVEE!$J$18="ja",IF(LEGPLUIMVEE!$H$20="ja",S47-(K47-N47)-(K47-U47),IF(LEGPLUIMVEE!$H$20="nee",(S47-(K47-N47)-(K47-U47)),(O47-(K47-U47)))),IF(LEGPLUIMVEE!$J$18="nee",IF(LEGPLUIMVEE!$H$20="nee",S47*$N$72-(K47-N47)-(K47-U47),S47-(K47-N47)-(K47-U47)))),IF(LEGPLUIMVEE!$L$9="nee",IF(LEGPLUIMVEE!$J$18="nee",IF(LEGPLUIMVEE!$H$20="nee",(N47-(K47-S47)/I$4-(K47-U47)),N47-(K47-S47)/I$4-(K47-U47)),IF(LEGPLUIMVEE!$H$20="nee",IF(LEGPLUIMVEE!$J$18="ja",IF(LEGPLUIMVEE!$L$9="nee",N47-(K47-S47)/I$4-(K47-U47))),N47-(K47-S47)/I$4-(K47-U47))))))))</f>
        <v>3.3092649124089042</v>
      </c>
      <c r="AF47" s="219"/>
      <c r="AG47" s="164">
        <f t="shared" si="7"/>
        <v>1</v>
      </c>
      <c r="AH47" s="35">
        <f t="shared" si="8"/>
        <v>0</v>
      </c>
      <c r="AI47" s="36">
        <f t="shared" si="9"/>
        <v>2.6412</v>
      </c>
      <c r="AJ47" s="36">
        <f t="shared" si="10"/>
        <v>0</v>
      </c>
      <c r="AK47" s="37">
        <f t="shared" si="11"/>
        <v>0</v>
      </c>
      <c r="AL47" s="36">
        <f t="shared" si="28"/>
        <v>2.6412</v>
      </c>
      <c r="AM47" s="36">
        <f t="shared" si="12"/>
        <v>0</v>
      </c>
      <c r="AN47" s="37">
        <f t="shared" si="13"/>
        <v>2.7993886160508477</v>
      </c>
      <c r="AO47" s="36">
        <f t="shared" si="14"/>
        <v>3.3092649124089042</v>
      </c>
      <c r="AP47" s="38">
        <f t="shared" si="15"/>
        <v>3.3092649124089042</v>
      </c>
      <c r="AR47" s="123">
        <f t="shared" si="16"/>
        <v>2.6412</v>
      </c>
      <c r="AS47" s="123">
        <f t="shared" si="17"/>
        <v>2.6385588000000002</v>
      </c>
      <c r="AT47" s="123">
        <f t="shared" si="18"/>
        <v>2.6385588000000002</v>
      </c>
      <c r="AU47" s="123">
        <f t="shared" si="19"/>
        <v>3.3092649124089042</v>
      </c>
    </row>
    <row r="48" spans="1:47" x14ac:dyDescent="0.25">
      <c r="A48" s="6">
        <v>12</v>
      </c>
      <c r="B48" s="3">
        <v>447.13559322033899</v>
      </c>
      <c r="C48" s="5">
        <v>2.9247267044093999</v>
      </c>
      <c r="D48" s="21">
        <f t="shared" si="20"/>
        <v>0</v>
      </c>
      <c r="E48" s="21">
        <f>IF(I$3=0,0,IF(LEGPLUIMVEE!$H$13="parallel geschakeld met warmtewisselaar",0,MIN(I$3,C48)))</f>
        <v>0</v>
      </c>
      <c r="F48" s="21">
        <f>IF(I$3=0,0,IF(LEGPLUIMVEE!$H$13="serie geschakeld met warmtewisselaar",0,IF(C48&lt;$I$3,C48-D48,MIN($I$3,C48-D48))))</f>
        <v>0</v>
      </c>
      <c r="G48" s="250">
        <f>IF(C48&lt;$I$7,MAX(0,C48-D48-E48-F48,IF(LEGPLUIMVEE!$H$15="warmtewisselaar",IF(LEGPLUIMVEE!$H$13="serie geschakeld met warmtewisselaar",MIN(I$7,MAX(0,C48-D48-F48)),MIN(I$7,MAX(0,'legh WW+droogt'!C48-D48-E48-F48))))),IF(LEGPLUIMVEE!$H$13="parallel geschakeld met warmtewisselaar",MIN(I$7,C48-D48-E48-F48,MIN(I$7,C48-E48-F48)),MIN(I$7,MAX(0,C48-D48-F48))))</f>
        <v>0</v>
      </c>
      <c r="H48" s="21">
        <f>IF(LEGPLUIMVEE!$H$13="parallel geschakeld met warmtewisselaar",IF(LEGPLUIMVEE!$L$9="nee",IF(LEGPLUIMVEE!$J$18="ja",C48-F48-G48,C48-D48-F48-G48),IF(LEGPLUIMVEE!$L$9="ja",IF(LEGPLUIMVEE!$J$18="ja",C48-G48,IF(LEGPLUIMVEE!$J$18="nee",C48-D48-G48)))),IF(LEGPLUIMVEE!$H$13="serie geschakeld met warmtewisselaar",IF(LEGPLUIMVEE!$J$18="ja",C48-G48,C48-D48-F48-G48),C48-D48-F48-G48))</f>
        <v>2.9247267044093999</v>
      </c>
      <c r="I48" s="121">
        <f t="shared" si="21"/>
        <v>2.9247267044093999</v>
      </c>
      <c r="J48" s="122">
        <v>2.5871</v>
      </c>
      <c r="K48" s="183">
        <f t="shared" si="22"/>
        <v>3.3832784985682198</v>
      </c>
      <c r="L48" s="164">
        <f>SUM(K$16:K48)/$K$73</f>
        <v>0.54070792792112943</v>
      </c>
      <c r="M48" s="22">
        <f t="shared" si="23"/>
        <v>3.3832784985682198</v>
      </c>
      <c r="N48" s="22">
        <f t="shared" si="0"/>
        <v>3.3832784985682198</v>
      </c>
      <c r="O48" s="312">
        <f>IF(E48&lt;I$3,P48*(1-I$6*D48/C48),
IF(LEGPLUIMVEE!$H$11="droogtunnel (platen) 55%",((K48-P48)/I$4-(K48-P48))*(1-I$6)+K48-(K48-P48)/I$4-
IF(D48&gt;E48,(D48-E48)/C48*(K48-P48)),
P48*(1-$I$6)+(C48-D48)/C48*(K48-P48*(1-I$6))))</f>
        <v>3.3832784985682198</v>
      </c>
      <c r="P48" s="162">
        <f t="shared" si="24"/>
        <v>3.3832784985682198</v>
      </c>
      <c r="Q48" s="181">
        <f t="shared" si="29"/>
        <v>1</v>
      </c>
      <c r="R48" s="184">
        <f t="shared" si="25"/>
        <v>1</v>
      </c>
      <c r="S48" s="166">
        <f t="shared" si="32"/>
        <v>3.3832784985682198</v>
      </c>
      <c r="T48" s="166">
        <f t="shared" si="26"/>
        <v>3.3832784985682198</v>
      </c>
      <c r="U48" s="283">
        <f>IF(G48&lt;0.1,K48,IF(C48=F48,S48/(1-I$4),IF(I$3=0,K48-(G48/C48)*K48*U$13,IF(LEGPLUIMVEE!$H$13="Parallel geschakeld met warmtewisselaar",K48-(K48-(K48-S48)/I$4)*(G48/(C48-F48))*U$13,IF(LEGPLUIMVEE!$H$20="ja",K48-(K48-(K48-P48)/I$4)*(G48/(C48-MIN(D48,I$5)))*U$13,K48-(K48-(K48-P48)/I$4)*(G48/(C48-MIN(D47,I$5)))*U$13)))))</f>
        <v>3.3832784985682198</v>
      </c>
      <c r="V48" s="258">
        <f t="shared" si="33"/>
        <v>0</v>
      </c>
      <c r="W48" s="274">
        <f>U48/O48</f>
        <v>1</v>
      </c>
      <c r="X48" s="22">
        <f t="shared" ref="X48:X70" si="34">(((($J48/1000)*(1-$I$8))*$B48*$I48)*(1-$I$9))+(((($J48/1000)*(1-$I$8))*$B48*$D48)*(1-$I$6))+(((($J48/1000)*(1-$I$8))*$B48*$E48)*(1-$I$4))</f>
        <v>3.3832784985682198</v>
      </c>
      <c r="Y48" s="177">
        <f t="shared" si="31"/>
        <v>0</v>
      </c>
      <c r="Z48" s="163">
        <f t="shared" ref="Z48:Z71" si="35">K48-(C48-G48)/C48*K48*$I$10</f>
        <v>3.3832784985682198</v>
      </c>
      <c r="AA48" s="306"/>
      <c r="AB48" s="306"/>
      <c r="AC48" s="306"/>
      <c r="AD48" s="219">
        <f>IF(H48&lt;0.02,0,IF(LEGPLUIMVEE!$H$11="geen droogtunnel",IF(LEGPLUIMVEE!$H$15="geen warmtewisselaar",(P48-(K48-T48)/T$13),K48-(K48-O48)/I$6-(K48-T48)/95%)+IF(LEGPLUIMVEE!$J$18="ja",(K48-O48)*(1-I$6)),IF(LEGPLUIMVEE!$H$12&gt;=0,IF(LEGPLUIMVEE!$L$9="ja",IF(LEGPLUIMVEE!$J$18="ja",IF(LEGPLUIMVEE!$H$20="ja",O48-(K48-U48),IF(LEGPLUIMVEE!$H$20="nee",(O48-(K48-U48)),(O48-(K48-U48)))),IF(LEGPLUIMVEE!$J$18="nee",IF(LEGPLUIMVEE!$H$20="nee",O48-(K48-U48)/81%,O48-(K48-U48)))),IF(LEGPLUIMVEE!$L$9="nee",IF(LEGPLUIMVEE!$J$18="nee",IF(LEGPLUIMVEE!$H$20="nee",O48-(K48-U48)/95%,O48-(K48-U48)),IF(LEGPLUIMVEE!$H$20="nee",IF(LEGPLUIMVEE!$J$18="ja",IF(LEGPLUIMVEE!$L$9="nee",O48-(K48-U48))),O48-(K48-U48))))))))</f>
        <v>3.3832784985682198</v>
      </c>
      <c r="AE48" s="239">
        <f>IF(H48&lt;0.02,0,IF(LEGPLUIMVEE!$H$11="geen droogtunnel",IF(LEGPLUIMVEE!$H$15="geen warmtewisselaar",(K48-(K48-T48)/T$13),K48-(K48-N48)/I$6-((K48-T48)/95%))+IF(LEGPLUIMVEE!$J$18="ja",(K48-O48)*(1-I$6)),IF(LEGPLUIMVEE!$H$12&gt;=0,IF(LEGPLUIMVEE!$L$9="ja",IF(LEGPLUIMVEE!$J$18="ja",IF(LEGPLUIMVEE!$H$20="ja",S48-(K48-N48)-(K48-U48),IF(LEGPLUIMVEE!$H$20="nee",(S48-(K48-N48)-(K48-U48)),(O48-(K48-U48)))),IF(LEGPLUIMVEE!$J$18="nee",IF(LEGPLUIMVEE!$H$20="nee",S48*$N$72-(K48-N48)-(K48-U48),S48-(K48-N48)-(K48-U48)))),IF(LEGPLUIMVEE!$L$9="nee",IF(LEGPLUIMVEE!$J$18="nee",IF(LEGPLUIMVEE!$H$20="nee",(N48-(K48-S48)/I$4-(K48-U48)),N48-(K48-S48)/I$4-(K48-U48)),IF(LEGPLUIMVEE!$H$20="nee",IF(LEGPLUIMVEE!$J$18="ja",IF(LEGPLUIMVEE!$L$9="nee",N48-(K48-S48)/I$4-(K48-U48))),N48-(K48-S48)/I$4-(K48-U48))))))))</f>
        <v>3.3832784985682198</v>
      </c>
      <c r="AF48" s="219"/>
      <c r="AG48" s="164">
        <f t="shared" ref="AG48:AG71" si="36">S48/K48</f>
        <v>1</v>
      </c>
      <c r="AH48" s="35">
        <f t="shared" ref="AH48:AH71" si="37">IF((D48+E48)&lt;$I$3,D48+E48,$I$3)</f>
        <v>0</v>
      </c>
      <c r="AI48" s="36">
        <f t="shared" ref="AI48:AI71" si="38">IF($I$3&gt;0,(J48*(1-$I$8)*(1-$I$4)),(J48*(1-$I$8)))</f>
        <v>2.5871</v>
      </c>
      <c r="AJ48" s="36">
        <f t="shared" ref="AJ48:AJ71" si="39">($AI48/1000)*$B48*$AH48</f>
        <v>0</v>
      </c>
      <c r="AK48" s="37">
        <f t="shared" ref="AK48:AK71" si="40">D48</f>
        <v>0</v>
      </c>
      <c r="AL48" s="36">
        <f t="shared" si="28"/>
        <v>2.5871</v>
      </c>
      <c r="AM48" s="36">
        <f t="shared" ref="AM48:AM71" si="41">(AL48/1000)*B48*AK48</f>
        <v>0</v>
      </c>
      <c r="AN48" s="37">
        <f t="shared" ref="AN48:AN71" si="42">IF($I$3&gt;$I$5,C48-AH48,C48-AK48)</f>
        <v>2.9247267044093999</v>
      </c>
      <c r="AO48" s="36">
        <f t="shared" ref="AO48:AO71" si="43">((($J48/1000)*(1-$I$8))*$B48*$AN48)*(1-$I$9)</f>
        <v>3.3832784985682198</v>
      </c>
      <c r="AP48" s="38">
        <f t="shared" ref="AP48:AP70" si="44">(IF(AH48&lt;$I$5,AM48+AO48,AM48+AO48+((AH48-AK48)*B48*(AI48/1000))))*(1-$I$10)</f>
        <v>3.3832784985682198</v>
      </c>
      <c r="AR48" s="123">
        <f t="shared" ref="AR48:AR71" si="45">J48*(1-$I$8)</f>
        <v>2.5871</v>
      </c>
      <c r="AS48" s="123">
        <f t="shared" ref="AS48:AS71" si="46">$AR48*(1-$I$6)</f>
        <v>2.5845129</v>
      </c>
      <c r="AT48" s="123">
        <f t="shared" ref="AT48:AT71" si="47">$AR48*(1-$I$4)</f>
        <v>2.5845129</v>
      </c>
      <c r="AU48" s="123">
        <f t="shared" ref="AU48:AU71" si="48">(($AS48/1000)*(1-$I$10)*$D48*$B48)+(($AT48/1000)*(1-$I$10)*$E48*$B48)+(($AR48/1000)*(1-$I$10)*$I48*$B48)</f>
        <v>3.3832784985682203</v>
      </c>
    </row>
    <row r="49" spans="1:47" x14ac:dyDescent="0.25">
      <c r="A49" s="6">
        <v>13</v>
      </c>
      <c r="B49" s="3">
        <v>445.25423728813558</v>
      </c>
      <c r="C49" s="5">
        <v>3.0556766025407378</v>
      </c>
      <c r="D49" s="21">
        <f t="shared" si="20"/>
        <v>0</v>
      </c>
      <c r="E49" s="21">
        <f>IF(I$3=0,0,IF(LEGPLUIMVEE!$H$13="parallel geschakeld met warmtewisselaar",0,MIN(I$3,C49)))</f>
        <v>0</v>
      </c>
      <c r="F49" s="21">
        <f>IF(I$3=0,0,IF(LEGPLUIMVEE!$H$13="serie geschakeld met warmtewisselaar",0,IF(C49&lt;$I$3,C49-D49,MIN($I$3,C49-D49))))</f>
        <v>0</v>
      </c>
      <c r="G49" s="21">
        <f>IF(C49&lt;$I$7,MAX(0,C49-D49-E49-F49,IF(LEGPLUIMVEE!$H$15="warmtewisselaar",IF(LEGPLUIMVEE!$H$13="serie geschakeld met warmtewisselaar",MIN(I$7,MAX(0,C49-D49-F49)),MIN(I$7,MAX(0,'legh WW+droogt'!C49-D49-E49-F49))))),IF(LEGPLUIMVEE!$H$13="parallel geschakeld met warmtewisselaar",MIN(I$7,C49-D49-E49-F49,MIN(I$7,C49-E49-F49)),MIN(I$7,MAX(0,C49-D49-F49))))</f>
        <v>0</v>
      </c>
      <c r="H49" s="21">
        <f>IF(LEGPLUIMVEE!$H$13="parallel geschakeld met warmtewisselaar",IF(LEGPLUIMVEE!$L$9="nee",IF(LEGPLUIMVEE!$J$18="ja",C49-F49-G49,C49-D49-F49-G49),IF(LEGPLUIMVEE!$L$9="ja",IF(LEGPLUIMVEE!$J$18="ja",C49-G49,IF(LEGPLUIMVEE!$J$18="nee",C49-D49-G49)))),IF(LEGPLUIMVEE!$H$13="serie geschakeld met warmtewisselaar",IF(LEGPLUIMVEE!$J$18="ja",C49-G49,C49-D49-F49-G49),C49-D49-F49-G49))</f>
        <v>3.0556766025407378</v>
      </c>
      <c r="I49" s="121">
        <f t="shared" si="21"/>
        <v>3.0556766025407378</v>
      </c>
      <c r="J49" s="122">
        <v>2.5329999999999999</v>
      </c>
      <c r="K49" s="183">
        <f t="shared" si="22"/>
        <v>3.4462806351757891</v>
      </c>
      <c r="L49" s="164">
        <f>SUM(K$16:K49)/$K$73</f>
        <v>0.59694755177191161</v>
      </c>
      <c r="M49" s="22">
        <f t="shared" si="23"/>
        <v>3.4462806351757891</v>
      </c>
      <c r="N49" s="22">
        <f t="shared" si="0"/>
        <v>3.4462806351757891</v>
      </c>
      <c r="O49" s="312">
        <f>IF(E49&lt;I$3,P49*(1-I$6*D49/C49),
IF(LEGPLUIMVEE!$H$11="droogtunnel (platen) 55%",((K49-P49)/I$4-(K49-P49))*(1-I$6)+K49-(K49-P49)/I$4-
IF(D49&gt;E49,(D49-E49)/C49*(K49-P49)),
P49*(1-$I$6)+(C49-D49)/C49*(K49-P49*(1-I$6))))</f>
        <v>3.4462806351757891</v>
      </c>
      <c r="P49" s="162">
        <f t="shared" si="24"/>
        <v>3.4462806351757891</v>
      </c>
      <c r="Q49" s="181">
        <f t="shared" si="29"/>
        <v>1</v>
      </c>
      <c r="R49" s="184">
        <f t="shared" si="25"/>
        <v>1</v>
      </c>
      <c r="S49" s="166">
        <f t="shared" si="32"/>
        <v>3.4462806351757891</v>
      </c>
      <c r="T49" s="166">
        <f t="shared" si="26"/>
        <v>3.4462806351757891</v>
      </c>
      <c r="U49" s="283">
        <f>IF(G49&lt;0.1,K49,IF(C49=F49,S49/(1-I$4),IF(I$3=0,K49-(G49/C49)*K49*U$13,IF(LEGPLUIMVEE!$H$13="Parallel geschakeld met warmtewisselaar",K49-(K49-(K49-S49)/I$4)*(G49/(C49-F49))*U$13,IF(LEGPLUIMVEE!$H$20="ja",K49-(K49-(K49-P49)/I$4)*(G49/(C49-MIN(D49,I$5)))*U$13,K49-(K49-(K49-P49)/I$4)*(G49/(C49-MIN(D48,I$5)))*U$13)))))</f>
        <v>3.4462806351757891</v>
      </c>
      <c r="V49" s="258">
        <f t="shared" si="33"/>
        <v>0</v>
      </c>
      <c r="W49" s="274">
        <f t="shared" ref="W49:W51" si="49">U49/O49</f>
        <v>1</v>
      </c>
      <c r="X49" s="22">
        <f t="shared" si="34"/>
        <v>3.4462806351757891</v>
      </c>
      <c r="Y49" s="177">
        <f t="shared" si="31"/>
        <v>0</v>
      </c>
      <c r="Z49" s="163">
        <f t="shared" si="35"/>
        <v>3.4462806351757891</v>
      </c>
      <c r="AA49" s="306"/>
      <c r="AB49" s="306"/>
      <c r="AC49" s="306"/>
      <c r="AD49" s="219">
        <f>IF(H49&lt;0.02,0,IF(LEGPLUIMVEE!$H$11="geen droogtunnel",IF(LEGPLUIMVEE!$H$15="geen warmtewisselaar",(P49-(K49-T49)/T$13),K49-(K49-O49)/I$6-(K49-T49)/95%)+IF(LEGPLUIMVEE!$J$18="ja",(K49-O49)*(1-I$6)),IF(LEGPLUIMVEE!$H$12&gt;=0,IF(LEGPLUIMVEE!$L$9="ja",IF(LEGPLUIMVEE!$J$18="ja",IF(LEGPLUIMVEE!$H$20="ja",O49-(K49-U49),IF(LEGPLUIMVEE!$H$20="nee",(O49-(K49-U49)),(O49-(K49-U49)))),IF(LEGPLUIMVEE!$J$18="nee",IF(LEGPLUIMVEE!$H$20="nee",O49-(K49-U49)/81%,O49-(K49-U49)))),IF(LEGPLUIMVEE!$L$9="nee",IF(LEGPLUIMVEE!$J$18="nee",IF(LEGPLUIMVEE!$H$20="nee",O49-(K49-U49)/95%,O49-(K49-U49)),IF(LEGPLUIMVEE!$H$20="nee",IF(LEGPLUIMVEE!$J$18="ja",IF(LEGPLUIMVEE!$L$9="nee",O49-(K49-U49))),O49-(K49-U49))))))))</f>
        <v>3.4462806351757891</v>
      </c>
      <c r="AE49" s="239">
        <f>IF(H49&lt;0.02,0,IF(LEGPLUIMVEE!$H$11="geen droogtunnel",IF(LEGPLUIMVEE!$H$15="geen warmtewisselaar",(K49-(K49-T49)/T$13),K49-(K49-N49)/I$6-((K49-T49)/95%))+IF(LEGPLUIMVEE!$J$18="ja",(K49-O49)*(1-I$6)),IF(LEGPLUIMVEE!$H$12&gt;=0,IF(LEGPLUIMVEE!$L$9="ja",IF(LEGPLUIMVEE!$J$18="ja",IF(LEGPLUIMVEE!$H$20="ja",S49-(K49-N49)-(K49-U49),IF(LEGPLUIMVEE!$H$20="nee",(S49-(K49-N49)-(K49-U49)),(O49-(K49-U49)))),IF(LEGPLUIMVEE!$J$18="nee",IF(LEGPLUIMVEE!$H$20="nee",S49*$N$72-(K49-N49)-(K49-U49),S49-(K49-N49)-(K49-U49)))),IF(LEGPLUIMVEE!$L$9="nee",IF(LEGPLUIMVEE!$J$18="nee",IF(LEGPLUIMVEE!$H$20="nee",(N49-(K49-S49)/I$4-(K49-U49)),N49-(K49-S49)/I$4-(K49-U49)),IF(LEGPLUIMVEE!$H$20="nee",IF(LEGPLUIMVEE!$J$18="ja",IF(LEGPLUIMVEE!$L$9="nee",N49-(K49-S49)/I$4-(K49-U49))),N49-(K49-S49)/I$4-(K49-U49))))))))</f>
        <v>3.4462806351757891</v>
      </c>
      <c r="AF49" s="219"/>
      <c r="AG49" s="164">
        <f t="shared" si="36"/>
        <v>1</v>
      </c>
      <c r="AH49" s="35">
        <f t="shared" si="37"/>
        <v>0</v>
      </c>
      <c r="AI49" s="36">
        <f t="shared" si="38"/>
        <v>2.5329999999999999</v>
      </c>
      <c r="AJ49" s="36">
        <f t="shared" si="39"/>
        <v>0</v>
      </c>
      <c r="AK49" s="37">
        <f t="shared" si="40"/>
        <v>0</v>
      </c>
      <c r="AL49" s="36">
        <f t="shared" si="28"/>
        <v>2.5329999999999999</v>
      </c>
      <c r="AM49" s="36">
        <f t="shared" si="41"/>
        <v>0</v>
      </c>
      <c r="AN49" s="37">
        <f t="shared" si="42"/>
        <v>3.0556766025407378</v>
      </c>
      <c r="AO49" s="36">
        <f t="shared" si="43"/>
        <v>3.4462806351757891</v>
      </c>
      <c r="AP49" s="38">
        <f t="shared" si="44"/>
        <v>3.4462806351757891</v>
      </c>
      <c r="AR49" s="123">
        <f t="shared" si="45"/>
        <v>2.5329999999999999</v>
      </c>
      <c r="AS49" s="123">
        <f t="shared" si="46"/>
        <v>2.5304669999999998</v>
      </c>
      <c r="AT49" s="123">
        <f t="shared" si="47"/>
        <v>2.5304669999999998</v>
      </c>
      <c r="AU49" s="123">
        <f t="shared" si="48"/>
        <v>3.4462806351757891</v>
      </c>
    </row>
    <row r="50" spans="1:47" x14ac:dyDescent="0.25">
      <c r="A50" s="6">
        <v>14</v>
      </c>
      <c r="B50" s="3">
        <v>446.27118644067798</v>
      </c>
      <c r="C50" s="5">
        <v>3.1924895701324645</v>
      </c>
      <c r="D50" s="21">
        <f t="shared" si="20"/>
        <v>0</v>
      </c>
      <c r="E50" s="21">
        <f>IF(I$3=0,0,IF(LEGPLUIMVEE!$H$13="parallel geschakeld met warmtewisselaar",0,MIN(I$3,C50)))</f>
        <v>0</v>
      </c>
      <c r="F50" s="21">
        <f>IF(I$3=0,0,IF(LEGPLUIMVEE!$H$13="serie geschakeld met warmtewisselaar",0,IF(C50&lt;$I$3,C50-D50,MIN($I$3,C50-D50))))</f>
        <v>0</v>
      </c>
      <c r="G50" s="21">
        <f>IF(C50&lt;$I$7,MAX(0,C50-D50-E50-F50,IF(LEGPLUIMVEE!$H$15="warmtewisselaar",IF(LEGPLUIMVEE!$H$13="serie geschakeld met warmtewisselaar",MIN(I$7,MAX(0,C50-D50-F50)),MIN(I$7,MAX(0,'legh WW+droogt'!C50-D50-E50-F50))))),IF(LEGPLUIMVEE!$H$13="parallel geschakeld met warmtewisselaar",MIN(I$7,C50-D50-E50-F50,MIN(I$7,C50-E50-F50)),MIN(I$7,MAX(0,C50-D50-F50))))</f>
        <v>0</v>
      </c>
      <c r="H50" s="21">
        <f>IF(LEGPLUIMVEE!$H$13="parallel geschakeld met warmtewisselaar",IF(LEGPLUIMVEE!$L$9="nee",IF(LEGPLUIMVEE!$J$18="ja",C50-F50-G50,C50-D50-F50-G50),IF(LEGPLUIMVEE!$L$9="ja",IF(LEGPLUIMVEE!$J$18="ja",C50-G50,IF(LEGPLUIMVEE!$J$18="nee",C50-D50-G50)))),IF(LEGPLUIMVEE!$H$13="serie geschakeld met warmtewisselaar",IF(LEGPLUIMVEE!$J$18="ja",C50-G50,C50-D50-F50-G50),C50-D50-F50-G50))</f>
        <v>3.1924895701324645</v>
      </c>
      <c r="I50" s="121">
        <f t="shared" si="21"/>
        <v>3.1924895701324645</v>
      </c>
      <c r="J50" s="122">
        <v>2.4788999999999999</v>
      </c>
      <c r="K50" s="183">
        <f t="shared" si="22"/>
        <v>3.5317287605240333</v>
      </c>
      <c r="L50" s="164">
        <f>SUM(K$16:K50)/$K$73</f>
        <v>0.65458159788166181</v>
      </c>
      <c r="M50" s="22">
        <f t="shared" si="23"/>
        <v>3.5317287605240333</v>
      </c>
      <c r="N50" s="22">
        <f t="shared" si="0"/>
        <v>3.5317287605240333</v>
      </c>
      <c r="O50" s="312">
        <f>IF(E50&lt;I$3,P50*(1-I$6*D50/C50),
IF(LEGPLUIMVEE!$H$11="droogtunnel (platen) 55%",((K50-P50)/I$4-(K50-P50))*(1-I$6)+K50-(K50-P50)/I$4-
IF(D50&gt;E50,(D50-E50)/C50*(K50-P50)),
P50*(1-$I$6)+(C50-D50)/C50*(K50-P50*(1-I$6))))</f>
        <v>3.5317287605240333</v>
      </c>
      <c r="P50" s="162">
        <f t="shared" si="24"/>
        <v>3.5317287605240333</v>
      </c>
      <c r="Q50" s="181">
        <f t="shared" si="29"/>
        <v>1</v>
      </c>
      <c r="R50" s="184">
        <f t="shared" si="25"/>
        <v>1</v>
      </c>
      <c r="S50" s="166">
        <f t="shared" si="32"/>
        <v>3.5317287605240333</v>
      </c>
      <c r="T50" s="166">
        <f t="shared" si="26"/>
        <v>3.5317287605240333</v>
      </c>
      <c r="U50" s="283">
        <f>IF(G50&lt;0.1,K50,IF(C50=F50,S50/(1-I$4),IF(I$3=0,K50-(G50/C50)*K50*U$13,IF(LEGPLUIMVEE!$H$13="Parallel geschakeld met warmtewisselaar",K50-(K50-(K50-S50)/I$4)*(G50/(C50-F50))*U$13,IF(LEGPLUIMVEE!$H$20="ja",K50-(K50-(K50-P50)/I$4)*(G50/(C50-MIN(D50,I$5)))*U$13,K50-(K50-(K50-P50)/I$4)*(G50/(C50-MIN(D49,I$5)))*U$13)))))</f>
        <v>3.5317287605240333</v>
      </c>
      <c r="V50" s="258">
        <f t="shared" si="33"/>
        <v>0</v>
      </c>
      <c r="W50" s="274">
        <f t="shared" si="49"/>
        <v>1</v>
      </c>
      <c r="X50" s="22">
        <f t="shared" si="34"/>
        <v>3.5317287605240333</v>
      </c>
      <c r="Y50" s="177">
        <f t="shared" si="31"/>
        <v>0</v>
      </c>
      <c r="Z50" s="163">
        <f t="shared" si="35"/>
        <v>3.5317287605240333</v>
      </c>
      <c r="AA50" s="306"/>
      <c r="AB50" s="306"/>
      <c r="AC50" s="306"/>
      <c r="AD50" s="219">
        <f>IF(H50&lt;0.02,0,IF(LEGPLUIMVEE!$H$11="geen droogtunnel",IF(LEGPLUIMVEE!$H$15="geen warmtewisselaar",(P50-(K50-T50)/T$13),K50-(K50-O50)/I$6-(K50-T50)/95%)+IF(LEGPLUIMVEE!$J$18="ja",(K50-O50)*(1-I$6)),IF(LEGPLUIMVEE!$H$12&gt;=0,IF(LEGPLUIMVEE!$L$9="ja",IF(LEGPLUIMVEE!$J$18="ja",IF(LEGPLUIMVEE!$H$20="ja",O50-(K50-U50),IF(LEGPLUIMVEE!$H$20="nee",(O50-(K50-U50)),(O50-(K50-U50)))),IF(LEGPLUIMVEE!$J$18="nee",IF(LEGPLUIMVEE!$H$20="nee",O50-(K50-U50)/81%,O50-(K50-U50)))),IF(LEGPLUIMVEE!$L$9="nee",IF(LEGPLUIMVEE!$J$18="nee",IF(LEGPLUIMVEE!$H$20="nee",O50-(K50-U50)/95%,O50-(K50-U50)),IF(LEGPLUIMVEE!$H$20="nee",IF(LEGPLUIMVEE!$J$18="ja",IF(LEGPLUIMVEE!$L$9="nee",O50-(K50-U50))),O50-(K50-U50))))))))</f>
        <v>3.5317287605240333</v>
      </c>
      <c r="AE50" s="239">
        <f>IF(H50&lt;0.02,0,IF(LEGPLUIMVEE!$H$11="geen droogtunnel",IF(LEGPLUIMVEE!$H$15="geen warmtewisselaar",(K50-(K50-T50)/T$13),K50-(K50-N50)/I$6-((K50-T50)/95%))+IF(LEGPLUIMVEE!$J$18="ja",(K50-O50)*(1-I$6)),IF(LEGPLUIMVEE!$H$12&gt;=0,IF(LEGPLUIMVEE!$L$9="ja",IF(LEGPLUIMVEE!$J$18="ja",IF(LEGPLUIMVEE!$H$20="ja",S50-(K50-N50)-(K50-U50),IF(LEGPLUIMVEE!$H$20="nee",(S50-(K50-N50)-(K50-U50)),(O50-(K50-U50)))),IF(LEGPLUIMVEE!$J$18="nee",IF(LEGPLUIMVEE!$H$20="nee",S50*$N$72-(K50-N50)-(K50-U50),S50-(K50-N50)-(K50-U50)))),IF(LEGPLUIMVEE!$L$9="nee",IF(LEGPLUIMVEE!$J$18="nee",IF(LEGPLUIMVEE!$H$20="nee",(N50-(K50-S50)/I$4-(K50-U50)),N50-(K50-S50)/I$4-(K50-U50)),IF(LEGPLUIMVEE!$H$20="nee",IF(LEGPLUIMVEE!$J$18="ja",IF(LEGPLUIMVEE!$L$9="nee",N50-(K50-S50)/I$4-(K50-U50))),N50-(K50-S50)/I$4-(K50-U50))))))))</f>
        <v>3.5317287605240333</v>
      </c>
      <c r="AF50" s="219"/>
      <c r="AG50" s="164">
        <f t="shared" si="36"/>
        <v>1</v>
      </c>
      <c r="AH50" s="35">
        <f t="shared" si="37"/>
        <v>0</v>
      </c>
      <c r="AI50" s="36">
        <f t="shared" si="38"/>
        <v>2.4788999999999999</v>
      </c>
      <c r="AJ50" s="36">
        <f t="shared" si="39"/>
        <v>0</v>
      </c>
      <c r="AK50" s="37">
        <f t="shared" si="40"/>
        <v>0</v>
      </c>
      <c r="AL50" s="36">
        <f t="shared" si="28"/>
        <v>2.4788999999999999</v>
      </c>
      <c r="AM50" s="36">
        <f t="shared" si="41"/>
        <v>0</v>
      </c>
      <c r="AN50" s="37">
        <f t="shared" si="42"/>
        <v>3.1924895701324645</v>
      </c>
      <c r="AO50" s="36">
        <f t="shared" si="43"/>
        <v>3.5317287605240333</v>
      </c>
      <c r="AP50" s="38">
        <f t="shared" si="44"/>
        <v>3.5317287605240333</v>
      </c>
      <c r="AR50" s="123">
        <f t="shared" si="45"/>
        <v>2.4788999999999999</v>
      </c>
      <c r="AS50" s="123">
        <f t="shared" si="46"/>
        <v>2.4764211</v>
      </c>
      <c r="AT50" s="123">
        <f t="shared" si="47"/>
        <v>2.4764211</v>
      </c>
      <c r="AU50" s="123">
        <f t="shared" si="48"/>
        <v>3.5317287605240337</v>
      </c>
    </row>
    <row r="51" spans="1:47" x14ac:dyDescent="0.25">
      <c r="A51" s="6">
        <v>15</v>
      </c>
      <c r="B51" s="3">
        <v>439.54237288135596</v>
      </c>
      <c r="C51" s="5">
        <v>3.3354281166174853</v>
      </c>
      <c r="D51" s="21">
        <f t="shared" si="20"/>
        <v>0</v>
      </c>
      <c r="E51" s="21">
        <f>IF(I$3=0,0,IF(LEGPLUIMVEE!$H$13="parallel geschakeld met warmtewisselaar",0,MIN(I$3,C51)))</f>
        <v>0</v>
      </c>
      <c r="F51" s="21">
        <f>IF(I$3=0,0,IF(LEGPLUIMVEE!$H$13="serie geschakeld met warmtewisselaar",0,IF(C51&lt;$I$3,C51-D51,MIN($I$3,C51-D51))))</f>
        <v>0</v>
      </c>
      <c r="G51" s="21">
        <f>IF(C51&lt;$I$7,MAX(0,C51-D51-E51-F51,IF(LEGPLUIMVEE!$H$15="warmtewisselaar",IF(LEGPLUIMVEE!$H$13="serie geschakeld met warmtewisselaar",MIN(I$7,MAX(0,C51-D51-F51)),MIN(I$7,MAX(0,'legh WW+droogt'!C51-D51-E51-F51))))),IF(LEGPLUIMVEE!$H$13="parallel geschakeld met warmtewisselaar",MIN(I$7,C51-D51-E51-F51,MIN(I$7,C51-E51-F51)),MIN(I$7,MAX(0,C51-D51-F51))))</f>
        <v>0</v>
      </c>
      <c r="H51" s="21">
        <f>IF(LEGPLUIMVEE!$H$13="parallel geschakeld met warmtewisselaar",IF(LEGPLUIMVEE!$L$9="nee",IF(LEGPLUIMVEE!$J$18="ja",C51-F51-G51,C51-D51-F51-G51),IF(LEGPLUIMVEE!$L$9="ja",IF(LEGPLUIMVEE!$J$18="ja",C51-G51,IF(LEGPLUIMVEE!$J$18="nee",C51-D51-G51)))),IF(LEGPLUIMVEE!$H$13="serie geschakeld met warmtewisselaar",IF(LEGPLUIMVEE!$J$18="ja",C51-G51,C51-D51-F51-G51),C51-D51-F51-G51))</f>
        <v>3.3354281166174853</v>
      </c>
      <c r="I51" s="121">
        <f t="shared" si="21"/>
        <v>3.3354281166174853</v>
      </c>
      <c r="J51" s="122">
        <v>2.4247999999999998</v>
      </c>
      <c r="K51" s="183">
        <f t="shared" si="22"/>
        <v>3.5549071108138199</v>
      </c>
      <c r="L51" s="164">
        <f>SUM(K$16:K51)/$K$73</f>
        <v>0.71259388994401218</v>
      </c>
      <c r="M51" s="22">
        <f t="shared" si="23"/>
        <v>3.5549071108138199</v>
      </c>
      <c r="N51" s="22">
        <f t="shared" si="0"/>
        <v>3.5549071108138199</v>
      </c>
      <c r="O51" s="312">
        <f>IF(E51&lt;I$3,P51*(1-I$6*D51/C51),
IF(LEGPLUIMVEE!$H$11="droogtunnel (platen) 55%",((K51-P51)/I$4-(K51-P51))*(1-I$6)+K51-(K51-P51)/I$4-
IF(D51&gt;E51,(D51-E51)/C51*(K51-P51)),
P51*(1-$I$6)+(C51-D51)/C51*(K51-P51*(1-I$6))))</f>
        <v>3.5549071108138199</v>
      </c>
      <c r="P51" s="162">
        <f t="shared" si="24"/>
        <v>3.5549071108138199</v>
      </c>
      <c r="Q51" s="181">
        <f t="shared" si="29"/>
        <v>1</v>
      </c>
      <c r="R51" s="184">
        <f t="shared" si="25"/>
        <v>1</v>
      </c>
      <c r="S51" s="166">
        <f t="shared" si="32"/>
        <v>3.5549071108138199</v>
      </c>
      <c r="T51" s="166">
        <f t="shared" si="26"/>
        <v>3.5549071108138199</v>
      </c>
      <c r="U51" s="283">
        <f>IF(G51&lt;0.1,K51,IF(C51=F51,S51/(1-I$4),IF(I$3=0,K51-(G51/C51)*K51*U$13,IF(LEGPLUIMVEE!$H$13="Parallel geschakeld met warmtewisselaar",K51-(K51-(K51-S51)/I$4)*(G51/(C51-F51))*U$13,IF(LEGPLUIMVEE!$H$20="ja",K51-(K51-(K51-P51)/I$4)*(G51/(C51-MIN(D51,I$5)))*U$13,K51-(K51-(K51-P51)/I$4)*(G51/(C51-MIN(D50,I$5)))*U$13)))))</f>
        <v>3.5549071108138199</v>
      </c>
      <c r="V51" s="258">
        <f t="shared" si="33"/>
        <v>0</v>
      </c>
      <c r="W51" s="274">
        <f t="shared" si="49"/>
        <v>1</v>
      </c>
      <c r="X51" s="22">
        <f t="shared" si="34"/>
        <v>3.5549071108138199</v>
      </c>
      <c r="Y51" s="177">
        <f t="shared" si="31"/>
        <v>0</v>
      </c>
      <c r="Z51" s="163">
        <f t="shared" si="35"/>
        <v>3.5549071108138199</v>
      </c>
      <c r="AA51" s="306"/>
      <c r="AB51" s="306"/>
      <c r="AC51" s="306"/>
      <c r="AD51" s="219">
        <f>IF(H51&lt;0.02,0,IF(LEGPLUIMVEE!$H$11="geen droogtunnel",IF(LEGPLUIMVEE!$H$15="geen warmtewisselaar",(P51-(K51-T51)/T$13),K51-(K51-O51)/I$6-(K51-T51)/95%)+IF(LEGPLUIMVEE!$J$18="ja",(K51-O51)*(1-I$6)),IF(LEGPLUIMVEE!$H$12&gt;=0,IF(LEGPLUIMVEE!$L$9="ja",IF(LEGPLUIMVEE!$J$18="ja",IF(LEGPLUIMVEE!$H$20="ja",O51-(K51-U51),IF(LEGPLUIMVEE!$H$20="nee",(O51-(K51-U51)),(O51-(K51-U51)))),IF(LEGPLUIMVEE!$J$18="nee",IF(LEGPLUIMVEE!$H$20="nee",O51-(K51-U51)/81%,O51-(K51-U51)))),IF(LEGPLUIMVEE!$L$9="nee",IF(LEGPLUIMVEE!$J$18="nee",IF(LEGPLUIMVEE!$H$20="nee",O51-(K51-U51)/95%,O51-(K51-U51)),IF(LEGPLUIMVEE!$H$20="nee",IF(LEGPLUIMVEE!$J$18="ja",IF(LEGPLUIMVEE!$L$9="nee",O51-(K51-U51))),O51-(K51-U51))))))))</f>
        <v>3.5549071108138199</v>
      </c>
      <c r="AE51" s="239">
        <f>IF(H51&lt;0.02,0,IF(LEGPLUIMVEE!$H$11="geen droogtunnel",IF(LEGPLUIMVEE!$H$15="geen warmtewisselaar",(K51-(K51-T51)/T$13),K51-(K51-N51)/I$6-((K51-T51)/95%))+IF(LEGPLUIMVEE!$J$18="ja",(K51-O51)*(1-I$6)),IF(LEGPLUIMVEE!$H$12&gt;=0,IF(LEGPLUIMVEE!$L$9="ja",IF(LEGPLUIMVEE!$J$18="ja",IF(LEGPLUIMVEE!$H$20="ja",S51-(K51-N51)-(K51-U51),IF(LEGPLUIMVEE!$H$20="nee",(S51-(K51-N51)-(K51-U51)),(O51-(K51-U51)))),IF(LEGPLUIMVEE!$J$18="nee",IF(LEGPLUIMVEE!$H$20="nee",S51*$N$72-(K51-N51)-(K51-U51),S51-(K51-N51)-(K51-U51)))),IF(LEGPLUIMVEE!$L$9="nee",IF(LEGPLUIMVEE!$J$18="nee",IF(LEGPLUIMVEE!$H$20="nee",(N51-(K51-S51)/I$4-(K51-U51)),N51-(K51-S51)/I$4-(K51-U51)),IF(LEGPLUIMVEE!$H$20="nee",IF(LEGPLUIMVEE!$J$18="ja",IF(LEGPLUIMVEE!$L$9="nee",N51-(K51-S51)/I$4-(K51-U51))),N51-(K51-S51)/I$4-(K51-U51))))))))</f>
        <v>3.5549071108138199</v>
      </c>
      <c r="AF51" s="219"/>
      <c r="AG51" s="164">
        <f t="shared" si="36"/>
        <v>1</v>
      </c>
      <c r="AH51" s="35">
        <f t="shared" si="37"/>
        <v>0</v>
      </c>
      <c r="AI51" s="36">
        <f t="shared" si="38"/>
        <v>2.4247999999999998</v>
      </c>
      <c r="AJ51" s="36">
        <f t="shared" si="39"/>
        <v>0</v>
      </c>
      <c r="AK51" s="37">
        <f t="shared" si="40"/>
        <v>0</v>
      </c>
      <c r="AL51" s="36">
        <f t="shared" si="28"/>
        <v>2.4247999999999998</v>
      </c>
      <c r="AM51" s="36">
        <f t="shared" si="41"/>
        <v>0</v>
      </c>
      <c r="AN51" s="37">
        <f t="shared" si="42"/>
        <v>3.3354281166174853</v>
      </c>
      <c r="AO51" s="36">
        <f t="shared" si="43"/>
        <v>3.5549071108138199</v>
      </c>
      <c r="AP51" s="38">
        <f t="shared" si="44"/>
        <v>3.5549071108138199</v>
      </c>
      <c r="AR51" s="123">
        <f t="shared" si="45"/>
        <v>2.4247999999999998</v>
      </c>
      <c r="AS51" s="123">
        <f t="shared" si="46"/>
        <v>2.4223751999999998</v>
      </c>
      <c r="AT51" s="123">
        <f t="shared" si="47"/>
        <v>2.4223751999999998</v>
      </c>
      <c r="AU51" s="123">
        <f t="shared" si="48"/>
        <v>3.5549071108138199</v>
      </c>
    </row>
    <row r="52" spans="1:47" x14ac:dyDescent="0.25">
      <c r="A52" s="6">
        <v>16</v>
      </c>
      <c r="B52" s="3">
        <v>399.15254237288133</v>
      </c>
      <c r="C52" s="5">
        <v>3.4847665048631176</v>
      </c>
      <c r="D52" s="21">
        <f t="shared" si="20"/>
        <v>0</v>
      </c>
      <c r="E52" s="21">
        <f>IF(I$3=0,0,IF(LEGPLUIMVEE!$H$13="parallel geschakeld met warmtewisselaar",0,MIN(I$3,C52)))</f>
        <v>0</v>
      </c>
      <c r="F52" s="21">
        <f>IF(I$3=0,0,IF(LEGPLUIMVEE!$H$13="serie geschakeld met warmtewisselaar",0,IF(C52&lt;$I$3,C52-D52,MIN($I$3,C52-D52))))</f>
        <v>0</v>
      </c>
      <c r="G52" s="21">
        <f>IF(C52&lt;$I$7,MAX(0,C52-D52-E52-F52,IF(LEGPLUIMVEE!$H$15="warmtewisselaar",IF(LEGPLUIMVEE!$H$13="serie geschakeld met warmtewisselaar",MIN(I$7,MAX(0,C52-D52-F52)),MIN(I$7,MAX(0,'legh WW+droogt'!C52-D52-E52-F52))))),IF(LEGPLUIMVEE!$H$13="parallel geschakeld met warmtewisselaar",MIN(I$7,C52-D52-E52-F52,MIN(I$7,C52-E52-F52)),MIN(I$7,MAX(0,C52-D52-F52))))</f>
        <v>0</v>
      </c>
      <c r="H52" s="21">
        <f>IF(LEGPLUIMVEE!$H$13="parallel geschakeld met warmtewisselaar",IF(LEGPLUIMVEE!$L$9="nee",IF(LEGPLUIMVEE!$J$18="ja",C52-F52-G52,C52-D52-F52-G52),IF(LEGPLUIMVEE!$L$9="ja",IF(LEGPLUIMVEE!$J$18="ja",C52-G52,IF(LEGPLUIMVEE!$J$18="nee",C52-D52-G52)))),IF(LEGPLUIMVEE!$H$13="serie geschakeld met warmtewisselaar",IF(LEGPLUIMVEE!$J$18="ja",C52-G52,C52-D52-F52-G52),C52-D52-F52-G52))</f>
        <v>3.4847665048631176</v>
      </c>
      <c r="I52" s="121">
        <f t="shared" si="21"/>
        <v>3.4847665048631176</v>
      </c>
      <c r="J52" s="122">
        <v>2.3706999999999998</v>
      </c>
      <c r="K52" s="163">
        <f t="shared" si="22"/>
        <v>3.2975332490679707</v>
      </c>
      <c r="L52" s="164">
        <f>SUM(K$16:K52)/$K$73</f>
        <v>0.76640611512095869</v>
      </c>
      <c r="M52" s="22">
        <f t="shared" si="23"/>
        <v>3.2975332490679707</v>
      </c>
      <c r="N52" s="22">
        <f t="shared" si="0"/>
        <v>3.2975332490679707</v>
      </c>
      <c r="O52" s="312">
        <f>IF(E52&lt;I$3,P52*(1-I$6*D52/C52),
IF(LEGPLUIMVEE!$H$11="droogtunnel (platen) 55%",((K52-P52)/I$4-(K52-P52))*(1-I$6)+K52-(K52-P52)/I$4-
IF(D52&gt;E52,(D52-E52)/C52*(K52-P52)),
P52*(1-$I$6)+(C52-D52)/C52*(K52-P52*(1-I$6))))</f>
        <v>3.2975332490679707</v>
      </c>
      <c r="P52" s="162">
        <f t="shared" si="24"/>
        <v>3.2975332490679707</v>
      </c>
      <c r="Q52" s="181">
        <f t="shared" si="29"/>
        <v>1</v>
      </c>
      <c r="R52" s="184">
        <f t="shared" si="25"/>
        <v>1</v>
      </c>
      <c r="S52" s="166">
        <f t="shared" si="32"/>
        <v>3.2975332490679707</v>
      </c>
      <c r="T52" s="166">
        <f t="shared" si="26"/>
        <v>3.2975332490679707</v>
      </c>
      <c r="U52" s="283">
        <f>IF(G52&lt;0.1,K52,IF(C52=F52,S52/(1-I$4),IF(I$3=0,K52-(G52/C52)*K52*U$13,IF(LEGPLUIMVEE!$H$13="Parallel geschakeld met warmtewisselaar",K52-(K52-(K52-S52)/I$4)*(G52/(C52-F52))*U$13,IF(LEGPLUIMVEE!$H$20="ja",K52-(K52-(K52-P52)/I$4)*(G52/(C52-MIN(D52,I$5)))*U$13,K52-(K52-(K52-P52)/I$4)*(G52/(C52-MIN(D51,I$5)))*U$13)))))</f>
        <v>3.2975332490679707</v>
      </c>
      <c r="V52" s="258">
        <f t="shared" si="33"/>
        <v>0</v>
      </c>
      <c r="W52" s="274">
        <f t="shared" ref="W52:W70" si="50">U52/O52</f>
        <v>1</v>
      </c>
      <c r="X52" s="22">
        <f t="shared" si="34"/>
        <v>3.2975332490679707</v>
      </c>
      <c r="Y52" s="177">
        <f t="shared" si="31"/>
        <v>0</v>
      </c>
      <c r="Z52" s="163">
        <f t="shared" si="35"/>
        <v>3.2975332490679707</v>
      </c>
      <c r="AA52" s="306"/>
      <c r="AB52" s="306"/>
      <c r="AC52" s="306"/>
      <c r="AD52" s="219">
        <f>IF(H52&lt;0.02,0,IF(LEGPLUIMVEE!$H$11="geen droogtunnel",IF(LEGPLUIMVEE!$H$15="geen warmtewisselaar",(P52-(K52-T52)/T$13),K52-(K52-O52)/I$6-(K52-T52)/95%)+IF(LEGPLUIMVEE!$J$18="ja",(K52-O52)*(1-I$6)),IF(LEGPLUIMVEE!$H$12&gt;=0,IF(LEGPLUIMVEE!$L$9="ja",IF(LEGPLUIMVEE!$J$18="ja",IF(LEGPLUIMVEE!$H$20="ja",O52-(K52-U52),IF(LEGPLUIMVEE!$H$20="nee",(O52-(K52-U52)),(O52-(K52-U52)))),IF(LEGPLUIMVEE!$J$18="nee",IF(LEGPLUIMVEE!$H$20="nee",O52-(K52-U52)/81%,O52-(K52-U52)))),IF(LEGPLUIMVEE!$L$9="nee",IF(LEGPLUIMVEE!$J$18="nee",IF(LEGPLUIMVEE!$H$20="nee",O52-(K52-U52)/95%,O52-(K52-U52)),IF(LEGPLUIMVEE!$H$20="nee",IF(LEGPLUIMVEE!$J$18="ja",IF(LEGPLUIMVEE!$L$9="nee",O52-(K52-U52))),O52-(K52-U52))))))))</f>
        <v>3.2975332490679707</v>
      </c>
      <c r="AE52" s="239">
        <f>IF(H52&lt;0.02,0,IF(LEGPLUIMVEE!$H$11="geen droogtunnel",IF(LEGPLUIMVEE!$H$15="geen warmtewisselaar",(K52-(K52-T52)/T$13),K52-(K52-N52)/I$6-((K52-T52)/95%))+IF(LEGPLUIMVEE!$J$18="ja",(K52-O52)*(1-I$6)),IF(LEGPLUIMVEE!$H$12&gt;=0,IF(LEGPLUIMVEE!$L$9="ja",IF(LEGPLUIMVEE!$J$18="ja",IF(LEGPLUIMVEE!$H$20="ja",S52-(K52-N52)-(K52-U52),IF(LEGPLUIMVEE!$H$20="nee",(S52-(K52-N52)-(K52-U52)),(O52-(K52-U52)))),IF(LEGPLUIMVEE!$J$18="nee",IF(LEGPLUIMVEE!$H$20="nee",S52*$N$72-(K52-N52)-(K52-U52),S52-(K52-N52)-(K52-U52)))),IF(LEGPLUIMVEE!$L$9="nee",IF(LEGPLUIMVEE!$J$18="nee",IF(LEGPLUIMVEE!$H$20="nee",(N52-(K52-S52)/I$4-(K52-U52)),N52-(K52-S52)/I$4-(K52-U52)),IF(LEGPLUIMVEE!$H$20="nee",IF(LEGPLUIMVEE!$J$18="ja",IF(LEGPLUIMVEE!$L$9="nee",N52-(K52-S52)/I$4-(K52-U52))),N52-(K52-S52)/I$4-(K52-U52))))))))</f>
        <v>3.2975332490679707</v>
      </c>
      <c r="AF52" s="219"/>
      <c r="AG52" s="164">
        <f t="shared" si="36"/>
        <v>1</v>
      </c>
      <c r="AH52" s="35">
        <f t="shared" si="37"/>
        <v>0</v>
      </c>
      <c r="AI52" s="36">
        <f t="shared" si="38"/>
        <v>2.3706999999999998</v>
      </c>
      <c r="AJ52" s="36">
        <f t="shared" si="39"/>
        <v>0</v>
      </c>
      <c r="AK52" s="37">
        <f t="shared" si="40"/>
        <v>0</v>
      </c>
      <c r="AL52" s="36">
        <f t="shared" si="28"/>
        <v>2.3706999999999998</v>
      </c>
      <c r="AM52" s="36">
        <f t="shared" si="41"/>
        <v>0</v>
      </c>
      <c r="AN52" s="37">
        <f t="shared" si="42"/>
        <v>3.4847665048631176</v>
      </c>
      <c r="AO52" s="36">
        <f t="shared" si="43"/>
        <v>3.2975332490679707</v>
      </c>
      <c r="AP52" s="38">
        <f t="shared" si="44"/>
        <v>3.2975332490679707</v>
      </c>
      <c r="AR52" s="123">
        <f t="shared" si="45"/>
        <v>2.3706999999999998</v>
      </c>
      <c r="AS52" s="123">
        <f t="shared" si="46"/>
        <v>2.3683292999999996</v>
      </c>
      <c r="AT52" s="123">
        <f t="shared" si="47"/>
        <v>2.3683292999999996</v>
      </c>
      <c r="AU52" s="123">
        <f t="shared" si="48"/>
        <v>3.2975332490679703</v>
      </c>
    </row>
    <row r="53" spans="1:47" x14ac:dyDescent="0.25">
      <c r="A53" s="6">
        <v>17</v>
      </c>
      <c r="B53" s="3">
        <v>352.50847457627117</v>
      </c>
      <c r="C53" s="5">
        <v>3.6407912774120685</v>
      </c>
      <c r="D53" s="21">
        <f t="shared" si="20"/>
        <v>0</v>
      </c>
      <c r="E53" s="21">
        <f>IF(I$3=0,0,IF(LEGPLUIMVEE!$H$13="parallel geschakeld met warmtewisselaar",0,MIN(I$3,C53)))</f>
        <v>0</v>
      </c>
      <c r="F53" s="21">
        <f>IF(I$3=0,0,IF(LEGPLUIMVEE!$H$13="serie geschakeld met warmtewisselaar",0,IF(C53&lt;$I$3,C53-D53,MIN($I$3,C53-D53))))</f>
        <v>0</v>
      </c>
      <c r="G53" s="21">
        <f>IF(C53&lt;$I$7,MAX(0,C53-D53-E53-F53,IF(LEGPLUIMVEE!$H$15="warmtewisselaar",IF(LEGPLUIMVEE!$H$13="serie geschakeld met warmtewisselaar",MIN(I$7,MAX(0,C53-D53-F53)),MIN(I$7,MAX(0,'legh WW+droogt'!C53-D53-E53-F53))))),IF(LEGPLUIMVEE!$H$13="parallel geschakeld met warmtewisselaar",MIN(I$7,C53-D53-E53-F53,MIN(I$7,C53-E53-F53)),MIN(I$7,MAX(0,C53-D53-F53))))</f>
        <v>0</v>
      </c>
      <c r="H53" s="21">
        <f>IF(LEGPLUIMVEE!$H$13="parallel geschakeld met warmtewisselaar",IF(LEGPLUIMVEE!$L$9="nee",IF(LEGPLUIMVEE!$J$18="ja",C53-F53-G53,C53-D53-F53-G53),IF(LEGPLUIMVEE!$L$9="ja",IF(LEGPLUIMVEE!$J$18="ja",C53-G53,IF(LEGPLUIMVEE!$J$18="nee",C53-D53-G53)))),IF(LEGPLUIMVEE!$H$13="serie geschakeld met warmtewisselaar",IF(LEGPLUIMVEE!$J$18="ja",C53-G53,C53-D53-F53-G53),C53-D53-F53-G53))</f>
        <v>3.6407912774120685</v>
      </c>
      <c r="I53" s="121">
        <f t="shared" si="21"/>
        <v>3.6407912774120685</v>
      </c>
      <c r="J53" s="122">
        <v>2.3165999999999998</v>
      </c>
      <c r="K53" s="163">
        <f t="shared" si="22"/>
        <v>2.9731470950764689</v>
      </c>
      <c r="L53" s="164">
        <f>SUM(K$16:K53)/$K$73</f>
        <v>0.81492470428443731</v>
      </c>
      <c r="M53" s="22">
        <f t="shared" si="23"/>
        <v>2.9731470950764689</v>
      </c>
      <c r="N53" s="22">
        <f t="shared" si="0"/>
        <v>2.9731470950764689</v>
      </c>
      <c r="O53" s="312">
        <f>IF(E53&lt;I$3,P53*(1-I$6*D53/C53),
IF(LEGPLUIMVEE!$H$11="droogtunnel (platen) 55%",((K53-P53)/I$4-(K53-P53))*(1-I$6)+K53-(K53-P53)/I$4-
IF(D53&gt;E53,(D53-E53)/C53*(K53-P53)),
P53*(1-$I$6)+(C53-D53)/C53*(K53-P53*(1-I$6))))</f>
        <v>2.9731470950764689</v>
      </c>
      <c r="P53" s="162">
        <f t="shared" si="24"/>
        <v>2.9731470950764689</v>
      </c>
      <c r="Q53" s="181">
        <f t="shared" si="29"/>
        <v>1</v>
      </c>
      <c r="R53" s="184">
        <f t="shared" si="25"/>
        <v>1</v>
      </c>
      <c r="S53" s="166">
        <f t="shared" si="32"/>
        <v>2.9731470950764689</v>
      </c>
      <c r="T53" s="166">
        <f t="shared" si="26"/>
        <v>2.9731470950764689</v>
      </c>
      <c r="U53" s="283">
        <f>IF(G53&lt;0.1,K53,IF(C53=F53,S53/(1-I$4),IF(I$3=0,K53-(G53/C53)*K53*U$13,IF(LEGPLUIMVEE!$H$13="Parallel geschakeld met warmtewisselaar",K53-(K53-(K53-S53)/I$4)*(G53/(C53-F53))*U$13,IF(LEGPLUIMVEE!$H$20="ja",K53-(K53-(K53-P53)/I$4)*(G53/(C53-MIN(D53,I$5)))*U$13,K53-(K53-(K53-P53)/I$4)*(G53/(C53-MIN(D52,I$5)))*U$13)))))</f>
        <v>2.9731470950764689</v>
      </c>
      <c r="V53" s="258">
        <f t="shared" si="33"/>
        <v>0</v>
      </c>
      <c r="W53" s="274">
        <f t="shared" si="50"/>
        <v>1</v>
      </c>
      <c r="X53" s="22">
        <f t="shared" si="34"/>
        <v>2.9731470950764689</v>
      </c>
      <c r="Y53" s="177">
        <f t="shared" si="31"/>
        <v>0</v>
      </c>
      <c r="Z53" s="163">
        <f t="shared" si="35"/>
        <v>2.9731470950764689</v>
      </c>
      <c r="AA53" s="306"/>
      <c r="AB53" s="306"/>
      <c r="AC53" s="306"/>
      <c r="AD53" s="219">
        <f>IF(H53&lt;0.02,0,IF(LEGPLUIMVEE!$H$11="geen droogtunnel",IF(LEGPLUIMVEE!$H$15="geen warmtewisselaar",(P53-(K53-T53)/T$13),K53-(K53-O53)/I$6-(K53-T53)/95%)+IF(LEGPLUIMVEE!$J$18="ja",(K53-O53)*(1-I$6)),IF(LEGPLUIMVEE!$H$12&gt;=0,IF(LEGPLUIMVEE!$L$9="ja",IF(LEGPLUIMVEE!$J$18="ja",IF(LEGPLUIMVEE!$H$20="ja",O53-(K53-U53),IF(LEGPLUIMVEE!$H$20="nee",(O53-(K53-U53)),(O53-(K53-U53)))),IF(LEGPLUIMVEE!$J$18="nee",IF(LEGPLUIMVEE!$H$20="nee",O53-(K53-U53)/81%,O53-(K53-U53)))),IF(LEGPLUIMVEE!$L$9="nee",IF(LEGPLUIMVEE!$J$18="nee",IF(LEGPLUIMVEE!$H$20="nee",O53-(K53-U53)/95%,O53-(K53-U53)),IF(LEGPLUIMVEE!$H$20="nee",IF(LEGPLUIMVEE!$J$18="ja",IF(LEGPLUIMVEE!$L$9="nee",O53-(K53-U53))),O53-(K53-U53))))))))</f>
        <v>2.9731470950764689</v>
      </c>
      <c r="AE53" s="239">
        <f>IF(H53&lt;0.02,0,IF(LEGPLUIMVEE!$H$11="geen droogtunnel",IF(LEGPLUIMVEE!$H$15="geen warmtewisselaar",(K53-(K53-T53)/T$13),K53-(K53-N53)/I$6-((K53-T53)/95%))+IF(LEGPLUIMVEE!$J$18="ja",(K53-O53)*(1-I$6)),IF(LEGPLUIMVEE!$H$12&gt;=0,IF(LEGPLUIMVEE!$L$9="ja",IF(LEGPLUIMVEE!$J$18="ja",IF(LEGPLUIMVEE!$H$20="ja",S53-(K53-N53)-(K53-U53),IF(LEGPLUIMVEE!$H$20="nee",(S53-(K53-N53)-(K53-U53)),(O53-(K53-U53)))),IF(LEGPLUIMVEE!$J$18="nee",IF(LEGPLUIMVEE!$H$20="nee",S53*$N$72-(K53-N53)-(K53-U53),S53-(K53-N53)-(K53-U53)))),IF(LEGPLUIMVEE!$L$9="nee",IF(LEGPLUIMVEE!$J$18="nee",IF(LEGPLUIMVEE!$H$20="nee",(N53-(K53-S53)/I$4-(K53-U53)),N53-(K53-S53)/I$4-(K53-U53)),IF(LEGPLUIMVEE!$H$20="nee",IF(LEGPLUIMVEE!$J$18="ja",IF(LEGPLUIMVEE!$L$9="nee",N53-(K53-S53)/I$4-(K53-U53))),N53-(K53-S53)/I$4-(K53-U53))))))))</f>
        <v>2.9731470950764689</v>
      </c>
      <c r="AF53" s="219"/>
      <c r="AG53" s="164">
        <f t="shared" si="36"/>
        <v>1</v>
      </c>
      <c r="AH53" s="35">
        <f t="shared" si="37"/>
        <v>0</v>
      </c>
      <c r="AI53" s="36">
        <f t="shared" si="38"/>
        <v>2.3165999999999998</v>
      </c>
      <c r="AJ53" s="36">
        <f t="shared" si="39"/>
        <v>0</v>
      </c>
      <c r="AK53" s="37">
        <f t="shared" si="40"/>
        <v>0</v>
      </c>
      <c r="AL53" s="36">
        <f t="shared" si="28"/>
        <v>2.3165999999999998</v>
      </c>
      <c r="AM53" s="36">
        <f t="shared" si="41"/>
        <v>0</v>
      </c>
      <c r="AN53" s="37">
        <f t="shared" si="42"/>
        <v>3.6407912774120685</v>
      </c>
      <c r="AO53" s="36">
        <f t="shared" si="43"/>
        <v>2.9731470950764689</v>
      </c>
      <c r="AP53" s="38">
        <f t="shared" si="44"/>
        <v>2.9731470950764689</v>
      </c>
      <c r="AR53" s="123">
        <f t="shared" si="45"/>
        <v>2.3165999999999998</v>
      </c>
      <c r="AS53" s="123">
        <f t="shared" si="46"/>
        <v>2.3142833999999999</v>
      </c>
      <c r="AT53" s="123">
        <f t="shared" si="47"/>
        <v>2.3142833999999999</v>
      </c>
      <c r="AU53" s="123">
        <f t="shared" si="48"/>
        <v>2.9731470950764689</v>
      </c>
    </row>
    <row r="54" spans="1:47" x14ac:dyDescent="0.25">
      <c r="A54" s="6">
        <v>18</v>
      </c>
      <c r="B54" s="3">
        <v>296.76271186440675</v>
      </c>
      <c r="C54" s="5">
        <v>3.803801806285005</v>
      </c>
      <c r="D54" s="21">
        <f t="shared" si="20"/>
        <v>0</v>
      </c>
      <c r="E54" s="21">
        <f>IF(I$3=0,0,IF(LEGPLUIMVEE!$H$13="parallel geschakeld met warmtewisselaar",0,MIN(I$3,C54)))</f>
        <v>0</v>
      </c>
      <c r="F54" s="21">
        <f>IF(I$3=0,0,IF(LEGPLUIMVEE!$H$13="serie geschakeld met warmtewisselaar",0,IF(C54&lt;$I$3,C54-D54,MIN($I$3,C54-D54))))</f>
        <v>0</v>
      </c>
      <c r="G54" s="174">
        <f>IF(C54&lt;$I$7,MAX(0,C54-D54-E54-F54,IF(LEGPLUIMVEE!$H$15="warmtewisselaar",IF(LEGPLUIMVEE!$H$13="serie geschakeld met warmtewisselaar",MIN(I$7,MAX(0,C54-D54-F54)),MIN(I$7,MAX(0,'legh WW+droogt'!C54-D54-E54-F54))))),IF(LEGPLUIMVEE!$H$13="parallel geschakeld met warmtewisselaar",MIN(I$7,C54-D54-E54-F54,MIN(I$7,C54-E54-F54)),MIN(I$7,MAX(0,C54-D54-F54))))</f>
        <v>0</v>
      </c>
      <c r="H54" s="21">
        <f>IF(LEGPLUIMVEE!$H$13="parallel geschakeld met warmtewisselaar",IF(LEGPLUIMVEE!$L$9="nee",IF(LEGPLUIMVEE!$J$18="ja",C54-F54-G54,C54-D54-F54-G54),IF(LEGPLUIMVEE!$L$9="ja",IF(LEGPLUIMVEE!$J$18="ja",C54-G54,IF(LEGPLUIMVEE!$J$18="nee",C54-D54-G54)))),IF(LEGPLUIMVEE!$H$13="serie geschakeld met warmtewisselaar",IF(LEGPLUIMVEE!$J$18="ja",C54-G54,C54-D54-F54-G54),C54-D54-F54-G54))</f>
        <v>3.803801806285005</v>
      </c>
      <c r="I54" s="121">
        <f t="shared" si="21"/>
        <v>3.803801806285005</v>
      </c>
      <c r="J54" s="122">
        <v>2.2625000000000002</v>
      </c>
      <c r="K54" s="275">
        <f t="shared" si="22"/>
        <v>2.5539700454555492</v>
      </c>
      <c r="L54" s="164">
        <f>SUM(K$16:K54)/$K$73</f>
        <v>0.85660277113033678</v>
      </c>
      <c r="M54" s="22">
        <f t="shared" si="23"/>
        <v>2.5539700454555492</v>
      </c>
      <c r="N54" s="22">
        <f t="shared" si="0"/>
        <v>2.5539700454555492</v>
      </c>
      <c r="O54" s="312">
        <f>IF(E54&lt;I$3,P54*(1-I$6*D54/C54),
IF(LEGPLUIMVEE!$H$11="droogtunnel (platen) 55%",((K54-P54)/I$4-(K54-P54))*(1-I$6)+K54-(K54-P54)/I$4-
IF(D54&gt;E54,(D54-E54)/C54*(K54-P54)),
P54*(1-$I$6)+(C54-D54)/C54*(K54-P54*(1-I$6))))</f>
        <v>2.5539700454555492</v>
      </c>
      <c r="P54" s="162">
        <f t="shared" si="24"/>
        <v>2.5539700454555492</v>
      </c>
      <c r="Q54" s="181">
        <f t="shared" si="29"/>
        <v>1</v>
      </c>
      <c r="R54" s="184">
        <f t="shared" si="25"/>
        <v>1</v>
      </c>
      <c r="S54" s="166">
        <f t="shared" si="32"/>
        <v>2.5539700454555492</v>
      </c>
      <c r="T54" s="166">
        <f t="shared" si="26"/>
        <v>2.5539700454555492</v>
      </c>
      <c r="U54" s="283">
        <f>IF(G54&lt;0.1,K54,IF(C54=F54,S54/(1-I$4),IF(I$3=0,K54-(G54/C54)*K54*U$13,IF(LEGPLUIMVEE!$H$13="Parallel geschakeld met warmtewisselaar",K54-(K54-(K54-S54)/I$4)*(G54/(C54-F54))*U$13,IF(LEGPLUIMVEE!$H$20="ja",K54-(K54-(K54-P54)/I$4)*(G54/(C54-MIN(D54,I$5)))*U$13,K54-(K54-(K54-P54)/I$4)*(G54/(C54-MIN(D53,I$5)))*U$13)))))</f>
        <v>2.5539700454555492</v>
      </c>
      <c r="V54" s="258">
        <f t="shared" si="33"/>
        <v>0</v>
      </c>
      <c r="W54" s="274">
        <f t="shared" si="50"/>
        <v>1</v>
      </c>
      <c r="X54" s="22">
        <f t="shared" si="34"/>
        <v>2.5539700454555492</v>
      </c>
      <c r="Y54" s="177">
        <f t="shared" si="31"/>
        <v>0</v>
      </c>
      <c r="Z54" s="163">
        <f t="shared" si="35"/>
        <v>2.5539700454555492</v>
      </c>
      <c r="AA54" s="306"/>
      <c r="AB54" s="306"/>
      <c r="AC54" s="306"/>
      <c r="AD54" s="219">
        <f>IF(H54&lt;0.02,0,IF(LEGPLUIMVEE!$H$11="geen droogtunnel",IF(LEGPLUIMVEE!$H$15="geen warmtewisselaar",(P54-(K54-T54)/T$13),K54-(K54-O54)/I$6-(K54-T54)/95%)+IF(LEGPLUIMVEE!$J$18="ja",(K54-O54)*(1-I$6)),IF(LEGPLUIMVEE!$H$12&gt;=0,IF(LEGPLUIMVEE!$L$9="ja",IF(LEGPLUIMVEE!$J$18="ja",IF(LEGPLUIMVEE!$H$20="ja",O54-(K54-U54),IF(LEGPLUIMVEE!$H$20="nee",(O54-(K54-U54)),(O54-(K54-U54)))),IF(LEGPLUIMVEE!$J$18="nee",IF(LEGPLUIMVEE!$H$20="nee",O54-(K54-U54)/81%,O54-(K54-U54)))),IF(LEGPLUIMVEE!$L$9="nee",IF(LEGPLUIMVEE!$J$18="nee",IF(LEGPLUIMVEE!$H$20="nee",O54-(K54-U54)/95%,O54-(K54-U54)),IF(LEGPLUIMVEE!$H$20="nee",IF(LEGPLUIMVEE!$J$18="ja",IF(LEGPLUIMVEE!$L$9="nee",O54-(K54-U54))),O54-(K54-U54))))))))</f>
        <v>2.5539700454555492</v>
      </c>
      <c r="AE54" s="239">
        <f>IF(H54&lt;0.02,0,IF(LEGPLUIMVEE!$H$11="geen droogtunnel",IF(LEGPLUIMVEE!$H$15="geen warmtewisselaar",(K54-(K54-T54)/T$13),K54-(K54-N54)/I$6-((K54-T54)/95%))+IF(LEGPLUIMVEE!$J$18="ja",(K54-O54)*(1-I$6)),IF(LEGPLUIMVEE!$H$12&gt;=0,IF(LEGPLUIMVEE!$L$9="ja",IF(LEGPLUIMVEE!$J$18="ja",IF(LEGPLUIMVEE!$H$20="ja",S54-(K54-N54)-(K54-U54),IF(LEGPLUIMVEE!$H$20="nee",(S54-(K54-N54)-(K54-U54)),(O54-(K54-U54)))),IF(LEGPLUIMVEE!$J$18="nee",IF(LEGPLUIMVEE!$H$20="nee",S54*$N$72-(K54-N54)-(K54-U54),S54-(K54-N54)-(K54-U54)))),IF(LEGPLUIMVEE!$L$9="nee",IF(LEGPLUIMVEE!$J$18="nee",IF(LEGPLUIMVEE!$H$20="nee",(N54-(K54-S54)/I$4-(K54-U54)),N54-(K54-S54)/I$4-(K54-U54)),IF(LEGPLUIMVEE!$H$20="nee",IF(LEGPLUIMVEE!$J$18="ja",IF(LEGPLUIMVEE!$L$9="nee",N54-(K54-S54)/I$4-(K54-U54))),N54-(K54-S54)/I$4-(K54-U54))))))))</f>
        <v>2.5539700454555492</v>
      </c>
      <c r="AF54" s="219"/>
      <c r="AG54" s="164">
        <f t="shared" si="36"/>
        <v>1</v>
      </c>
      <c r="AH54" s="35">
        <f t="shared" si="37"/>
        <v>0</v>
      </c>
      <c r="AI54" s="36">
        <f t="shared" si="38"/>
        <v>2.2625000000000002</v>
      </c>
      <c r="AJ54" s="36">
        <f t="shared" si="39"/>
        <v>0</v>
      </c>
      <c r="AK54" s="37">
        <f t="shared" si="40"/>
        <v>0</v>
      </c>
      <c r="AL54" s="36">
        <f t="shared" si="28"/>
        <v>2.2625000000000002</v>
      </c>
      <c r="AM54" s="36">
        <f t="shared" si="41"/>
        <v>0</v>
      </c>
      <c r="AN54" s="37">
        <f t="shared" si="42"/>
        <v>3.803801806285005</v>
      </c>
      <c r="AO54" s="36">
        <f t="shared" si="43"/>
        <v>2.5539700454555492</v>
      </c>
      <c r="AP54" s="38">
        <f t="shared" si="44"/>
        <v>2.5539700454555492</v>
      </c>
      <c r="AR54" s="123">
        <f t="shared" si="45"/>
        <v>2.2625000000000002</v>
      </c>
      <c r="AS54" s="123">
        <f t="shared" si="46"/>
        <v>2.2602375000000001</v>
      </c>
      <c r="AT54" s="123">
        <f t="shared" si="47"/>
        <v>2.2602375000000001</v>
      </c>
      <c r="AU54" s="123">
        <f t="shared" si="48"/>
        <v>2.5539700454555492</v>
      </c>
    </row>
    <row r="55" spans="1:47" x14ac:dyDescent="0.25">
      <c r="A55" s="6">
        <v>19</v>
      </c>
      <c r="B55" s="3">
        <v>238.71186440677965</v>
      </c>
      <c r="C55" s="5">
        <v>3.9741108673996233</v>
      </c>
      <c r="D55" s="21">
        <f t="shared" si="20"/>
        <v>0</v>
      </c>
      <c r="E55" s="21">
        <f>IF(I$3=0,0,IF(LEGPLUIMVEE!$H$13="parallel geschakeld met warmtewisselaar",0,MIN(I$3,C55)))</f>
        <v>0</v>
      </c>
      <c r="F55" s="21">
        <f>IF(I$3=0,0,IF(LEGPLUIMVEE!$H$13="serie geschakeld met warmtewisselaar",0,IF(C55&lt;$I$3,C55-D55,MIN($I$3,C55-D55))))</f>
        <v>0</v>
      </c>
      <c r="G55" s="21">
        <f>IF(C55&lt;$I$7,MAX(0,C55-D55-E55-F55,IF(LEGPLUIMVEE!$H$15="warmtewisselaar",IF(LEGPLUIMVEE!$H$13="serie geschakeld met warmtewisselaar",MIN(I$7,MAX(0,C55-D55-F55)),MIN(I$7,MAX(0,'legh WW+droogt'!C55-D55-E55-F55))))),IF(LEGPLUIMVEE!$H$13="parallel geschakeld met warmtewisselaar",MIN(I$7,C55-D55-E55-F55,MIN(I$7,C55-E55-F55)),MIN(I$7,MAX(0,C55-D55-F55))))</f>
        <v>0</v>
      </c>
      <c r="H55" s="21">
        <f>IF(LEGPLUIMVEE!$H$13="parallel geschakeld met warmtewisselaar",IF(LEGPLUIMVEE!$L$9="nee",IF(LEGPLUIMVEE!$J$18="ja",C55-F55-G55,C55-D55-F55-G55),IF(LEGPLUIMVEE!$L$9="ja",IF(LEGPLUIMVEE!$J$18="ja",C55-G55,IF(LEGPLUIMVEE!$J$18="nee",C55-D55-G55)))),IF(LEGPLUIMVEE!$H$13="serie geschakeld met warmtewisselaar",IF(LEGPLUIMVEE!$J$18="ja",C55-G55,C55-D55-F55-G55),C55-D55-F55-G55))</f>
        <v>3.9741108673996233</v>
      </c>
      <c r="I55" s="121">
        <f t="shared" si="21"/>
        <v>3.9741108673996233</v>
      </c>
      <c r="J55" s="122">
        <v>2.2084000000000001</v>
      </c>
      <c r="K55" s="163">
        <f t="shared" si="22"/>
        <v>2.0950371182175944</v>
      </c>
      <c r="L55" s="164">
        <f>SUM(K$16:K55)/$K$73</f>
        <v>0.89079154214316936</v>
      </c>
      <c r="M55" s="22">
        <f t="shared" si="23"/>
        <v>2.0950371182175944</v>
      </c>
      <c r="N55" s="22">
        <f>(((($K55)*(1-($I$6*(D55)/C55)))))</f>
        <v>2.0950371182175944</v>
      </c>
      <c r="O55" s="312">
        <f>IF(E55&lt;I$3,P55*(1-I$6*D55/C55),
IF(LEGPLUIMVEE!$H$11="droogtunnel (platen) 55%",((K55-P55)/I$4-(K55-P55))*(1-I$6)+K55-(K55-P55)/I$4-
IF(D55&gt;E55,(D55-E55)/C55*(K55-P55)),
P55*(1-$I$6)+(C55-D55)/C55*(K55-P55*(1-I$6))))</f>
        <v>2.0950371182175944</v>
      </c>
      <c r="P55" s="162">
        <f t="shared" si="24"/>
        <v>2.0950371182175944</v>
      </c>
      <c r="Q55" s="181">
        <f t="shared" si="29"/>
        <v>1</v>
      </c>
      <c r="R55" s="184">
        <f t="shared" si="25"/>
        <v>1</v>
      </c>
      <c r="S55" s="166">
        <f t="shared" si="32"/>
        <v>2.0950371182175944</v>
      </c>
      <c r="T55" s="166">
        <f t="shared" si="26"/>
        <v>2.0950371182175944</v>
      </c>
      <c r="U55" s="283">
        <f>IF(G55&lt;0.1,K55,IF(C55=F55,S55/(1-I$4),IF(I$3=0,K55-(G55/C55)*K55*U$13,IF(LEGPLUIMVEE!$H$13="Parallel geschakeld met warmtewisselaar",K55-(K55-(K55-S55)/I$4)*(G55/(C55-F55))*U$13,IF(LEGPLUIMVEE!$H$20="ja",K55-(K55-(K55-P55)/I$4)*(G55/(C55-MIN(D55,I$5)))*U$13,K55-(K55-(K55-P55)/I$4)*(G55/(C55-MIN(D54,I$5)))*U$13)))))</f>
        <v>2.0950371182175944</v>
      </c>
      <c r="V55" s="258">
        <f t="shared" si="33"/>
        <v>0</v>
      </c>
      <c r="W55" s="274">
        <f t="shared" si="50"/>
        <v>1</v>
      </c>
      <c r="X55" s="22">
        <f t="shared" si="34"/>
        <v>2.0950371182175944</v>
      </c>
      <c r="Y55" s="177">
        <f t="shared" si="31"/>
        <v>0</v>
      </c>
      <c r="Z55" s="163">
        <f t="shared" si="35"/>
        <v>2.0950371182175944</v>
      </c>
      <c r="AA55" s="306"/>
      <c r="AB55" s="306"/>
      <c r="AC55" s="306"/>
      <c r="AD55" s="219">
        <f>IF(H55&lt;0.02,0,IF(LEGPLUIMVEE!$H$11="geen droogtunnel",IF(LEGPLUIMVEE!$H$15="geen warmtewisselaar",(P55-(K55-T55)/T$13),K55-(K55-O55)/I$6-(K55-T55)/95%)+IF(LEGPLUIMVEE!$J$18="ja",(K55-O55)*(1-I$6)),IF(LEGPLUIMVEE!$H$12&gt;=0,IF(LEGPLUIMVEE!$L$9="ja",IF(LEGPLUIMVEE!$J$18="ja",IF(LEGPLUIMVEE!$H$20="ja",O55-(K55-U55),IF(LEGPLUIMVEE!$H$20="nee",(O55-(K55-U55)),(O55-(K55-U55)))),IF(LEGPLUIMVEE!$J$18="nee",IF(LEGPLUIMVEE!$H$20="nee",O55-(K55-U55)/81%,O55-(K55-U55)))),IF(LEGPLUIMVEE!$L$9="nee",IF(LEGPLUIMVEE!$J$18="nee",IF(LEGPLUIMVEE!$H$20="nee",O55-(K55-U55)/95%,O55-(K55-U55)),IF(LEGPLUIMVEE!$H$20="nee",IF(LEGPLUIMVEE!$J$18="ja",IF(LEGPLUIMVEE!$L$9="nee",O55-(K55-U55))),O55-(K55-U55))))))))</f>
        <v>2.0950371182175944</v>
      </c>
      <c r="AE55" s="239">
        <f>IF(H55&lt;0.02,0,IF(LEGPLUIMVEE!$H$11="geen droogtunnel",IF(LEGPLUIMVEE!$H$15="geen warmtewisselaar",(K55-(K55-T55)/T$13),K55-(K55-N55)/I$6-((K55-T55)/95%))+IF(LEGPLUIMVEE!$J$18="ja",(K55-O55)*(1-I$6)),IF(LEGPLUIMVEE!$H$12&gt;=0,IF(LEGPLUIMVEE!$L$9="ja",IF(LEGPLUIMVEE!$J$18="ja",IF(LEGPLUIMVEE!$H$20="ja",S55-(K55-N55)-(K55-U55),IF(LEGPLUIMVEE!$H$20="nee",(S55-(K55-N55)-(K55-U55)),(O55-(K55-U55)))),IF(LEGPLUIMVEE!$J$18="nee",IF(LEGPLUIMVEE!$H$20="nee",S55*$N$72-(K55-N55)-(K55-U55),S55-(K55-N55)-(K55-U55)))),IF(LEGPLUIMVEE!$L$9="nee",IF(LEGPLUIMVEE!$J$18="nee",IF(LEGPLUIMVEE!$H$20="nee",(N55-(K55-S55)/I$4-(K55-U55)),N55-(K55-S55)/I$4-(K55-U55)),IF(LEGPLUIMVEE!$H$20="nee",IF(LEGPLUIMVEE!$J$18="ja",IF(LEGPLUIMVEE!$L$9="nee",N55-(K55-S55)/I$4-(K55-U55))),N55-(K55-S55)/I$4-(K55-U55))))))))</f>
        <v>2.0950371182175944</v>
      </c>
      <c r="AF55" s="219"/>
      <c r="AG55" s="164">
        <f t="shared" si="36"/>
        <v>1</v>
      </c>
      <c r="AH55" s="35">
        <f t="shared" si="37"/>
        <v>0</v>
      </c>
      <c r="AI55" s="36">
        <f t="shared" si="38"/>
        <v>2.2084000000000001</v>
      </c>
      <c r="AJ55" s="36">
        <f t="shared" si="39"/>
        <v>0</v>
      </c>
      <c r="AK55" s="37">
        <f t="shared" si="40"/>
        <v>0</v>
      </c>
      <c r="AL55" s="36">
        <f t="shared" si="28"/>
        <v>2.2084000000000001</v>
      </c>
      <c r="AM55" s="36">
        <f t="shared" si="41"/>
        <v>0</v>
      </c>
      <c r="AN55" s="37">
        <f t="shared" si="42"/>
        <v>3.9741108673996233</v>
      </c>
      <c r="AO55" s="36">
        <f t="shared" si="43"/>
        <v>2.0950371182175944</v>
      </c>
      <c r="AP55" s="38">
        <f t="shared" si="44"/>
        <v>2.0950371182175944</v>
      </c>
      <c r="AR55" s="123">
        <f t="shared" si="45"/>
        <v>2.2084000000000001</v>
      </c>
      <c r="AS55" s="123">
        <f t="shared" si="46"/>
        <v>2.2061915999999999</v>
      </c>
      <c r="AT55" s="123">
        <f t="shared" si="47"/>
        <v>2.2061915999999999</v>
      </c>
      <c r="AU55" s="123">
        <f t="shared" si="48"/>
        <v>2.0950371182175949</v>
      </c>
    </row>
    <row r="56" spans="1:47" x14ac:dyDescent="0.25">
      <c r="A56" s="6">
        <v>20</v>
      </c>
      <c r="B56" s="3">
        <v>177.81355932203391</v>
      </c>
      <c r="C56" s="5">
        <f>MIN(I2,4.15204524070843)</f>
        <v>4.1520452407084303</v>
      </c>
      <c r="D56" s="21">
        <f t="shared" si="20"/>
        <v>0</v>
      </c>
      <c r="E56" s="21">
        <f>IF(I$3=0,0,IF(LEGPLUIMVEE!$H$13="parallel geschakeld met warmtewisselaar",0,MIN(I$3,C56)))</f>
        <v>0</v>
      </c>
      <c r="F56" s="21">
        <f>IF(I$3=0,0,IF(LEGPLUIMVEE!$H$13="serie geschakeld met warmtewisselaar",0,IF(C56&lt;$I$3,C56-D56,MIN($I$3,C56-D56))))</f>
        <v>0</v>
      </c>
      <c r="G56" s="21">
        <f>IF(C56&lt;$I$7,MAX(0,C56-D56-E56-F56,IF(LEGPLUIMVEE!$H$15="warmtewisselaar",IF(LEGPLUIMVEE!$H$13="serie geschakeld met warmtewisselaar",MIN(I$7,MAX(0,C56-D56-F56)),MIN(I$7,MAX(0,'legh WW+droogt'!C56-D56-E56-F56))))),IF(LEGPLUIMVEE!$H$13="parallel geschakeld met warmtewisselaar",MIN(I$7,C56-D56-E56-F56,MIN(I$7,C56-E56-F56)),MIN(I$7,MAX(0,C56-D56-F56))))</f>
        <v>0</v>
      </c>
      <c r="H56" s="21">
        <f>IF(LEGPLUIMVEE!$H$13="parallel geschakeld met warmtewisselaar",IF(LEGPLUIMVEE!$L$9="nee",IF(LEGPLUIMVEE!$J$18="ja",C56-F56-G56,C56-D56-F56-G56),IF(LEGPLUIMVEE!$L$9="ja",IF(LEGPLUIMVEE!$J$18="ja",C56-G56,IF(LEGPLUIMVEE!$J$18="nee",C56-D56-G56)))),IF(LEGPLUIMVEE!$H$13="serie geschakeld met warmtewisselaar",IF(LEGPLUIMVEE!$J$18="ja",C56-G56,C56-D56-F56-G56),C56-D56-F56-G56))</f>
        <v>4.1520452407084303</v>
      </c>
      <c r="I56" s="121">
        <f t="shared" si="21"/>
        <v>4.1520452407084303</v>
      </c>
      <c r="J56" s="122">
        <v>2.1543000000000001</v>
      </c>
      <c r="K56" s="163">
        <f t="shared" si="22"/>
        <v>1.5904980235941064</v>
      </c>
      <c r="L56" s="164">
        <f>SUM(K$16:K56)/$K$73</f>
        <v>0.91674677331887489</v>
      </c>
      <c r="M56" s="22">
        <f t="shared" si="23"/>
        <v>1.5904980235941064</v>
      </c>
      <c r="N56" s="22">
        <f t="shared" ref="N56:N70" si="51">(((($K56)*(1-($I$6*(D56)/C56)))))</f>
        <v>1.5904980235941064</v>
      </c>
      <c r="O56" s="312">
        <f>IF(E56&lt;I$3,P56*(1-I$6*D56/C56),
IF(LEGPLUIMVEE!$H$11="droogtunnel (platen) 55%",((K56-P56)/I$4-(K56-P56))*(1-I$6)+K56-(K56-P56)/I$4-
IF(D56&gt;E56,(D56-E56)/C56*(K56-P56)),
P56*(1-$I$6)+(C56-D56)/C56*(K56-P56*(1-I$6))))</f>
        <v>1.5904980235941064</v>
      </c>
      <c r="P56" s="162">
        <f t="shared" si="24"/>
        <v>1.5904980235941064</v>
      </c>
      <c r="Q56" s="181">
        <f t="shared" si="29"/>
        <v>1</v>
      </c>
      <c r="R56" s="184">
        <f t="shared" si="25"/>
        <v>1</v>
      </c>
      <c r="S56" s="166">
        <f t="shared" si="32"/>
        <v>1.5904980235941064</v>
      </c>
      <c r="T56" s="166">
        <f t="shared" si="26"/>
        <v>1.5904980235941064</v>
      </c>
      <c r="U56" s="283">
        <f>IF(G56&lt;0.1,K56,IF(C56=F56,S56/(1-I$4),IF(I$3=0,K56-(G56/C56)*K56*U$13,IF(LEGPLUIMVEE!$H$13="Parallel geschakeld met warmtewisselaar",K56-(K56-(K56-S56)/I$4)*(G56/(C56-F56))*U$13,IF(LEGPLUIMVEE!$H$20="ja",K56-(K56-(K56-P56)/I$4)*(G56/(C56-MIN(D56,I$5)))*U$13,K56-(K56-(K56-P56)/I$4)*(G56/(C56-MIN(D55,I$5)))*U$13)))))</f>
        <v>1.5904980235941064</v>
      </c>
      <c r="V56" s="258">
        <f t="shared" si="33"/>
        <v>0</v>
      </c>
      <c r="W56" s="274">
        <f t="shared" si="50"/>
        <v>1</v>
      </c>
      <c r="X56" s="22">
        <f t="shared" si="34"/>
        <v>1.5904980235941064</v>
      </c>
      <c r="Y56" s="177">
        <f t="shared" si="31"/>
        <v>0</v>
      </c>
      <c r="Z56" s="163">
        <f t="shared" si="35"/>
        <v>1.5904980235941064</v>
      </c>
      <c r="AA56" s="306"/>
      <c r="AB56" s="306"/>
      <c r="AC56" s="306"/>
      <c r="AD56" s="219">
        <f>IF(H56&lt;0.02,0,IF(LEGPLUIMVEE!$H$11="geen droogtunnel",IF(LEGPLUIMVEE!$H$15="geen warmtewisselaar",(P56-(K56-T56)/T$13),K56-(K56-O56)/I$6-(K56-T56)/95%)+IF(LEGPLUIMVEE!$J$18="ja",(K56-O56)*(1-I$6)),IF(LEGPLUIMVEE!$H$12&gt;=0,IF(LEGPLUIMVEE!$L$9="ja",IF(LEGPLUIMVEE!$J$18="ja",IF(LEGPLUIMVEE!$H$20="ja",O56-(K56-U56),IF(LEGPLUIMVEE!$H$20="nee",(O56-(K56-U56)),(O56-(K56-U56)))),IF(LEGPLUIMVEE!$J$18="nee",IF(LEGPLUIMVEE!$H$20="nee",O56-(K56-U56)/81%,O56-(K56-U56)))),IF(LEGPLUIMVEE!$L$9="nee",IF(LEGPLUIMVEE!$J$18="nee",IF(LEGPLUIMVEE!$H$20="nee",O56-(K56-U56)/95%,O56-(K56-U56)),IF(LEGPLUIMVEE!$H$20="nee",IF(LEGPLUIMVEE!$J$18="ja",IF(LEGPLUIMVEE!$L$9="nee",O56-(K56-U56))),O56-(K56-U56))))))))</f>
        <v>1.5904980235941064</v>
      </c>
      <c r="AE56" s="239">
        <f>IF(H56&lt;0.02,0,IF(LEGPLUIMVEE!$H$11="geen droogtunnel",IF(LEGPLUIMVEE!$H$15="geen warmtewisselaar",(K56-(K56-T56)/T$13),K56-(K56-N56)/I$6-((K56-T56)/95%))+IF(LEGPLUIMVEE!$J$18="ja",(K56-O56)*(1-I$6)),IF(LEGPLUIMVEE!$H$12&gt;=0,IF(LEGPLUIMVEE!$L$9="ja",IF(LEGPLUIMVEE!$J$18="ja",IF(LEGPLUIMVEE!$H$20="ja",S56-(K56-N56)-(K56-U56),IF(LEGPLUIMVEE!$H$20="nee",(S56-(K56-N56)-(K56-U56)),(O56-(K56-U56)))),IF(LEGPLUIMVEE!$J$18="nee",IF(LEGPLUIMVEE!$H$20="nee",S56*$N$72-(K56-N56)-(K56-U56),S56-(K56-N56)-(K56-U56)))),IF(LEGPLUIMVEE!$L$9="nee",IF(LEGPLUIMVEE!$J$18="nee",IF(LEGPLUIMVEE!$H$20="nee",(N56-(K56-S56)/I$4-(K56-U56)),N56-(K56-S56)/I$4-(K56-U56)),IF(LEGPLUIMVEE!$H$20="nee",IF(LEGPLUIMVEE!$J$18="ja",IF(LEGPLUIMVEE!$L$9="nee",N56-(K56-S56)/I$4-(K56-U56))),N56-(K56-S56)/I$4-(K56-U56))))))))</f>
        <v>1.5904980235941064</v>
      </c>
      <c r="AF56" s="219"/>
      <c r="AG56" s="164">
        <f t="shared" si="36"/>
        <v>1</v>
      </c>
      <c r="AH56" s="35">
        <f t="shared" si="37"/>
        <v>0</v>
      </c>
      <c r="AI56" s="36">
        <f t="shared" si="38"/>
        <v>2.1543000000000001</v>
      </c>
      <c r="AJ56" s="36">
        <f t="shared" si="39"/>
        <v>0</v>
      </c>
      <c r="AK56" s="37">
        <f t="shared" si="40"/>
        <v>0</v>
      </c>
      <c r="AL56" s="36">
        <f t="shared" si="28"/>
        <v>2.1543000000000001</v>
      </c>
      <c r="AM56" s="36">
        <f t="shared" si="41"/>
        <v>0</v>
      </c>
      <c r="AN56" s="37">
        <f t="shared" si="42"/>
        <v>4.1520452407084303</v>
      </c>
      <c r="AO56" s="36">
        <f t="shared" si="43"/>
        <v>1.5904980235941064</v>
      </c>
      <c r="AP56" s="38">
        <f t="shared" si="44"/>
        <v>1.5904980235941064</v>
      </c>
      <c r="AR56" s="123">
        <f t="shared" si="45"/>
        <v>2.1543000000000001</v>
      </c>
      <c r="AS56" s="123">
        <f t="shared" si="46"/>
        <v>2.1521457000000002</v>
      </c>
      <c r="AT56" s="123">
        <f t="shared" si="47"/>
        <v>2.1521457000000002</v>
      </c>
      <c r="AU56" s="123">
        <f t="shared" si="48"/>
        <v>1.5904980235941066</v>
      </c>
    </row>
    <row r="57" spans="1:47" x14ac:dyDescent="0.25">
      <c r="A57" s="6">
        <v>21</v>
      </c>
      <c r="B57" s="3">
        <v>138.05084745762713</v>
      </c>
      <c r="C57" s="5">
        <f>MIN(I2,4.3379463372067)</f>
        <v>4.3379463372067004</v>
      </c>
      <c r="D57" s="21">
        <f t="shared" si="20"/>
        <v>0</v>
      </c>
      <c r="E57" s="21">
        <f>IF(I$3=0,0,IF(LEGPLUIMVEE!$H$13="parallel geschakeld met warmtewisselaar",0,MIN(I$3,C57)))</f>
        <v>0</v>
      </c>
      <c r="F57" s="21">
        <f>IF(I$3=0,0,IF(LEGPLUIMVEE!$H$13="serie geschakeld met warmtewisselaar",0,IF(C57&lt;$I$3,C57-D57,MIN($I$3,C57-D57))))</f>
        <v>0</v>
      </c>
      <c r="G57" s="21">
        <f>IF(C57&lt;$I$7,MAX(0,C57-D57-E57-F57,IF(LEGPLUIMVEE!$H$15="warmtewisselaar",IF(LEGPLUIMVEE!$H$13="serie geschakeld met warmtewisselaar",MIN(I$7,MAX(0,C57-D57-F57)),MIN(I$7,MAX(0,'legh WW+droogt'!C57-D57-E57-F57))))),IF(LEGPLUIMVEE!$H$13="parallel geschakeld met warmtewisselaar",MIN(I$7,C57-D57-E57-F57,MIN(I$7,C57-E57-F57)),MIN(I$7,MAX(0,C57-D57-F57))))</f>
        <v>0</v>
      </c>
      <c r="H57" s="21">
        <f>IF(LEGPLUIMVEE!$H$13="parallel geschakeld met warmtewisselaar",IF(LEGPLUIMVEE!$L$9="nee",IF(LEGPLUIMVEE!$J$18="ja",C57-F57-G57,C57-D57-F57-G57),IF(LEGPLUIMVEE!$L$9="ja",IF(LEGPLUIMVEE!$J$18="ja",C57-G57,IF(LEGPLUIMVEE!$J$18="nee",C57-D57-G57)))),IF(LEGPLUIMVEE!$H$13="serie geschakeld met warmtewisselaar",IF(LEGPLUIMVEE!$J$18="ja",C57-G57,C57-D57-F57-G57),C57-D57-F57-G57))</f>
        <v>4.3379463372067004</v>
      </c>
      <c r="I57" s="121">
        <f t="shared" si="21"/>
        <v>4.3379463372067004</v>
      </c>
      <c r="J57" s="122">
        <v>2.1002000000000001</v>
      </c>
      <c r="K57" s="163">
        <f t="shared" si="22"/>
        <v>1.2577198243955141</v>
      </c>
      <c r="L57" s="164">
        <f>SUM(K$16:K57)/$K$73</f>
        <v>0.93727141925504875</v>
      </c>
      <c r="M57" s="22">
        <f t="shared" si="23"/>
        <v>1.2577198243955141</v>
      </c>
      <c r="N57" s="22">
        <f t="shared" si="51"/>
        <v>1.2577198243955141</v>
      </c>
      <c r="O57" s="312">
        <f>IF(E57&lt;I$3,P57*(1-I$6*D57/C57),
IF(LEGPLUIMVEE!$H$11="droogtunnel (platen) 55%",((K57-P57)/I$4-(K57-P57))*(1-I$6)+K57-(K57-P57)/I$4-
IF(D57&gt;E57,(D57-E57)/C57*(K57-P57)),
P57*(1-$I$6)+(C57-D57)/C57*(K57-P57*(1-I$6))))</f>
        <v>1.2577198243955141</v>
      </c>
      <c r="P57" s="162">
        <f t="shared" si="24"/>
        <v>1.2577198243955141</v>
      </c>
      <c r="Q57" s="181">
        <f t="shared" si="29"/>
        <v>1</v>
      </c>
      <c r="R57" s="184">
        <f t="shared" si="25"/>
        <v>1</v>
      </c>
      <c r="S57" s="166">
        <f t="shared" si="32"/>
        <v>1.2577198243955141</v>
      </c>
      <c r="T57" s="166">
        <f t="shared" si="26"/>
        <v>1.2577198243955141</v>
      </c>
      <c r="U57" s="283">
        <f>IF(G57&lt;0.1,K57,IF(C57=F57,S57/(1-I$4),IF(I$3=0,K57-(G57/C57)*K57*U$13,IF(LEGPLUIMVEE!$H$13="Parallel geschakeld met warmtewisselaar",K57-(K57-(K57-S57)/I$4)*(G57/(C57-F57))*U$13,IF(LEGPLUIMVEE!$H$20="ja",K57-(K57-(K57-P57)/I$4)*(G57/(C57-MIN(D57,I$5)))*U$13,K57-(K57-(K57-P57)/I$4)*(G57/(C57-MIN(D56,I$5)))*U$13)))))</f>
        <v>1.2577198243955141</v>
      </c>
      <c r="V57" s="258">
        <f t="shared" si="33"/>
        <v>0</v>
      </c>
      <c r="W57" s="274">
        <f t="shared" si="50"/>
        <v>1</v>
      </c>
      <c r="X57" s="22">
        <f t="shared" si="34"/>
        <v>1.2577198243955141</v>
      </c>
      <c r="Y57" s="177">
        <f t="shared" si="31"/>
        <v>0</v>
      </c>
      <c r="Z57" s="163">
        <f t="shared" si="35"/>
        <v>1.2577198243955141</v>
      </c>
      <c r="AA57" s="306"/>
      <c r="AB57" s="306"/>
      <c r="AC57" s="306"/>
      <c r="AD57" s="219">
        <f>IF(H57&lt;0.02,0,IF(LEGPLUIMVEE!$H$11="geen droogtunnel",IF(LEGPLUIMVEE!$H$15="geen warmtewisselaar",(P57-(K57-T57)/T$13),K57-(K57-O57)/I$6-(K57-T57)/95%)+IF(LEGPLUIMVEE!$J$18="ja",(K57-O57)*(1-I$6)),IF(LEGPLUIMVEE!$H$12&gt;=0,IF(LEGPLUIMVEE!$L$9="ja",IF(LEGPLUIMVEE!$J$18="ja",IF(LEGPLUIMVEE!$H$20="ja",O57-(K57-U57),IF(LEGPLUIMVEE!$H$20="nee",(O57-(K57-U57)),(O57-(K57-U57)))),IF(LEGPLUIMVEE!$J$18="nee",IF(LEGPLUIMVEE!$H$20="nee",O57-(K57-U57)/81%,O57-(K57-U57)))),IF(LEGPLUIMVEE!$L$9="nee",IF(LEGPLUIMVEE!$J$18="nee",IF(LEGPLUIMVEE!$H$20="nee",O57-(K57-U57)/95%,O57-(K57-U57)),IF(LEGPLUIMVEE!$H$20="nee",IF(LEGPLUIMVEE!$J$18="ja",IF(LEGPLUIMVEE!$L$9="nee",O57-(K57-U57))),O57-(K57-U57))))))))</f>
        <v>1.2577198243955141</v>
      </c>
      <c r="AE57" s="239">
        <f>IF(H57&lt;0.02,0,IF(LEGPLUIMVEE!$H$11="geen droogtunnel",IF(LEGPLUIMVEE!$H$15="geen warmtewisselaar",(K57-(K57-T57)/T$13),K57-(K57-N57)/I$6-((K57-T57)/95%))+IF(LEGPLUIMVEE!$J$18="ja",(K57-O57)*(1-I$6)),IF(LEGPLUIMVEE!$H$12&gt;=0,IF(LEGPLUIMVEE!$L$9="ja",IF(LEGPLUIMVEE!$J$18="ja",IF(LEGPLUIMVEE!$H$20="ja",S57-(K57-N57)-(K57-U57),IF(LEGPLUIMVEE!$H$20="nee",(S57-(K57-N57)-(K57-U57)),(O57-(K57-U57)))),IF(LEGPLUIMVEE!$J$18="nee",IF(LEGPLUIMVEE!$H$20="nee",S57*$N$72-(K57-N57)-(K57-U57),S57-(K57-N57)-(K57-U57)))),IF(LEGPLUIMVEE!$L$9="nee",IF(LEGPLUIMVEE!$J$18="nee",IF(LEGPLUIMVEE!$H$20="nee",(N57-(K57-S57)/I$4-(K57-U57)),N57-(K57-S57)/I$4-(K57-U57)),IF(LEGPLUIMVEE!$H$20="nee",IF(LEGPLUIMVEE!$J$18="ja",IF(LEGPLUIMVEE!$L$9="nee",N57-(K57-S57)/I$4-(K57-U57))),N57-(K57-S57)/I$4-(K57-U57))))))))</f>
        <v>1.2577198243955141</v>
      </c>
      <c r="AF57" s="219"/>
      <c r="AG57" s="164">
        <f t="shared" si="36"/>
        <v>1</v>
      </c>
      <c r="AH57" s="35">
        <f t="shared" si="37"/>
        <v>0</v>
      </c>
      <c r="AI57" s="36">
        <f t="shared" si="38"/>
        <v>2.1002000000000001</v>
      </c>
      <c r="AJ57" s="36">
        <f t="shared" si="39"/>
        <v>0</v>
      </c>
      <c r="AK57" s="37">
        <f t="shared" si="40"/>
        <v>0</v>
      </c>
      <c r="AL57" s="36">
        <f t="shared" si="28"/>
        <v>2.1002000000000001</v>
      </c>
      <c r="AM57" s="36">
        <f t="shared" si="41"/>
        <v>0</v>
      </c>
      <c r="AN57" s="37">
        <f t="shared" si="42"/>
        <v>4.3379463372067004</v>
      </c>
      <c r="AO57" s="36">
        <f t="shared" si="43"/>
        <v>1.2577198243955141</v>
      </c>
      <c r="AP57" s="38">
        <f t="shared" si="44"/>
        <v>1.2577198243955141</v>
      </c>
      <c r="AR57" s="123">
        <f t="shared" si="45"/>
        <v>2.1002000000000001</v>
      </c>
      <c r="AS57" s="123">
        <f t="shared" si="46"/>
        <v>2.0980998</v>
      </c>
      <c r="AT57" s="123">
        <f t="shared" si="47"/>
        <v>2.0980998</v>
      </c>
      <c r="AU57" s="123">
        <f t="shared" si="48"/>
        <v>1.2577198243955139</v>
      </c>
    </row>
    <row r="58" spans="1:47" x14ac:dyDescent="0.25">
      <c r="A58" s="6">
        <v>22</v>
      </c>
      <c r="B58" s="3">
        <v>103.08474576271186</v>
      </c>
      <c r="C58" s="4">
        <f>MIN(I2,4.53217085401369)</f>
        <v>4.5321708540136898</v>
      </c>
      <c r="D58" s="21">
        <f t="shared" si="20"/>
        <v>0</v>
      </c>
      <c r="E58" s="21">
        <f>IF(I$3=0,0,IF(LEGPLUIMVEE!$H$13="parallel geschakeld met warmtewisselaar",0,MIN(I$3,C58)))</f>
        <v>0</v>
      </c>
      <c r="F58" s="21">
        <f>IF(I$3=0,0,IF(LEGPLUIMVEE!$H$13="serie geschakeld met warmtewisselaar",0,IF(C58&lt;$I$3,C58-D58,MIN($I$3,C58-D58))))</f>
        <v>0</v>
      </c>
      <c r="G58" s="21">
        <f>IF(C58&lt;$I$7,MAX(0,C58-D58-E58-F58,IF(LEGPLUIMVEE!$H$15="warmtewisselaar",IF(LEGPLUIMVEE!$H$13="serie geschakeld met warmtewisselaar",MIN(I$7,MAX(0,C58-D58-F58)),MIN(I$7,MAX(0,'legh WW+droogt'!C58-D58-E58-F58))))),IF(LEGPLUIMVEE!$H$13="parallel geschakeld met warmtewisselaar",MIN(I$7,C58-D58-E58-F58,MIN(I$7,C58-E58-F58)),MIN(I$7,MAX(0,C58-D58-F58))))</f>
        <v>0</v>
      </c>
      <c r="H58" s="250">
        <f>IF(LEGPLUIMVEE!$H$13="parallel geschakeld met warmtewisselaar",IF(LEGPLUIMVEE!$L$9="nee",IF(LEGPLUIMVEE!$J$18="ja",C58-F58-G58,C58-D58-F58-G58),IF(LEGPLUIMVEE!$L$9="ja",IF(LEGPLUIMVEE!$J$18="ja",C58-G58,IF(LEGPLUIMVEE!$J$18="nee",C58-D58-G58)))),IF(LEGPLUIMVEE!$H$13="serie geschakeld met warmtewisselaar",IF(LEGPLUIMVEE!$J$18="ja",C58-G58,C58-D58-F58-G58),C58-D58-F58-G58))</f>
        <v>4.5321708540136898</v>
      </c>
      <c r="I58" s="121">
        <f t="shared" si="21"/>
        <v>4.5321708540136898</v>
      </c>
      <c r="J58" s="122">
        <v>2.0461</v>
      </c>
      <c r="K58" s="163">
        <f t="shared" si="22"/>
        <v>0.95593317353737373</v>
      </c>
      <c r="L58" s="164">
        <f>SUM(K$16:K58)/$K$73</f>
        <v>0.95287122896221277</v>
      </c>
      <c r="M58" s="22">
        <f t="shared" si="23"/>
        <v>0.95593317353737373</v>
      </c>
      <c r="N58" s="22">
        <f t="shared" si="51"/>
        <v>0.95593317353737373</v>
      </c>
      <c r="O58" s="312">
        <f>IF(E58&lt;I$3,P58*(1-I$6*D58/C58),
IF(LEGPLUIMVEE!$H$11="droogtunnel (platen) 55%",((K58-P58)/I$4-(K58-P58))*(1-I$6)+K58-(K58-P58)/I$4-
IF(D58&gt;E58,(D58-E58)/C58*(K58-P58)),
P58*(1-$I$6)+(C58-D58)/C58*(K58-P58*(1-I$6))))</f>
        <v>0.95593317353737373</v>
      </c>
      <c r="P58" s="162">
        <f t="shared" si="24"/>
        <v>0.95593317353737373</v>
      </c>
      <c r="Q58" s="181">
        <f t="shared" si="29"/>
        <v>1</v>
      </c>
      <c r="R58" s="184">
        <f t="shared" si="25"/>
        <v>1</v>
      </c>
      <c r="S58" s="166">
        <f t="shared" si="32"/>
        <v>0.95593317353737373</v>
      </c>
      <c r="T58" s="166">
        <f t="shared" si="26"/>
        <v>0.95593317353737373</v>
      </c>
      <c r="U58" s="283">
        <f>IF(G58&lt;0.1,K58,IF(C58=F58,S58/(1-I$4),IF(I$3=0,K58-(G58/C58)*K58*U$13,IF(LEGPLUIMVEE!$H$13="Parallel geschakeld met warmtewisselaar",K58-(K58-(K58-S58)/I$4)*(G58/(C58-F58))*U$13,IF(LEGPLUIMVEE!$H$20="ja",K58-(K58-(K58-P58)/I$4)*(G58/(C58-MIN(D58,I$5)))*U$13,K58-(K58-(K58-P58)/I$4)*(G58/(C58-MIN(D57,I$5)))*U$13)))))</f>
        <v>0.95593317353737373</v>
      </c>
      <c r="V58" s="258">
        <f t="shared" si="33"/>
        <v>0</v>
      </c>
      <c r="W58" s="274">
        <f t="shared" si="50"/>
        <v>1</v>
      </c>
      <c r="X58" s="22">
        <f t="shared" si="34"/>
        <v>0.95593317353737373</v>
      </c>
      <c r="Y58" s="177">
        <f t="shared" si="31"/>
        <v>0</v>
      </c>
      <c r="Z58" s="163">
        <f t="shared" si="35"/>
        <v>0.95593317353737373</v>
      </c>
      <c r="AA58" s="306"/>
      <c r="AB58" s="306"/>
      <c r="AC58" s="306"/>
      <c r="AD58" s="219">
        <f>IF(H58&lt;0.02,0,IF(LEGPLUIMVEE!$H$11="geen droogtunnel",IF(LEGPLUIMVEE!$H$15="geen warmtewisselaar",(P58-(K58-T58)/T$13),K58-(K58-O58)/I$6-(K58-T58)/95%)+IF(LEGPLUIMVEE!$J$18="ja",(K58-O58)*(1-I$6)),IF(LEGPLUIMVEE!$H$12&gt;=0,IF(LEGPLUIMVEE!$L$9="ja",IF(LEGPLUIMVEE!$J$18="ja",IF(LEGPLUIMVEE!$H$20="ja",O58-(K58-U58),IF(LEGPLUIMVEE!$H$20="nee",(O58-(K58-U58)),(O58-(K58-U58)))),IF(LEGPLUIMVEE!$J$18="nee",IF(LEGPLUIMVEE!$H$20="nee",O58-(K58-U58)/81%,O58-(K58-U58)))),IF(LEGPLUIMVEE!$L$9="nee",IF(LEGPLUIMVEE!$J$18="nee",IF(LEGPLUIMVEE!$H$20="nee",O58-(K58-U58)/95%,O58-(K58-U58)),IF(LEGPLUIMVEE!$H$20="nee",IF(LEGPLUIMVEE!$J$18="ja",IF(LEGPLUIMVEE!$L$9="nee",O58-(K58-U58))),O58-(K58-U58))))))))</f>
        <v>0.95593317353737373</v>
      </c>
      <c r="AE58" s="239">
        <f>IF(H58&lt;0.02,0,IF(LEGPLUIMVEE!$H$11="geen droogtunnel",IF(LEGPLUIMVEE!$H$15="geen warmtewisselaar",(K58-(K58-T58)/T$13),K58-(K58-N58)/I$6-((K58-T58)/95%))+IF(LEGPLUIMVEE!$J$18="ja",(K58-O58)*(1-I$6)),IF(LEGPLUIMVEE!$H$12&gt;=0,IF(LEGPLUIMVEE!$L$9="ja",IF(LEGPLUIMVEE!$J$18="ja",IF(LEGPLUIMVEE!$H$20="ja",S58-(K58-N58)-(K58-U58),IF(LEGPLUIMVEE!$H$20="nee",(S58-(K58-N58)-(K58-U58)),(O58-(K58-U58)))),IF(LEGPLUIMVEE!$J$18="nee",IF(LEGPLUIMVEE!$H$20="nee",S58*$N$72-(K58-N58)-(K58-U58),S58-(K58-N58)-(K58-U58)))),IF(LEGPLUIMVEE!$L$9="nee",IF(LEGPLUIMVEE!$J$18="nee",IF(LEGPLUIMVEE!$H$20="nee",(N58-(K58-S58)/I$4-(K58-U58)),N58-(K58-S58)/I$4-(K58-U58)),IF(LEGPLUIMVEE!$H$20="nee",IF(LEGPLUIMVEE!$J$18="ja",IF(LEGPLUIMVEE!$L$9="nee",N58-(K58-S58)/I$4-(K58-U58))),N58-(K58-S58)/I$4-(K58-U58))))))))</f>
        <v>0.95593317353737373</v>
      </c>
      <c r="AF58" s="219"/>
      <c r="AG58" s="164">
        <f t="shared" si="36"/>
        <v>1</v>
      </c>
      <c r="AH58" s="35">
        <f t="shared" si="37"/>
        <v>0</v>
      </c>
      <c r="AI58" s="36">
        <f t="shared" si="38"/>
        <v>2.0461</v>
      </c>
      <c r="AJ58" s="36">
        <f t="shared" si="39"/>
        <v>0</v>
      </c>
      <c r="AK58" s="37">
        <f t="shared" si="40"/>
        <v>0</v>
      </c>
      <c r="AL58" s="36">
        <f t="shared" si="28"/>
        <v>2.0461</v>
      </c>
      <c r="AM58" s="36">
        <f t="shared" si="41"/>
        <v>0</v>
      </c>
      <c r="AN58" s="37">
        <f t="shared" si="42"/>
        <v>4.5321708540136898</v>
      </c>
      <c r="AO58" s="36">
        <f t="shared" si="43"/>
        <v>0.95593317353737373</v>
      </c>
      <c r="AP58" s="38">
        <f t="shared" si="44"/>
        <v>0.95593317353737373</v>
      </c>
      <c r="AR58" s="123">
        <f t="shared" si="45"/>
        <v>2.0461</v>
      </c>
      <c r="AS58" s="123">
        <f t="shared" si="46"/>
        <v>2.0440539000000002</v>
      </c>
      <c r="AT58" s="123">
        <f t="shared" si="47"/>
        <v>2.0440539000000002</v>
      </c>
      <c r="AU58" s="123">
        <f t="shared" si="48"/>
        <v>0.95593317353737361</v>
      </c>
    </row>
    <row r="59" spans="1:47" x14ac:dyDescent="0.25">
      <c r="A59" s="6">
        <v>23</v>
      </c>
      <c r="B59" s="3">
        <v>80.169491525423723</v>
      </c>
      <c r="C59" s="5">
        <f>MIN(I2,4.7350914587841)</f>
        <v>4.7350914587841002</v>
      </c>
      <c r="D59" s="21">
        <f t="shared" si="20"/>
        <v>0</v>
      </c>
      <c r="E59" s="21">
        <f>IF(I$3=0,0,IF(LEGPLUIMVEE!$H$13="parallel geschakeld met warmtewisselaar",0,MIN(I$3,C59)))</f>
        <v>0</v>
      </c>
      <c r="F59" s="21">
        <f>IF(I$3=0,0,IF(LEGPLUIMVEE!$H$13="serie geschakeld met warmtewisselaar",0,IF(C59&lt;$I$3,C59-D59,MIN($I$3,C59-D59))))</f>
        <v>0</v>
      </c>
      <c r="G59" s="21">
        <f>IF(C59&lt;$I$7,MAX(0,C59-D59-E59-F59,IF(LEGPLUIMVEE!$H$15="warmtewisselaar",IF(LEGPLUIMVEE!$H$13="serie geschakeld met warmtewisselaar",MIN(I$7,MAX(0,C59-D59-F59)),MIN(I$7,MAX(0,'legh WW+droogt'!C59-D59-E59-F59))))),IF(LEGPLUIMVEE!$H$13="parallel geschakeld met warmtewisselaar",MIN(I$7,C59-D59-E59-F59,MIN(I$7,C59-E59-F59)),MIN(I$7,MAX(0,C59-D59-F59))))</f>
        <v>0</v>
      </c>
      <c r="H59" s="21">
        <f>IF(LEGPLUIMVEE!$H$13="parallel geschakeld met warmtewisselaar",IF(LEGPLUIMVEE!$L$9="nee",IF(LEGPLUIMVEE!$J$18="ja",C59-F59-G59,C59-D59-F59-G59),IF(LEGPLUIMVEE!$L$9="ja",IF(LEGPLUIMVEE!$J$18="ja",C59-G59,IF(LEGPLUIMVEE!$J$18="nee",C59-D59-G59)))),IF(LEGPLUIMVEE!$H$13="serie geschakeld met warmtewisselaar",IF(LEGPLUIMVEE!$J$18="ja",C59-G59,C59-D59-F59-G59),C59-D59-F59-G59))</f>
        <v>4.7350914587841002</v>
      </c>
      <c r="I59" s="121">
        <f t="shared" si="21"/>
        <v>4.7350914587841002</v>
      </c>
      <c r="J59" s="122">
        <v>1.992</v>
      </c>
      <c r="K59" s="163">
        <f t="shared" si="22"/>
        <v>0.75618287015757957</v>
      </c>
      <c r="L59" s="164">
        <f>SUM(K$16:K59)/$K$73</f>
        <v>0.96521132678999688</v>
      </c>
      <c r="M59" s="22">
        <f t="shared" si="23"/>
        <v>0.75618287015757957</v>
      </c>
      <c r="N59" s="22">
        <f t="shared" si="51"/>
        <v>0.75618287015757957</v>
      </c>
      <c r="O59" s="312">
        <f>IF(E59&lt;I$3,P59*(1-I$6*D59/C59),
IF(LEGPLUIMVEE!$H$11="droogtunnel (platen) 55%",((K59-P59)/I$4-(K59-P59))*(1-I$6)+K59-(K59-P59)/I$4-
IF(D59&gt;E59,(D59-E59)/C59*(K59-P59)),
P59*(1-$I$6)+(C59-D59)/C59*(K59-P59*(1-I$6))))</f>
        <v>0.75618287015757957</v>
      </c>
      <c r="P59" s="162">
        <f t="shared" si="24"/>
        <v>0.75618287015757957</v>
      </c>
      <c r="Q59" s="181">
        <f t="shared" si="29"/>
        <v>1</v>
      </c>
      <c r="R59" s="184">
        <f t="shared" si="25"/>
        <v>1</v>
      </c>
      <c r="S59" s="166">
        <f t="shared" si="32"/>
        <v>0.75618287015757957</v>
      </c>
      <c r="T59" s="166">
        <f t="shared" si="26"/>
        <v>0.75618287015757957</v>
      </c>
      <c r="U59" s="283">
        <f>IF(G59&lt;0.1,K59,IF(C59=F59,S59/(1-I$4),IF(I$3=0,K59-(G59/C59)*K59*U$13,IF(LEGPLUIMVEE!$H$13="Parallel geschakeld met warmtewisselaar",K59-(K59-(K59-S59)/I$4)*(G59/(C59-F59))*U$13,IF(LEGPLUIMVEE!$H$20="ja",K59-(K59-(K59-P59)/I$4)*(G59/(C59-MIN(D59,I$5)))*U$13,K59-(K59-(K59-P59)/I$4)*(G59/(C59-MIN(D58,I$5)))*U$13)))))</f>
        <v>0.75618287015757957</v>
      </c>
      <c r="V59" s="258">
        <f t="shared" si="33"/>
        <v>0</v>
      </c>
      <c r="W59" s="274">
        <f t="shared" si="50"/>
        <v>1</v>
      </c>
      <c r="X59" s="22">
        <f t="shared" si="34"/>
        <v>0.75618287015757957</v>
      </c>
      <c r="Y59" s="177">
        <f t="shared" si="31"/>
        <v>0</v>
      </c>
      <c r="Z59" s="163">
        <f t="shared" si="35"/>
        <v>0.75618287015757957</v>
      </c>
      <c r="AA59" s="306"/>
      <c r="AB59" s="306"/>
      <c r="AC59" s="306"/>
      <c r="AD59" s="219">
        <f>IF(H59&lt;0.02,0,IF(LEGPLUIMVEE!$H$11="geen droogtunnel",IF(LEGPLUIMVEE!$H$15="geen warmtewisselaar",(P59-(K59-T59)/T$13),K59-(K59-O59)/I$6-(K59-T59)/95%)+IF(LEGPLUIMVEE!$J$18="ja",(K59-O59)*(1-I$6)),IF(LEGPLUIMVEE!$H$12&gt;=0,IF(LEGPLUIMVEE!$L$9="ja",IF(LEGPLUIMVEE!$J$18="ja",IF(LEGPLUIMVEE!$H$20="ja",O59-(K59-U59),IF(LEGPLUIMVEE!$H$20="nee",(O59-(K59-U59)),(O59-(K59-U59)))),IF(LEGPLUIMVEE!$J$18="nee",IF(LEGPLUIMVEE!$H$20="nee",O59-(K59-U59)/81%,O59-(K59-U59)))),IF(LEGPLUIMVEE!$L$9="nee",IF(LEGPLUIMVEE!$J$18="nee",IF(LEGPLUIMVEE!$H$20="nee",O59-(K59-U59)/95%,O59-(K59-U59)),IF(LEGPLUIMVEE!$H$20="nee",IF(LEGPLUIMVEE!$J$18="ja",IF(LEGPLUIMVEE!$L$9="nee",O59-(K59-U59))),O59-(K59-U59))))))))</f>
        <v>0.75618287015757957</v>
      </c>
      <c r="AE59" s="239">
        <f>IF(H59&lt;0.02,0,IF(LEGPLUIMVEE!$H$11="geen droogtunnel",IF(LEGPLUIMVEE!$H$15="geen warmtewisselaar",(K59-(K59-T59)/T$13),K59-(K59-N59)/I$6-((K59-T59)/95%))+IF(LEGPLUIMVEE!$J$18="ja",(K59-O59)*(1-I$6)),IF(LEGPLUIMVEE!$H$12&gt;=0,IF(LEGPLUIMVEE!$L$9="ja",IF(LEGPLUIMVEE!$J$18="ja",IF(LEGPLUIMVEE!$H$20="ja",S59-(K59-N59)-(K59-U59),IF(LEGPLUIMVEE!$H$20="nee",(S59-(K59-N59)-(K59-U59)),(O59-(K59-U59)))),IF(LEGPLUIMVEE!$J$18="nee",IF(LEGPLUIMVEE!$H$20="nee",S59*$N$72-(K59-N59)-(K59-U59),S59-(K59-N59)-(K59-U59)))),IF(LEGPLUIMVEE!$L$9="nee",IF(LEGPLUIMVEE!$J$18="nee",IF(LEGPLUIMVEE!$H$20="nee",(N59-(K59-S59)/I$4-(K59-U59)),N59-(K59-S59)/I$4-(K59-U59)),IF(LEGPLUIMVEE!$H$20="nee",IF(LEGPLUIMVEE!$J$18="ja",IF(LEGPLUIMVEE!$L$9="nee",N59-(K59-S59)/I$4-(K59-U59))),N59-(K59-S59)/I$4-(K59-U59))))))))</f>
        <v>0.75618287015757957</v>
      </c>
      <c r="AF59" s="219"/>
      <c r="AG59" s="164">
        <f t="shared" si="36"/>
        <v>1</v>
      </c>
      <c r="AH59" s="35">
        <f t="shared" si="37"/>
        <v>0</v>
      </c>
      <c r="AI59" s="36">
        <f t="shared" si="38"/>
        <v>1.992</v>
      </c>
      <c r="AJ59" s="36">
        <f t="shared" si="39"/>
        <v>0</v>
      </c>
      <c r="AK59" s="37">
        <f t="shared" si="40"/>
        <v>0</v>
      </c>
      <c r="AL59" s="36">
        <f t="shared" si="28"/>
        <v>1.992</v>
      </c>
      <c r="AM59" s="36">
        <f t="shared" si="41"/>
        <v>0</v>
      </c>
      <c r="AN59" s="37">
        <f t="shared" si="42"/>
        <v>4.7350914587841002</v>
      </c>
      <c r="AO59" s="36">
        <f t="shared" si="43"/>
        <v>0.75618287015757957</v>
      </c>
      <c r="AP59" s="38">
        <f t="shared" si="44"/>
        <v>0.75618287015757957</v>
      </c>
      <c r="AR59" s="123">
        <f t="shared" si="45"/>
        <v>1.992</v>
      </c>
      <c r="AS59" s="123">
        <f t="shared" si="46"/>
        <v>1.990008</v>
      </c>
      <c r="AT59" s="123">
        <f t="shared" si="47"/>
        <v>1.990008</v>
      </c>
      <c r="AU59" s="123">
        <f t="shared" si="48"/>
        <v>0.75618287015757957</v>
      </c>
    </row>
    <row r="60" spans="1:47" x14ac:dyDescent="0.25">
      <c r="A60" s="6">
        <v>24</v>
      </c>
      <c r="B60" s="3">
        <v>59.915254237288138</v>
      </c>
      <c r="C60" s="5">
        <f>MIN(I2,4.94709750476287)</f>
        <v>4.94709750476287</v>
      </c>
      <c r="D60" s="21">
        <f t="shared" si="20"/>
        <v>0</v>
      </c>
      <c r="E60" s="21">
        <f>IF(I$3=0,0,IF(LEGPLUIMVEE!$H$13="parallel geschakeld met warmtewisselaar",0,MIN(I$3,C60)))</f>
        <v>0</v>
      </c>
      <c r="F60" s="21">
        <f>IF(I$3=0,0,IF(LEGPLUIMVEE!$H$13="serie geschakeld met warmtewisselaar",0,IF(C60&lt;$I$3,C60-D60,MIN($I$3,C60-D60))))</f>
        <v>0</v>
      </c>
      <c r="G60" s="21">
        <f>IF(C60&lt;$I$7,MAX(0,C60-D60-E60-F60,IF(LEGPLUIMVEE!$H$15="warmtewisselaar",IF(LEGPLUIMVEE!$H$13="serie geschakeld met warmtewisselaar",MIN(I$7,MAX(0,C60-D60-F60)),MIN(I$7,MAX(0,'legh WW+droogt'!C60-D60-E60-F60))))),IF(LEGPLUIMVEE!$H$13="parallel geschakeld met warmtewisselaar",MIN(I$7,C60-D60-E60-F60,MIN(I$7,C60-E60-F60)),MIN(I$7,MAX(0,C60-D60-F60))))</f>
        <v>0</v>
      </c>
      <c r="H60" s="21">
        <f>IF(LEGPLUIMVEE!$H$13="parallel geschakeld met warmtewisselaar",IF(LEGPLUIMVEE!$L$9="nee",IF(LEGPLUIMVEE!$J$18="ja",C60-F60-G60,C60-D60-F60-G60),IF(LEGPLUIMVEE!$L$9="ja",IF(LEGPLUIMVEE!$J$18="ja",C60-G60,IF(LEGPLUIMVEE!$J$18="nee",C60-D60-G60)))),IF(LEGPLUIMVEE!$H$13="serie geschakeld met warmtewisselaar",IF(LEGPLUIMVEE!$J$18="ja",C60-G60,C60-D60-F60-G60),C60-D60-F60-G60))</f>
        <v>4.94709750476287</v>
      </c>
      <c r="I60" s="121">
        <f t="shared" si="21"/>
        <v>4.94709750476287</v>
      </c>
      <c r="J60" s="175">
        <v>1.9379</v>
      </c>
      <c r="K60" s="183">
        <f t="shared" si="22"/>
        <v>0.57440635931502848</v>
      </c>
      <c r="L60" s="164">
        <f>SUM(K$16:K60)/$K$73</f>
        <v>0.97458502586013263</v>
      </c>
      <c r="M60" s="22">
        <f t="shared" si="23"/>
        <v>0.57440635931502848</v>
      </c>
      <c r="N60" s="22">
        <f t="shared" si="51"/>
        <v>0.57440635931502848</v>
      </c>
      <c r="O60" s="312">
        <f>IF(E60&lt;I$3,P60*(1-I$6*D60/C60),
IF(LEGPLUIMVEE!$H$11="droogtunnel (platen) 55%",((K60-P60)/I$4-(K60-P60))*(1-I$6)+K60-(K60-P60)/I$4-
IF(D60&gt;E60,(D60-E60)/C60*(K60-P60)),
P60*(1-$I$6)+(C60-D60)/C60*(K60-P60*(1-I$6))))</f>
        <v>0.57440635931502848</v>
      </c>
      <c r="P60" s="162">
        <f t="shared" si="24"/>
        <v>0.57440635931502848</v>
      </c>
      <c r="Q60" s="181">
        <f t="shared" si="29"/>
        <v>1</v>
      </c>
      <c r="R60" s="184">
        <f t="shared" si="25"/>
        <v>1</v>
      </c>
      <c r="S60" s="166">
        <f t="shared" si="32"/>
        <v>0.57440635931502848</v>
      </c>
      <c r="T60" s="166">
        <f t="shared" si="26"/>
        <v>0.57440635931502848</v>
      </c>
      <c r="U60" s="283">
        <f>IF(G60&lt;0.1,K60,IF(C60=F60,S60/(1-I$4),IF(I$3=0,K60-(G60/C60)*K60*U$13,IF(LEGPLUIMVEE!$H$13="Parallel geschakeld met warmtewisselaar",K60-(K60-(K60-S60)/I$4)*(G60/(C60-F60))*U$13,IF(LEGPLUIMVEE!$H$20="ja",K60-(K60-(K60-P60)/I$4)*(G60/(C60-MIN(D60,I$5)))*U$13,K60-(K60-(K60-P60)/I$4)*(G60/(C60-MIN(D59,I$5)))*U$13)))))</f>
        <v>0.57440635931502848</v>
      </c>
      <c r="V60" s="258">
        <f t="shared" si="33"/>
        <v>0</v>
      </c>
      <c r="W60" s="274">
        <f t="shared" si="50"/>
        <v>1</v>
      </c>
      <c r="X60" s="22">
        <f t="shared" si="34"/>
        <v>0.57440635931502848</v>
      </c>
      <c r="Y60" s="177">
        <f t="shared" si="31"/>
        <v>0</v>
      </c>
      <c r="Z60" s="163">
        <f t="shared" si="35"/>
        <v>0.57440635931502848</v>
      </c>
      <c r="AA60" s="306"/>
      <c r="AB60" s="306"/>
      <c r="AC60" s="306"/>
      <c r="AD60" s="219">
        <f>IF(H60&lt;0.02,0,IF(LEGPLUIMVEE!$H$11="geen droogtunnel",IF(LEGPLUIMVEE!$H$15="geen warmtewisselaar",(P60-(K60-T60)/T$13),K60-(K60-O60)/I$6-(K60-T60)/95%)+IF(LEGPLUIMVEE!$J$18="ja",(K60-O60)*(1-I$6)),IF(LEGPLUIMVEE!$H$12&gt;=0,IF(LEGPLUIMVEE!$L$9="ja",IF(LEGPLUIMVEE!$J$18="ja",IF(LEGPLUIMVEE!$H$20="ja",O60-(K60-U60),IF(LEGPLUIMVEE!$H$20="nee",(O60-(K60-U60)),(O60-(K60-U60)))),IF(LEGPLUIMVEE!$J$18="nee",IF(LEGPLUIMVEE!$H$20="nee",O60-(K60-U60)/81%,O60-(K60-U60)))),IF(LEGPLUIMVEE!$L$9="nee",IF(LEGPLUIMVEE!$J$18="nee",IF(LEGPLUIMVEE!$H$20="nee",O60-(K60-U60)/95%,O60-(K60-U60)),IF(LEGPLUIMVEE!$H$20="nee",IF(LEGPLUIMVEE!$J$18="ja",IF(LEGPLUIMVEE!$L$9="nee",O60-(K60-U60))),O60-(K60-U60))))))))</f>
        <v>0.57440635931502848</v>
      </c>
      <c r="AE60" s="239">
        <f>IF(H60&lt;0.02,0,IF(LEGPLUIMVEE!$H$11="geen droogtunnel",IF(LEGPLUIMVEE!$H$15="geen warmtewisselaar",(K60-(K60-T60)/T$13),K60-(K60-N60)/I$6-((K60-T60)/95%))+IF(LEGPLUIMVEE!$J$18="ja",(K60-O60)*(1-I$6)),IF(LEGPLUIMVEE!$H$12&gt;=0,IF(LEGPLUIMVEE!$L$9="ja",IF(LEGPLUIMVEE!$J$18="ja",IF(LEGPLUIMVEE!$H$20="ja",S60-(K60-N60)-(K60-U60),IF(LEGPLUIMVEE!$H$20="nee",(S60-(K60-N60)-(K60-U60)),(O60-(K60-U60)))),IF(LEGPLUIMVEE!$J$18="nee",IF(LEGPLUIMVEE!$H$20="nee",S60*$N$72-(K60-N60)-(K60-U60),S60-(K60-N60)-(K60-U60)))),IF(LEGPLUIMVEE!$L$9="nee",IF(LEGPLUIMVEE!$J$18="nee",IF(LEGPLUIMVEE!$H$20="nee",(N60-(K60-S60)/I$4-(K60-U60)),N60-(K60-S60)/I$4-(K60-U60)),IF(LEGPLUIMVEE!$H$20="nee",IF(LEGPLUIMVEE!$J$18="ja",IF(LEGPLUIMVEE!$L$9="nee",N60-(K60-S60)/I$4-(K60-U60))),N60-(K60-S60)/I$4-(K60-U60))))))))</f>
        <v>0.57440635931502848</v>
      </c>
      <c r="AF60" s="219"/>
      <c r="AG60" s="164">
        <f t="shared" si="36"/>
        <v>1</v>
      </c>
      <c r="AH60" s="35">
        <f t="shared" si="37"/>
        <v>0</v>
      </c>
      <c r="AI60" s="36">
        <f t="shared" si="38"/>
        <v>1.9379</v>
      </c>
      <c r="AJ60" s="36">
        <f t="shared" si="39"/>
        <v>0</v>
      </c>
      <c r="AK60" s="37">
        <f t="shared" si="40"/>
        <v>0</v>
      </c>
      <c r="AL60" s="36">
        <f t="shared" si="28"/>
        <v>1.9379</v>
      </c>
      <c r="AM60" s="36">
        <f t="shared" si="41"/>
        <v>0</v>
      </c>
      <c r="AN60" s="37">
        <f t="shared" si="42"/>
        <v>4.94709750476287</v>
      </c>
      <c r="AO60" s="36">
        <f t="shared" si="43"/>
        <v>0.57440635931502848</v>
      </c>
      <c r="AP60" s="38">
        <f t="shared" si="44"/>
        <v>0.57440635931502848</v>
      </c>
      <c r="AR60" s="123">
        <f t="shared" si="45"/>
        <v>1.9379</v>
      </c>
      <c r="AS60" s="123">
        <f t="shared" si="46"/>
        <v>1.9359621</v>
      </c>
      <c r="AT60" s="123">
        <f t="shared" si="47"/>
        <v>1.9359621</v>
      </c>
      <c r="AU60" s="123">
        <f t="shared" si="48"/>
        <v>0.57440635931502848</v>
      </c>
    </row>
    <row r="61" spans="1:47" x14ac:dyDescent="0.25">
      <c r="A61" s="6">
        <v>25</v>
      </c>
      <c r="B61" s="3">
        <v>46.016949152542374</v>
      </c>
      <c r="C61" s="5">
        <f>MIN(I2,5.16859577785546)</f>
        <v>5.1685957778554599</v>
      </c>
      <c r="D61" s="21">
        <f t="shared" si="20"/>
        <v>0</v>
      </c>
      <c r="E61" s="21">
        <f>IF(I$3=0,0,IF(LEGPLUIMVEE!$H$13="parallel geschakeld met warmtewisselaar",0,MIN(I$3,C61)))</f>
        <v>0</v>
      </c>
      <c r="F61" s="21">
        <f>IF(I$3=0,0,IF(LEGPLUIMVEE!$H$13="serie geschakeld met warmtewisselaar",0,IF(C61&lt;$I$3,C61-D61,MIN($I$3,C61-D61))))</f>
        <v>0</v>
      </c>
      <c r="G61" s="21">
        <f>IF(C61&lt;$I$7,MAX(0,C61-D61-E61-F61,IF(LEGPLUIMVEE!$H$15="warmtewisselaar",IF(LEGPLUIMVEE!$H$13="serie geschakeld met warmtewisselaar",MIN(I$7,MAX(0,C61-D61-F61)),MIN(I$7,MAX(0,'legh WW+droogt'!C61-D61-E61-F61))))),IF(LEGPLUIMVEE!$H$13="parallel geschakeld met warmtewisselaar",MIN(I$7,C61-D61-E61-F61,MIN(I$7,C61-E61-F61)),MIN(I$7,MAX(0,C61-D61-F61))))</f>
        <v>0</v>
      </c>
      <c r="H61" s="21">
        <f>IF(LEGPLUIMVEE!$H$13="parallel geschakeld met warmtewisselaar",IF(LEGPLUIMVEE!$L$9="nee",IF(LEGPLUIMVEE!$J$18="ja",C61-F61-G61,C61-D61-F61-G61),IF(LEGPLUIMVEE!$L$9="ja",IF(LEGPLUIMVEE!$J$18="ja",C61-G61,IF(LEGPLUIMVEE!$J$18="nee",C61-D61-G61)))),IF(LEGPLUIMVEE!$H$13="serie geschakeld met warmtewisselaar",IF(LEGPLUIMVEE!$J$18="ja",C61-G61,C61-D61-F61-G61),C61-D61-F61-G61))</f>
        <v>5.1685957778554599</v>
      </c>
      <c r="I61" s="121">
        <f t="shared" si="21"/>
        <v>5.1685957778554599</v>
      </c>
      <c r="J61" s="175">
        <v>1.8837999999999999</v>
      </c>
      <c r="K61" s="183">
        <f t="shared" si="22"/>
        <v>0.44804866054186393</v>
      </c>
      <c r="L61" s="164">
        <f>SUM(K$16:K61)/$K$73</f>
        <v>0.98189670207086466</v>
      </c>
      <c r="M61" s="22">
        <f t="shared" si="23"/>
        <v>0.44804866054186393</v>
      </c>
      <c r="N61" s="22">
        <f t="shared" si="51"/>
        <v>0.44804866054186393</v>
      </c>
      <c r="O61" s="312">
        <f>IF(E61&lt;I$3,P61*(1-I$6*D61/C61),
IF(LEGPLUIMVEE!$H$11="droogtunnel (platen) 55%",((K61-P61)/I$4-(K61-P61))*(1-I$6)+K61-(K61-P61)/I$4-
IF(D61&gt;E61,(D61-E61)/C61*(K61-P61)),
P61*(1-$I$6)+(C61-D61)/C61*(K61-P61*(1-I$6))))</f>
        <v>0.44804866054186393</v>
      </c>
      <c r="P61" s="162">
        <f t="shared" si="24"/>
        <v>0.44804866054186393</v>
      </c>
      <c r="Q61" s="181">
        <f t="shared" si="29"/>
        <v>1</v>
      </c>
      <c r="R61" s="184">
        <f t="shared" si="25"/>
        <v>1</v>
      </c>
      <c r="S61" s="166">
        <f t="shared" si="32"/>
        <v>0.44804866054186393</v>
      </c>
      <c r="T61" s="166">
        <f t="shared" si="26"/>
        <v>0.44804866054186393</v>
      </c>
      <c r="U61" s="283">
        <f>IF(G61&lt;0.1,K61,IF(C61=F61,S61/(1-I$4),IF(I$3=0,K61-(G61/C61)*K61*U$13,IF(LEGPLUIMVEE!$H$13="Parallel geschakeld met warmtewisselaar",K61-(K61-(K61-S61)/I$4)*(G61/(C61-F61))*U$13,IF(LEGPLUIMVEE!$H$20="ja",K61-(K61-(K61-P61)/I$4)*(G61/(C61-MIN(D61,I$5)))*U$13,K61-(K61-(K61-P61)/I$4)*(G61/(C61-MIN(D60,I$5)))*U$13)))))</f>
        <v>0.44804866054186393</v>
      </c>
      <c r="V61" s="258">
        <f t="shared" si="33"/>
        <v>0</v>
      </c>
      <c r="W61" s="274">
        <f t="shared" si="50"/>
        <v>1</v>
      </c>
      <c r="X61" s="22">
        <f t="shared" si="34"/>
        <v>0.44804866054186393</v>
      </c>
      <c r="Y61" s="177">
        <f t="shared" si="31"/>
        <v>0</v>
      </c>
      <c r="Z61" s="163">
        <f t="shared" si="35"/>
        <v>0.44804866054186393</v>
      </c>
      <c r="AA61" s="306"/>
      <c r="AB61" s="306"/>
      <c r="AC61" s="306"/>
      <c r="AD61" s="219">
        <f>IF(H61&lt;0.02,0,IF(LEGPLUIMVEE!$H$11="geen droogtunnel",IF(LEGPLUIMVEE!$H$15="geen warmtewisselaar",(P61-(K61-T61)/T$13),K61-(K61-O61)/I$6-(K61-T61)/95%)+IF(LEGPLUIMVEE!$J$18="ja",(K61-O61)*(1-I$6)),IF(LEGPLUIMVEE!$H$12&gt;=0,IF(LEGPLUIMVEE!$L$9="ja",IF(LEGPLUIMVEE!$J$18="ja",IF(LEGPLUIMVEE!$H$20="ja",O61-(K61-U61),IF(LEGPLUIMVEE!$H$20="nee",(O61-(K61-U61)),(O61-(K61-U61)))),IF(LEGPLUIMVEE!$J$18="nee",IF(LEGPLUIMVEE!$H$20="nee",O61-(K61-U61)/81%,O61-(K61-U61)))),IF(LEGPLUIMVEE!$L$9="nee",IF(LEGPLUIMVEE!$J$18="nee",IF(LEGPLUIMVEE!$H$20="nee",O61-(K61-U61)/95%,O61-(K61-U61)),IF(LEGPLUIMVEE!$H$20="nee",IF(LEGPLUIMVEE!$J$18="ja",IF(LEGPLUIMVEE!$L$9="nee",O61-(K61-U61))),O61-(K61-U61))))))))</f>
        <v>0.44804866054186393</v>
      </c>
      <c r="AE61" s="239">
        <f>IF(H61&lt;0.02,0,IF(LEGPLUIMVEE!$H$11="geen droogtunnel",IF(LEGPLUIMVEE!$H$15="geen warmtewisselaar",(K61-(K61-T61)/T$13),K61-(K61-N61)/I$6-((K61-T61)/95%))+IF(LEGPLUIMVEE!$J$18="ja",(K61-O61)*(1-I$6)),IF(LEGPLUIMVEE!$H$12&gt;=0,IF(LEGPLUIMVEE!$L$9="ja",IF(LEGPLUIMVEE!$J$18="ja",IF(LEGPLUIMVEE!$H$20="ja",S61-(K61-N61)-(K61-U61),IF(LEGPLUIMVEE!$H$20="nee",(S61-(K61-N61)-(K61-U61)),(O61-(K61-U61)))),IF(LEGPLUIMVEE!$J$18="nee",IF(LEGPLUIMVEE!$H$20="nee",S61*$N$72-(K61-N61)-(K61-U61),S61-(K61-N61)-(K61-U61)))),IF(LEGPLUIMVEE!$L$9="nee",IF(LEGPLUIMVEE!$J$18="nee",IF(LEGPLUIMVEE!$H$20="nee",(N61-(K61-S61)/I$4-(K61-U61)),N61-(K61-S61)/I$4-(K61-U61)),IF(LEGPLUIMVEE!$H$20="nee",IF(LEGPLUIMVEE!$J$18="ja",IF(LEGPLUIMVEE!$L$9="nee",N61-(K61-S61)/I$4-(K61-U61))),N61-(K61-S61)/I$4-(K61-U61))))))))</f>
        <v>0.44804866054186393</v>
      </c>
      <c r="AF61" s="219"/>
      <c r="AG61" s="164">
        <f t="shared" si="36"/>
        <v>1</v>
      </c>
      <c r="AH61" s="35">
        <f t="shared" si="37"/>
        <v>0</v>
      </c>
      <c r="AI61" s="36">
        <f t="shared" si="38"/>
        <v>1.8837999999999999</v>
      </c>
      <c r="AJ61" s="36">
        <f t="shared" si="39"/>
        <v>0</v>
      </c>
      <c r="AK61" s="37">
        <f t="shared" si="40"/>
        <v>0</v>
      </c>
      <c r="AL61" s="36">
        <f t="shared" si="28"/>
        <v>1.8837999999999999</v>
      </c>
      <c r="AM61" s="36">
        <f t="shared" si="41"/>
        <v>0</v>
      </c>
      <c r="AN61" s="37">
        <f t="shared" si="42"/>
        <v>5.1685957778554599</v>
      </c>
      <c r="AO61" s="36">
        <f t="shared" si="43"/>
        <v>0.44804866054186393</v>
      </c>
      <c r="AP61" s="38">
        <f t="shared" si="44"/>
        <v>0.44804866054186393</v>
      </c>
      <c r="AR61" s="123">
        <f t="shared" si="45"/>
        <v>1.8837999999999999</v>
      </c>
      <c r="AS61" s="123">
        <f t="shared" si="46"/>
        <v>1.8819161999999998</v>
      </c>
      <c r="AT61" s="123">
        <f t="shared" si="47"/>
        <v>1.8819161999999998</v>
      </c>
      <c r="AU61" s="123">
        <f t="shared" si="48"/>
        <v>0.44804866054186393</v>
      </c>
    </row>
    <row r="62" spans="1:47" x14ac:dyDescent="0.25">
      <c r="A62" s="6">
        <v>26</v>
      </c>
      <c r="B62" s="3">
        <v>35.118644067796609</v>
      </c>
      <c r="C62" s="7">
        <f>MIN(I2,5.40001127714702)</f>
        <v>5.4000112771470201</v>
      </c>
      <c r="D62" s="21">
        <f t="shared" si="20"/>
        <v>0</v>
      </c>
      <c r="E62" s="21">
        <f>IF(I$3=0,0,IF(LEGPLUIMVEE!$H$13="parallel geschakeld met warmtewisselaar",0,MIN(I$3,C62)))</f>
        <v>0</v>
      </c>
      <c r="F62" s="21">
        <f>IF(I$3=0,0,IF(LEGPLUIMVEE!$H$13="serie geschakeld met warmtewisselaar",0,IF(C62&lt;$I$3,C62-D62,MIN($I$3,C62-D62))))</f>
        <v>0</v>
      </c>
      <c r="G62" s="21">
        <f>IF(C62&lt;$I$7,MAX(0,C62-D62-E62-F62,IF(LEGPLUIMVEE!$H$15="warmtewisselaar",IF(LEGPLUIMVEE!$H$13="serie geschakeld met warmtewisselaar",MIN(I$7,MAX(0,C62-D62-F62)),MIN(I$7,MAX(0,'legh WW+droogt'!C62-D62-E62-F62))))),IF(LEGPLUIMVEE!$H$13="parallel geschakeld met warmtewisselaar",MIN(I$7,C62-D62-E62-F62,MIN(I$7,C62-E62-F62)),MIN(I$7,MAX(0,C62-D62-F62))))</f>
        <v>0</v>
      </c>
      <c r="H62" s="21">
        <f>IF(LEGPLUIMVEE!$H$13="parallel geschakeld met warmtewisselaar",IF(LEGPLUIMVEE!$L$9="nee",IF(LEGPLUIMVEE!$J$18="ja",C62-F62-G62,C62-D62-F62-G62),IF(LEGPLUIMVEE!$L$9="ja",IF(LEGPLUIMVEE!$J$18="ja",C62-G62,IF(LEGPLUIMVEE!$J$18="nee",C62-D62-G62)))),IF(LEGPLUIMVEE!$H$13="serie geschakeld met warmtewisselaar",IF(LEGPLUIMVEE!$J$18="ja",C62-G62,C62-D62-F62-G62),C62-D62-F62-G62))</f>
        <v>5.4000112771470201</v>
      </c>
      <c r="I62" s="121">
        <f t="shared" si="21"/>
        <v>5.4000112771470201</v>
      </c>
      <c r="J62" s="175">
        <v>1.8296999999999999</v>
      </c>
      <c r="K62" s="183">
        <f t="shared" si="22"/>
        <v>0.34698627310551033</v>
      </c>
      <c r="L62" s="164">
        <f>SUM(K$16:K62)/$K$73</f>
        <v>0.9875591479209378</v>
      </c>
      <c r="M62" s="22">
        <f t="shared" si="23"/>
        <v>0.34698627310551033</v>
      </c>
      <c r="N62" s="22">
        <f t="shared" si="51"/>
        <v>0.34698627310551033</v>
      </c>
      <c r="O62" s="312">
        <f>IF(E62&lt;I$3,P62*(1-I$6*D62/C62),
IF(LEGPLUIMVEE!$H$11="droogtunnel (platen) 55%",((K62-P62)/I$4-(K62-P62))*(1-I$6)+K62-(K62-P62)/I$4-
IF(D62&gt;E62,(D62-E62)/C62*(K62-P62)),
P62*(1-$I$6)+(C62-D62)/C62*(K62-P62*(1-I$6))))</f>
        <v>0.34698627310551033</v>
      </c>
      <c r="P62" s="162">
        <f t="shared" si="24"/>
        <v>0.34698627310551033</v>
      </c>
      <c r="Q62" s="181">
        <f t="shared" si="29"/>
        <v>1</v>
      </c>
      <c r="R62" s="184">
        <f t="shared" si="25"/>
        <v>1</v>
      </c>
      <c r="S62" s="166">
        <f t="shared" si="32"/>
        <v>0.34698627310551033</v>
      </c>
      <c r="T62" s="166">
        <f t="shared" si="26"/>
        <v>0.34698627310551033</v>
      </c>
      <c r="U62" s="283">
        <f>IF(G62&lt;0.1,K62,IF(C62=F62,S62/(1-I$4),IF(I$3=0,K62-(G62/C62)*K62*U$13,IF(LEGPLUIMVEE!$H$13="Parallel geschakeld met warmtewisselaar",K62-(K62-(K62-S62)/I$4)*(G62/(C62-F62))*U$13,IF(LEGPLUIMVEE!$H$20="ja",K62-(K62-(K62-P62)/I$4)*(G62/(C62-MIN(D62,I$5)))*U$13,K62-(K62-(K62-P62)/I$4)*(G62/(C62-MIN(D61,I$5)))*U$13)))))</f>
        <v>0.34698627310551033</v>
      </c>
      <c r="V62" s="258">
        <f t="shared" si="33"/>
        <v>0</v>
      </c>
      <c r="W62" s="274">
        <f t="shared" si="50"/>
        <v>1</v>
      </c>
      <c r="X62" s="22">
        <f t="shared" si="34"/>
        <v>0.34698627310551033</v>
      </c>
      <c r="Y62" s="177">
        <f t="shared" si="31"/>
        <v>0</v>
      </c>
      <c r="Z62" s="163">
        <f t="shared" si="35"/>
        <v>0.34698627310551033</v>
      </c>
      <c r="AA62" s="306"/>
      <c r="AB62" s="306"/>
      <c r="AC62" s="306"/>
      <c r="AD62" s="219">
        <f>IF(H62&lt;0.02,0,IF(LEGPLUIMVEE!$H$11="geen droogtunnel",IF(LEGPLUIMVEE!$H$15="geen warmtewisselaar",(P62-(K62-T62)/T$13),K62-(K62-O62)/I$6-(K62-T62)/95%)+IF(LEGPLUIMVEE!$J$18="ja",(K62-O62)*(1-I$6)),IF(LEGPLUIMVEE!$H$12&gt;=0,IF(LEGPLUIMVEE!$L$9="ja",IF(LEGPLUIMVEE!$J$18="ja",IF(LEGPLUIMVEE!$H$20="ja",O62-(K62-U62),IF(LEGPLUIMVEE!$H$20="nee",(O62-(K62-U62)),(O62-(K62-U62)))),IF(LEGPLUIMVEE!$J$18="nee",IF(LEGPLUIMVEE!$H$20="nee",O62-(K62-U62)/81%,O62-(K62-U62)))),IF(LEGPLUIMVEE!$L$9="nee",IF(LEGPLUIMVEE!$J$18="nee",IF(LEGPLUIMVEE!$H$20="nee",O62-(K62-U62)/95%,O62-(K62-U62)),IF(LEGPLUIMVEE!$H$20="nee",IF(LEGPLUIMVEE!$J$18="ja",IF(LEGPLUIMVEE!$L$9="nee",O62-(K62-U62))),O62-(K62-U62))))))))</f>
        <v>0.34698627310551033</v>
      </c>
      <c r="AE62" s="239">
        <f>IF(H62&lt;0.02,0,IF(LEGPLUIMVEE!$H$11="geen droogtunnel",IF(LEGPLUIMVEE!$H$15="geen warmtewisselaar",(K62-(K62-T62)/T$13),K62-(K62-N62)/I$6-((K62-T62)/95%))+IF(LEGPLUIMVEE!$J$18="ja",(K62-O62)*(1-I$6)),IF(LEGPLUIMVEE!$H$12&gt;=0,IF(LEGPLUIMVEE!$L$9="ja",IF(LEGPLUIMVEE!$J$18="ja",IF(LEGPLUIMVEE!$H$20="ja",S62-(K62-N62)-(K62-U62),IF(LEGPLUIMVEE!$H$20="nee",(S62-(K62-N62)-(K62-U62)),(O62-(K62-U62)))),IF(LEGPLUIMVEE!$J$18="nee",IF(LEGPLUIMVEE!$H$20="nee",S62*$N$72-(K62-N62)-(K62-U62),S62-(K62-N62)-(K62-U62)))),IF(LEGPLUIMVEE!$L$9="nee",IF(LEGPLUIMVEE!$J$18="nee",IF(LEGPLUIMVEE!$H$20="nee",(N62-(K62-S62)/I$4-(K62-U62)),N62-(K62-S62)/I$4-(K62-U62)),IF(LEGPLUIMVEE!$H$20="nee",IF(LEGPLUIMVEE!$J$18="ja",IF(LEGPLUIMVEE!$L$9="nee",N62-(K62-S62)/I$4-(K62-U62))),N62-(K62-S62)/I$4-(K62-U62))))))))</f>
        <v>0.34698627310551033</v>
      </c>
      <c r="AF62" s="219"/>
      <c r="AG62" s="164">
        <f t="shared" si="36"/>
        <v>1</v>
      </c>
      <c r="AH62" s="35">
        <f t="shared" si="37"/>
        <v>0</v>
      </c>
      <c r="AI62" s="36">
        <f t="shared" si="38"/>
        <v>1.8296999999999999</v>
      </c>
      <c r="AJ62" s="36">
        <f t="shared" si="39"/>
        <v>0</v>
      </c>
      <c r="AK62" s="37">
        <f t="shared" si="40"/>
        <v>0</v>
      </c>
      <c r="AL62" s="36">
        <f t="shared" si="28"/>
        <v>1.8296999999999999</v>
      </c>
      <c r="AM62" s="36">
        <f t="shared" si="41"/>
        <v>0</v>
      </c>
      <c r="AN62" s="37">
        <f t="shared" si="42"/>
        <v>5.4000112771470201</v>
      </c>
      <c r="AO62" s="36">
        <f t="shared" si="43"/>
        <v>0.34698627310551033</v>
      </c>
      <c r="AP62" s="38">
        <f t="shared" si="44"/>
        <v>0.34698627310551033</v>
      </c>
      <c r="AR62" s="123">
        <f t="shared" si="45"/>
        <v>1.8296999999999999</v>
      </c>
      <c r="AS62" s="123">
        <f t="shared" si="46"/>
        <v>1.8278702999999998</v>
      </c>
      <c r="AT62" s="123">
        <f t="shared" si="47"/>
        <v>1.8278702999999998</v>
      </c>
      <c r="AU62" s="123">
        <f t="shared" si="48"/>
        <v>0.34698627310551033</v>
      </c>
    </row>
    <row r="63" spans="1:47" x14ac:dyDescent="0.25">
      <c r="A63" s="6">
        <v>27</v>
      </c>
      <c r="B63" s="3">
        <v>25.491525423728813</v>
      </c>
      <c r="C63" s="5">
        <f>MIN(I2,5.64178803036788)</f>
        <v>5.6417880303678798</v>
      </c>
      <c r="D63" s="21">
        <f t="shared" si="20"/>
        <v>0</v>
      </c>
      <c r="E63" s="21">
        <f>IF(I$3=0,0,IF(LEGPLUIMVEE!$H$13="parallel geschakeld met warmtewisselaar",0,MIN(I$3,C63)))</f>
        <v>0</v>
      </c>
      <c r="F63" s="21">
        <f>IF(I$3=0,0,IF(LEGPLUIMVEE!$H$13="serie geschakeld met warmtewisselaar",0,IF(C63&lt;$I$3,C63-D63,MIN($I$3,C63-D63))))</f>
        <v>0</v>
      </c>
      <c r="G63" s="21">
        <f>IF(C63&lt;$I$7,MAX(0,C63-D63-E63-F63,IF(LEGPLUIMVEE!$H$15="warmtewisselaar",IF(LEGPLUIMVEE!$H$13="serie geschakeld met warmtewisselaar",MIN(I$7,MAX(0,C63-D63-F63)),MIN(I$7,MAX(0,'legh WW+droogt'!C63-D63-E63-F63))))),IF(LEGPLUIMVEE!$H$13="parallel geschakeld met warmtewisselaar",MIN(I$7,C63-D63-E63-F63,MIN(I$7,C63-E63-F63)),MIN(I$7,MAX(0,C63-D63-F63))))</f>
        <v>0</v>
      </c>
      <c r="H63" s="21">
        <f>IF(LEGPLUIMVEE!$H$13="parallel geschakeld met warmtewisselaar",IF(LEGPLUIMVEE!$L$9="nee",IF(LEGPLUIMVEE!$J$18="ja",C63-F63-G63,C63-D63-F63-G63),IF(LEGPLUIMVEE!$L$9="ja",IF(LEGPLUIMVEE!$J$18="ja",C63-G63,IF(LEGPLUIMVEE!$J$18="nee",C63-D63-G63)))),IF(LEGPLUIMVEE!$H$13="serie geschakeld met warmtewisselaar",IF(LEGPLUIMVEE!$J$18="ja",C63-G63,C63-D63-F63-G63),C63-D63-F63-G63))</f>
        <v>5.6417880303678798</v>
      </c>
      <c r="I63" s="121">
        <f t="shared" si="21"/>
        <v>5.6417880303678798</v>
      </c>
      <c r="J63" s="175">
        <v>1.7755999999999998</v>
      </c>
      <c r="K63" s="280">
        <f t="shared" si="22"/>
        <v>0.2553628555150626</v>
      </c>
      <c r="L63" s="164">
        <f>SUM(K$16:K63)/$K$73</f>
        <v>0.99172639732977652</v>
      </c>
      <c r="M63" s="22">
        <f t="shared" si="23"/>
        <v>0.2553628555150626</v>
      </c>
      <c r="N63" s="22">
        <f t="shared" si="51"/>
        <v>0.2553628555150626</v>
      </c>
      <c r="O63" s="312">
        <f>IF(E63&lt;I$3,P63*(1-I$6*D63/C63),
IF(LEGPLUIMVEE!$H$11="droogtunnel (platen) 55%",((K63-P63)/I$4-(K63-P63))*(1-I$6)+K63-(K63-P63)/I$4-
IF(D63&gt;E63,(D63-E63)/C63*(K63-P63)),
P63*(1-$I$6)+(C63-D63)/C63*(K63-P63*(1-I$6))))</f>
        <v>0.2553628555150626</v>
      </c>
      <c r="P63" s="162">
        <f t="shared" si="24"/>
        <v>0.2553628555150626</v>
      </c>
      <c r="Q63" s="181">
        <f t="shared" si="29"/>
        <v>1</v>
      </c>
      <c r="R63" s="184">
        <f t="shared" si="25"/>
        <v>1</v>
      </c>
      <c r="S63" s="166">
        <f t="shared" si="32"/>
        <v>0.2553628555150626</v>
      </c>
      <c r="T63" s="166">
        <f t="shared" si="26"/>
        <v>0.2553628555150626</v>
      </c>
      <c r="U63" s="283">
        <f>IF(G63&lt;0.1,K63,IF(C63=F63,S63/(1-I$4),IF(I$3=0,K63-(G63/C63)*K63*U$13,IF(LEGPLUIMVEE!$H$13="Parallel geschakeld met warmtewisselaar",K63-(K63-(K63-S63)/I$4)*(G63/(C63-F63))*U$13,IF(LEGPLUIMVEE!$H$20="ja",K63-(K63-(K63-P63)/I$4)*(G63/(C63-MIN(D63,I$5)))*U$13,K63-(K63-(K63-P63)/I$4)*(G63/(C63-MIN(D62,I$5)))*U$13)))))</f>
        <v>0.2553628555150626</v>
      </c>
      <c r="V63" s="258">
        <f t="shared" si="33"/>
        <v>0</v>
      </c>
      <c r="W63" s="274">
        <f t="shared" si="50"/>
        <v>1</v>
      </c>
      <c r="X63" s="22">
        <f t="shared" si="34"/>
        <v>0.2553628555150626</v>
      </c>
      <c r="Y63" s="177">
        <f t="shared" si="31"/>
        <v>0</v>
      </c>
      <c r="Z63" s="163">
        <f t="shared" si="35"/>
        <v>0.2553628555150626</v>
      </c>
      <c r="AA63" s="306"/>
      <c r="AB63" s="306"/>
      <c r="AC63" s="306"/>
      <c r="AD63" s="219">
        <f>IF(H63&lt;0.02,0,IF(LEGPLUIMVEE!$H$11="geen droogtunnel",IF(LEGPLUIMVEE!$H$15="geen warmtewisselaar",(P63-(K63-T63)/T$13),K63-(K63-O63)/I$6-(K63-T63)/95%)+IF(LEGPLUIMVEE!$J$18="ja",(K63-O63)*(1-I$6)),IF(LEGPLUIMVEE!$H$12&gt;=0,IF(LEGPLUIMVEE!$L$9="ja",IF(LEGPLUIMVEE!$J$18="ja",IF(LEGPLUIMVEE!$H$20="ja",O63-(K63-U63),IF(LEGPLUIMVEE!$H$20="nee",(O63-(K63-U63)),(O63-(K63-U63)))),IF(LEGPLUIMVEE!$J$18="nee",IF(LEGPLUIMVEE!$H$20="nee",O63-(K63-U63)/81%,O63-(K63-U63)))),IF(LEGPLUIMVEE!$L$9="nee",IF(LEGPLUIMVEE!$J$18="nee",IF(LEGPLUIMVEE!$H$20="nee",O63-(K63-U63)/95%,O63-(K63-U63)),IF(LEGPLUIMVEE!$H$20="nee",IF(LEGPLUIMVEE!$J$18="ja",IF(LEGPLUIMVEE!$L$9="nee",O63-(K63-U63))),O63-(K63-U63))))))))</f>
        <v>0.2553628555150626</v>
      </c>
      <c r="AE63" s="239">
        <f>IF(H63&lt;0.02,0,IF(LEGPLUIMVEE!$H$11="geen droogtunnel",IF(LEGPLUIMVEE!$H$15="geen warmtewisselaar",(K63-(K63-T63)/T$13),K63-(K63-N63)/I$6-((K63-T63)/95%))+IF(LEGPLUIMVEE!$J$18="ja",(K63-O63)*(1-I$6)),IF(LEGPLUIMVEE!$H$12&gt;=0,IF(LEGPLUIMVEE!$L$9="ja",IF(LEGPLUIMVEE!$J$18="ja",IF(LEGPLUIMVEE!$H$20="ja",S63-(K63-N63)-(K63-U63),IF(LEGPLUIMVEE!$H$20="nee",(S63-(K63-N63)-(K63-U63)),(O63-(K63-U63)))),IF(LEGPLUIMVEE!$J$18="nee",IF(LEGPLUIMVEE!$H$20="nee",S63*$N$72-(K63-N63)-(K63-U63),S63-(K63-N63)-(K63-U63)))),IF(LEGPLUIMVEE!$L$9="nee",IF(LEGPLUIMVEE!$J$18="nee",IF(LEGPLUIMVEE!$H$20="nee",(N63-(K63-S63)/I$4-(K63-U63)),N63-(K63-S63)/I$4-(K63-U63)),IF(LEGPLUIMVEE!$H$20="nee",IF(LEGPLUIMVEE!$J$18="ja",IF(LEGPLUIMVEE!$L$9="nee",N63-(K63-S63)/I$4-(K63-U63))),N63-(K63-S63)/I$4-(K63-U63))))))))</f>
        <v>0.2553628555150626</v>
      </c>
      <c r="AF63" s="219"/>
      <c r="AG63" s="164">
        <f t="shared" si="36"/>
        <v>1</v>
      </c>
      <c r="AH63" s="35">
        <f t="shared" si="37"/>
        <v>0</v>
      </c>
      <c r="AI63" s="36">
        <f t="shared" si="38"/>
        <v>1.7755999999999998</v>
      </c>
      <c r="AJ63" s="36">
        <f t="shared" si="39"/>
        <v>0</v>
      </c>
      <c r="AK63" s="37">
        <f t="shared" si="40"/>
        <v>0</v>
      </c>
      <c r="AL63" s="36">
        <f t="shared" si="28"/>
        <v>1.7755999999999998</v>
      </c>
      <c r="AM63" s="36">
        <f t="shared" si="41"/>
        <v>0</v>
      </c>
      <c r="AN63" s="37">
        <f t="shared" si="42"/>
        <v>5.6417880303678798</v>
      </c>
      <c r="AO63" s="36">
        <f t="shared" si="43"/>
        <v>0.2553628555150626</v>
      </c>
      <c r="AP63" s="38">
        <f t="shared" si="44"/>
        <v>0.2553628555150626</v>
      </c>
      <c r="AR63" s="123">
        <f t="shared" si="45"/>
        <v>1.7755999999999998</v>
      </c>
      <c r="AS63" s="123">
        <f t="shared" si="46"/>
        <v>1.7738243999999999</v>
      </c>
      <c r="AT63" s="123">
        <f t="shared" si="47"/>
        <v>1.7738243999999999</v>
      </c>
      <c r="AU63" s="123">
        <f t="shared" si="48"/>
        <v>0.2553628555150626</v>
      </c>
    </row>
    <row r="64" spans="1:47" x14ac:dyDescent="0.25">
      <c r="A64" s="6">
        <v>28</v>
      </c>
      <c r="B64" s="3">
        <v>17.966101694915253</v>
      </c>
      <c r="C64" s="5">
        <f>MIN(I2,5.89438994587043)</f>
        <v>5.8943899458704303</v>
      </c>
      <c r="D64" s="21">
        <f t="shared" si="20"/>
        <v>0</v>
      </c>
      <c r="E64" s="21">
        <f>IF(I$3=0,0,IF(LEGPLUIMVEE!$H$13="parallel geschakeld met warmtewisselaar",0,MIN(I$3,C64)))</f>
        <v>0</v>
      </c>
      <c r="F64" s="21">
        <f>IF(I$3=0,0,IF(LEGPLUIMVEE!$H$13="serie geschakeld met warmtewisselaar",0,IF(C64&lt;$I$3,C64-D64,MIN($I$3,C64-D64))))</f>
        <v>0</v>
      </c>
      <c r="G64" s="21">
        <f>IF(C64&lt;$I$7,MAX(0,C64-D64-E64-F64,IF(LEGPLUIMVEE!$H$15="warmtewisselaar",IF(LEGPLUIMVEE!$H$13="serie geschakeld met warmtewisselaar",MIN(I$7,MAX(0,C64-D64-F64)),MIN(I$7,MAX(0,'legh WW+droogt'!C64-D64-E64-F64))))),IF(LEGPLUIMVEE!$H$13="parallel geschakeld met warmtewisselaar",MIN(I$7,C64-D64-E64-F64,MIN(I$7,C64-E64-F64)),MIN(I$7,MAX(0,C64-D64-F64))))</f>
        <v>0</v>
      </c>
      <c r="H64" s="21">
        <f>IF(LEGPLUIMVEE!$H$13="parallel geschakeld met warmtewisselaar",IF(LEGPLUIMVEE!$L$9="nee",IF(LEGPLUIMVEE!$J$18="ja",C64-F64-G64,C64-D64-F64-G64),IF(LEGPLUIMVEE!$L$9="ja",IF(LEGPLUIMVEE!$J$18="ja",C64-G64,IF(LEGPLUIMVEE!$J$18="nee",C64-D64-G64)))),IF(LEGPLUIMVEE!$H$13="serie geschakeld met warmtewisselaar",IF(LEGPLUIMVEE!$J$18="ja",C64-G64,C64-D64-F64-G64),C64-D64-F64-G64))</f>
        <v>5.8943899458704303</v>
      </c>
      <c r="I64" s="121">
        <f t="shared" si="21"/>
        <v>5.8943899458704303</v>
      </c>
      <c r="J64" s="175">
        <v>1.7214999999999998</v>
      </c>
      <c r="K64" s="183">
        <f t="shared" si="22"/>
        <v>0.18230548863262544</v>
      </c>
      <c r="L64" s="164">
        <f>SUM(K$16:K64)/$K$73</f>
        <v>0.99470142844070319</v>
      </c>
      <c r="M64" s="22">
        <f t="shared" si="23"/>
        <v>0.18230548863262544</v>
      </c>
      <c r="N64" s="22">
        <f t="shared" si="51"/>
        <v>0.18230548863262544</v>
      </c>
      <c r="O64" s="312">
        <f>IF(E64&lt;I$3,P64*(1-I$6*D64/C64),
IF(LEGPLUIMVEE!$H$11="droogtunnel (platen) 55%",((K64-P64)/I$4-(K64-P64))*(1-I$6)+K64-(K64-P64)/I$4-
IF(D64&gt;E64,(D64-E64)/C64*(K64-P64)),
P64*(1-$I$6)+(C64-D64)/C64*(K64-P64*(1-I$6))))</f>
        <v>0.18230548863262544</v>
      </c>
      <c r="P64" s="162">
        <f t="shared" si="24"/>
        <v>0.18230548863262544</v>
      </c>
      <c r="Q64" s="181">
        <f t="shared" si="29"/>
        <v>1</v>
      </c>
      <c r="R64" s="184">
        <f t="shared" si="25"/>
        <v>1</v>
      </c>
      <c r="S64" s="166">
        <f t="shared" si="32"/>
        <v>0.18230548863262544</v>
      </c>
      <c r="T64" s="166">
        <f t="shared" si="26"/>
        <v>0.18230548863262544</v>
      </c>
      <c r="U64" s="283">
        <f>IF(G64&lt;0.1,K64,IF(C64=F64,S64/(1-I$4),IF(I$3=0,K64-(G64/C64)*K64*U$13,IF(LEGPLUIMVEE!$H$13="Parallel geschakeld met warmtewisselaar",K64-(K64-(K64-S64)/I$4)*(G64/(C64-F64))*U$13,IF(LEGPLUIMVEE!$H$20="ja",K64-(K64-(K64-P64)/I$4)*(G64/(C64-MIN(D64,I$5)))*U$13,K64-(K64-(K64-P64)/I$4)*(G64/(C64-MIN(D63,I$5)))*U$13)))))</f>
        <v>0.18230548863262544</v>
      </c>
      <c r="V64" s="258">
        <f t="shared" si="33"/>
        <v>0</v>
      </c>
      <c r="W64" s="274">
        <f t="shared" si="50"/>
        <v>1</v>
      </c>
      <c r="X64" s="22">
        <f t="shared" si="34"/>
        <v>0.18230548863262544</v>
      </c>
      <c r="Y64" s="177">
        <f t="shared" si="31"/>
        <v>0</v>
      </c>
      <c r="Z64" s="163">
        <f t="shared" si="35"/>
        <v>0.18230548863262544</v>
      </c>
      <c r="AA64" s="306"/>
      <c r="AB64" s="306"/>
      <c r="AC64" s="306"/>
      <c r="AD64" s="219">
        <f>IF(H64&lt;0.02,0,IF(LEGPLUIMVEE!$H$11="geen droogtunnel",IF(LEGPLUIMVEE!$H$15="geen warmtewisselaar",(P64-(K64-T64)/T$13),K64-(K64-O64)/I$6-(K64-T64)/95%)+IF(LEGPLUIMVEE!$J$18="ja",(K64-O64)*(1-I$6)),IF(LEGPLUIMVEE!$H$12&gt;=0,IF(LEGPLUIMVEE!$L$9="ja",IF(LEGPLUIMVEE!$J$18="ja",IF(LEGPLUIMVEE!$H$20="ja",O64-(K64-U64),IF(LEGPLUIMVEE!$H$20="nee",(O64-(K64-U64)),(O64-(K64-U64)))),IF(LEGPLUIMVEE!$J$18="nee",IF(LEGPLUIMVEE!$H$20="nee",O64-(K64-U64)/81%,O64-(K64-U64)))),IF(LEGPLUIMVEE!$L$9="nee",IF(LEGPLUIMVEE!$J$18="nee",IF(LEGPLUIMVEE!$H$20="nee",O64-(K64-U64)/95%,O64-(K64-U64)),IF(LEGPLUIMVEE!$H$20="nee",IF(LEGPLUIMVEE!$J$18="ja",IF(LEGPLUIMVEE!$L$9="nee",O64-(K64-U64))),O64-(K64-U64))))))))</f>
        <v>0.18230548863262544</v>
      </c>
      <c r="AE64" s="239">
        <f>IF(H64&lt;0.02,0,IF(LEGPLUIMVEE!$H$11="geen droogtunnel",IF(LEGPLUIMVEE!$H$15="geen warmtewisselaar",(K64-(K64-T64)/T$13),K64-(K64-N64)/I$6-((K64-T64)/95%))+IF(LEGPLUIMVEE!$J$18="ja",(K64-O64)*(1-I$6)),IF(LEGPLUIMVEE!$H$12&gt;=0,IF(LEGPLUIMVEE!$L$9="ja",IF(LEGPLUIMVEE!$J$18="ja",IF(LEGPLUIMVEE!$H$20="ja",S64-(K64-N64)-(K64-U64),IF(LEGPLUIMVEE!$H$20="nee",(S64-(K64-N64)-(K64-U64)),(O64-(K64-U64)))),IF(LEGPLUIMVEE!$J$18="nee",IF(LEGPLUIMVEE!$H$20="nee",S64*$N$72-(K64-N64)-(K64-U64),S64-(K64-N64)-(K64-U64)))),IF(LEGPLUIMVEE!$L$9="nee",IF(LEGPLUIMVEE!$J$18="nee",IF(LEGPLUIMVEE!$H$20="nee",(N64-(K64-S64)/I$4-(K64-U64)),N64-(K64-S64)/I$4-(K64-U64)),IF(LEGPLUIMVEE!$H$20="nee",IF(LEGPLUIMVEE!$J$18="ja",IF(LEGPLUIMVEE!$L$9="nee",N64-(K64-S64)/I$4-(K64-U64))),N64-(K64-S64)/I$4-(K64-U64))))))))</f>
        <v>0.18230548863262544</v>
      </c>
      <c r="AF64" s="219"/>
      <c r="AG64" s="164">
        <f t="shared" si="36"/>
        <v>1</v>
      </c>
      <c r="AH64" s="35">
        <f t="shared" si="37"/>
        <v>0</v>
      </c>
      <c r="AI64" s="36">
        <f t="shared" si="38"/>
        <v>1.7214999999999998</v>
      </c>
      <c r="AJ64" s="36">
        <f t="shared" si="39"/>
        <v>0</v>
      </c>
      <c r="AK64" s="37">
        <f t="shared" si="40"/>
        <v>0</v>
      </c>
      <c r="AL64" s="36">
        <f t="shared" si="28"/>
        <v>1.7214999999999998</v>
      </c>
      <c r="AM64" s="36">
        <f t="shared" si="41"/>
        <v>0</v>
      </c>
      <c r="AN64" s="37">
        <f t="shared" si="42"/>
        <v>5.8943899458704303</v>
      </c>
      <c r="AO64" s="36">
        <f t="shared" si="43"/>
        <v>0.18230548863262544</v>
      </c>
      <c r="AP64" s="38">
        <f t="shared" si="44"/>
        <v>0.18230548863262544</v>
      </c>
      <c r="AR64" s="123">
        <f t="shared" si="45"/>
        <v>1.7214999999999998</v>
      </c>
      <c r="AS64" s="123">
        <f t="shared" si="46"/>
        <v>1.7197784999999999</v>
      </c>
      <c r="AT64" s="123">
        <f t="shared" si="47"/>
        <v>1.7197784999999999</v>
      </c>
      <c r="AU64" s="123">
        <f t="shared" si="48"/>
        <v>0.18230548863262541</v>
      </c>
    </row>
    <row r="65" spans="1:47" x14ac:dyDescent="0.25">
      <c r="A65" s="6">
        <v>29</v>
      </c>
      <c r="B65" s="3">
        <v>12.728813559322035</v>
      </c>
      <c r="C65" s="5">
        <f>MIN(I2,6.15830170275166)</f>
        <v>6.1583017027516602</v>
      </c>
      <c r="D65" s="21">
        <f t="shared" si="20"/>
        <v>0</v>
      </c>
      <c r="E65" s="21">
        <f>IF(I$3=0,0,IF(LEGPLUIMVEE!$H$13="parallel geschakeld met warmtewisselaar",0,MIN(I$3,C65)))</f>
        <v>0</v>
      </c>
      <c r="F65" s="21">
        <f>IF(I$3=0,0,IF(LEGPLUIMVEE!$H$13="serie geschakeld met warmtewisselaar",0,IF(C65&lt;$I$3,C65-D65,MIN($I$3,C65-D65))))</f>
        <v>0</v>
      </c>
      <c r="G65" s="21">
        <f>IF(C65&lt;$I$7,MAX(0,C65-D65-E65-F65,IF(LEGPLUIMVEE!$H$15="warmtewisselaar",IF(LEGPLUIMVEE!$H$13="serie geschakeld met warmtewisselaar",MIN(I$7,MAX(0,C65-D65-F65)),MIN(I$7,MAX(0,'legh WW+droogt'!C65-D65-E65-F65))))),IF(LEGPLUIMVEE!$H$13="parallel geschakeld met warmtewisselaar",MIN(I$7,C65-D65-E65-F65,MIN(I$7,C65-E65-F65)),MIN(I$7,MAX(0,C65-D65-F65))))</f>
        <v>0</v>
      </c>
      <c r="H65" s="21">
        <f>IF(LEGPLUIMVEE!$H$13="parallel geschakeld met warmtewisselaar",IF(LEGPLUIMVEE!$L$9="nee",IF(LEGPLUIMVEE!$J$18="ja",C65-F65-G65,C65-D65-F65-G65),IF(LEGPLUIMVEE!$L$9="ja",IF(LEGPLUIMVEE!$J$18="ja",C65-G65,IF(LEGPLUIMVEE!$J$18="nee",C65-D65-G65)))),IF(LEGPLUIMVEE!$H$13="serie geschakeld met warmtewisselaar",IF(LEGPLUIMVEE!$J$18="ja",C65-G65,C65-D65-F65-G65),C65-D65-F65-G65))</f>
        <v>6.1583017027516602</v>
      </c>
      <c r="I65" s="121">
        <f t="shared" si="21"/>
        <v>6.1583017027516602</v>
      </c>
      <c r="J65" s="175">
        <v>1.6674</v>
      </c>
      <c r="K65" s="183">
        <f t="shared" si="22"/>
        <v>0.1307039414683942</v>
      </c>
      <c r="L65" s="164">
        <f>SUM(K$16:K65)/$K$73</f>
        <v>0.99683437734479685</v>
      </c>
      <c r="M65" s="22">
        <f t="shared" si="23"/>
        <v>0.1307039414683942</v>
      </c>
      <c r="N65" s="22">
        <f t="shared" si="51"/>
        <v>0.1307039414683942</v>
      </c>
      <c r="O65" s="312">
        <f>IF(E65&lt;I$3,P65*(1-I$6*D65/C65),
IF(LEGPLUIMVEE!$H$11="droogtunnel (platen) 55%",((K65-P65)/I$4-(K65-P65))*(1-I$6)+K65-(K65-P65)/I$4-
IF(D65&gt;E65,(D65-E65)/C65*(K65-P65)),
P65*(1-$I$6)+(C65-D65)/C65*(K65-P65*(1-I$6))))</f>
        <v>0.1307039414683942</v>
      </c>
      <c r="P65" s="162">
        <f t="shared" si="24"/>
        <v>0.1307039414683942</v>
      </c>
      <c r="Q65" s="181">
        <f t="shared" si="29"/>
        <v>1</v>
      </c>
      <c r="R65" s="184">
        <f t="shared" si="25"/>
        <v>1</v>
      </c>
      <c r="S65" s="166">
        <f t="shared" si="32"/>
        <v>0.1307039414683942</v>
      </c>
      <c r="T65" s="166">
        <f t="shared" si="26"/>
        <v>0.1307039414683942</v>
      </c>
      <c r="U65" s="283">
        <f>IF(G65&lt;0.1,K65,IF(C65=F65,S65/(1-I$4),IF(I$3=0,K65-(G65/C65)*K65*U$13,IF(LEGPLUIMVEE!$H$13="Parallel geschakeld met warmtewisselaar",K65-(K65-(K65-S65)/I$4)*(G65/(C65-F65))*U$13,IF(LEGPLUIMVEE!$H$20="ja",K65-(K65-(K65-P65)/I$4)*(G65/(C65-MIN(D65,I$5)))*U$13,K65-(K65-(K65-P65)/I$4)*(G65/(C65-MIN(D64,I$5)))*U$13)))))</f>
        <v>0.1307039414683942</v>
      </c>
      <c r="V65" s="258">
        <f t="shared" si="33"/>
        <v>0</v>
      </c>
      <c r="W65" s="274">
        <f t="shared" si="50"/>
        <v>1</v>
      </c>
      <c r="X65" s="22">
        <f t="shared" si="34"/>
        <v>0.1307039414683942</v>
      </c>
      <c r="Y65" s="177">
        <f t="shared" si="31"/>
        <v>0</v>
      </c>
      <c r="Z65" s="163">
        <f t="shared" si="35"/>
        <v>0.1307039414683942</v>
      </c>
      <c r="AA65" s="306"/>
      <c r="AB65" s="306"/>
      <c r="AC65" s="306"/>
      <c r="AD65" s="219">
        <f>IF(H65&lt;0.02,0,IF(LEGPLUIMVEE!$H$11="geen droogtunnel",IF(LEGPLUIMVEE!$H$15="geen warmtewisselaar",(P65-(K65-T65)/T$13),K65-(K65-O65)/I$6-(K65-T65)/95%)+IF(LEGPLUIMVEE!$J$18="ja",(K65-O65)*(1-I$6)),IF(LEGPLUIMVEE!$H$12&gt;=0,IF(LEGPLUIMVEE!$L$9="ja",IF(LEGPLUIMVEE!$J$18="ja",IF(LEGPLUIMVEE!$H$20="ja",O65-(K65-U65),IF(LEGPLUIMVEE!$H$20="nee",(O65-(K65-U65)),(O65-(K65-U65)))),IF(LEGPLUIMVEE!$J$18="nee",IF(LEGPLUIMVEE!$H$20="nee",O65-(K65-U65)/81%,O65-(K65-U65)))),IF(LEGPLUIMVEE!$L$9="nee",IF(LEGPLUIMVEE!$J$18="nee",IF(LEGPLUIMVEE!$H$20="nee",O65-(K65-U65)/95%,O65-(K65-U65)),IF(LEGPLUIMVEE!$H$20="nee",IF(LEGPLUIMVEE!$J$18="ja",IF(LEGPLUIMVEE!$L$9="nee",O65-(K65-U65))),O65-(K65-U65))))))))</f>
        <v>0.1307039414683942</v>
      </c>
      <c r="AE65" s="239">
        <f>IF(H65&lt;0.02,0,IF(LEGPLUIMVEE!$H$11="geen droogtunnel",IF(LEGPLUIMVEE!$H$15="geen warmtewisselaar",(K65-(K65-T65)/T$13),K65-(K65-N65)/I$6-((K65-T65)/95%))+IF(LEGPLUIMVEE!$J$18="ja",(K65-O65)*(1-I$6)),IF(LEGPLUIMVEE!$H$12&gt;=0,IF(LEGPLUIMVEE!$L$9="ja",IF(LEGPLUIMVEE!$J$18="ja",IF(LEGPLUIMVEE!$H$20="ja",S65-(K65-N65)-(K65-U65),IF(LEGPLUIMVEE!$H$20="nee",(S65-(K65-N65)-(K65-U65)),(O65-(K65-U65)))),IF(LEGPLUIMVEE!$J$18="nee",IF(LEGPLUIMVEE!$H$20="nee",S65*$N$72-(K65-N65)-(K65-U65),S65-(K65-N65)-(K65-U65)))),IF(LEGPLUIMVEE!$L$9="nee",IF(LEGPLUIMVEE!$J$18="nee",IF(LEGPLUIMVEE!$H$20="nee",(N65-(K65-S65)/I$4-(K65-U65)),N65-(K65-S65)/I$4-(K65-U65)),IF(LEGPLUIMVEE!$H$20="nee",IF(LEGPLUIMVEE!$J$18="ja",IF(LEGPLUIMVEE!$L$9="nee",N65-(K65-S65)/I$4-(K65-U65))),N65-(K65-S65)/I$4-(K65-U65))))))))</f>
        <v>0.1307039414683942</v>
      </c>
      <c r="AF65" s="219"/>
      <c r="AG65" s="164">
        <f t="shared" si="36"/>
        <v>1</v>
      </c>
      <c r="AH65" s="35">
        <f t="shared" si="37"/>
        <v>0</v>
      </c>
      <c r="AI65" s="36">
        <f t="shared" si="38"/>
        <v>1.6674</v>
      </c>
      <c r="AJ65" s="36">
        <f t="shared" si="39"/>
        <v>0</v>
      </c>
      <c r="AK65" s="37">
        <f t="shared" si="40"/>
        <v>0</v>
      </c>
      <c r="AL65" s="36">
        <f t="shared" si="28"/>
        <v>1.6674</v>
      </c>
      <c r="AM65" s="36">
        <f t="shared" si="41"/>
        <v>0</v>
      </c>
      <c r="AN65" s="37">
        <f t="shared" si="42"/>
        <v>6.1583017027516602</v>
      </c>
      <c r="AO65" s="36">
        <f t="shared" si="43"/>
        <v>0.1307039414683942</v>
      </c>
      <c r="AP65" s="38">
        <f t="shared" si="44"/>
        <v>0.1307039414683942</v>
      </c>
      <c r="AR65" s="123">
        <f t="shared" si="45"/>
        <v>1.6674</v>
      </c>
      <c r="AS65" s="123">
        <f t="shared" si="46"/>
        <v>1.6657325999999999</v>
      </c>
      <c r="AT65" s="123">
        <f t="shared" si="47"/>
        <v>1.6657325999999999</v>
      </c>
      <c r="AU65" s="123">
        <f t="shared" si="48"/>
        <v>0.1307039414683942</v>
      </c>
    </row>
    <row r="66" spans="1:47" x14ac:dyDescent="0.25">
      <c r="A66" s="6">
        <v>30</v>
      </c>
      <c r="B66" s="3">
        <v>8.1186440677966107</v>
      </c>
      <c r="C66" s="5">
        <f>MIN(I2,6.4340296808296)</f>
        <v>6.4340296808295996</v>
      </c>
      <c r="D66" s="21">
        <f t="shared" si="20"/>
        <v>0</v>
      </c>
      <c r="E66" s="21">
        <f>IF(I$3=0,0,IF(LEGPLUIMVEE!$H$13="parallel geschakeld met warmtewisselaar",0,MIN(I$3,C66)))</f>
        <v>0</v>
      </c>
      <c r="F66" s="21">
        <f>IF(I$3=0,0,IF(LEGPLUIMVEE!$H$13="serie geschakeld met warmtewisselaar",0,IF(C66&lt;$I$3,C66-D66,MIN($I$3,C66-D66))))</f>
        <v>0</v>
      </c>
      <c r="G66" s="21">
        <f>IF(C66&lt;$I$7,MAX(0,C66-D66-E66-F66,IF(LEGPLUIMVEE!$H$15="warmtewisselaar",IF(LEGPLUIMVEE!$H$13="serie geschakeld met warmtewisselaar",MIN(I$7,MAX(0,C66-D66-F66)),MIN(I$7,MAX(0,'legh WW+droogt'!C66-D66-E66-F66))))),IF(LEGPLUIMVEE!$H$13="parallel geschakeld met warmtewisselaar",MIN(I$7,C66-D66-E66-F66,MIN(I$7,C66-E66-F66)),MIN(I$7,MAX(0,C66-D66-F66))))</f>
        <v>0</v>
      </c>
      <c r="H66" s="21">
        <f>IF(LEGPLUIMVEE!$H$13="parallel geschakeld met warmtewisselaar",IF(LEGPLUIMVEE!$L$9="nee",IF(LEGPLUIMVEE!$J$18="ja",C66-F66-G66,C66-D66-F66-G66),IF(LEGPLUIMVEE!$L$9="ja",IF(LEGPLUIMVEE!$J$18="ja",C66-G66,IF(LEGPLUIMVEE!$J$18="nee",C66-D66-G66)))),IF(LEGPLUIMVEE!$H$13="serie geschakeld met warmtewisselaar",IF(LEGPLUIMVEE!$J$18="ja",C66-G66,C66-D66-F66-G66),C66-D66-F66-G66))</f>
        <v>6.4340296808295996</v>
      </c>
      <c r="I66" s="121">
        <f t="shared" si="21"/>
        <v>6.4340296808295996</v>
      </c>
      <c r="J66" s="175">
        <v>1.6133</v>
      </c>
      <c r="K66" s="183">
        <f t="shared" si="22"/>
        <v>8.4271688479245196E-2</v>
      </c>
      <c r="L66" s="164">
        <f>SUM(K$16:K66)/$K$73</f>
        <v>0.99820960140895709</v>
      </c>
      <c r="M66" s="22">
        <f t="shared" si="23"/>
        <v>8.4271688479245196E-2</v>
      </c>
      <c r="N66" s="22">
        <f t="shared" si="51"/>
        <v>8.4271688479245196E-2</v>
      </c>
      <c r="O66" s="312">
        <f>IF(E66&lt;I$3,P66*(1-I$6*D66/C66),
IF(LEGPLUIMVEE!$H$11="droogtunnel (platen) 55%",((K66-P66)/I$4-(K66-P66))*(1-I$6)+K66-(K66-P66)/I$4-
IF(D66&gt;E66,(D66-E66)/C66*(K66-P66)),
P66*(1-$I$6)+(C66-D66)/C66*(K66-P66*(1-I$6))))</f>
        <v>8.4271688479245196E-2</v>
      </c>
      <c r="P66" s="162">
        <f t="shared" si="24"/>
        <v>8.4271688479245196E-2</v>
      </c>
      <c r="Q66" s="181">
        <f t="shared" si="29"/>
        <v>1</v>
      </c>
      <c r="R66" s="184">
        <f t="shared" si="25"/>
        <v>1</v>
      </c>
      <c r="S66" s="166">
        <f t="shared" si="32"/>
        <v>8.4271688479245196E-2</v>
      </c>
      <c r="T66" s="166">
        <f t="shared" si="26"/>
        <v>8.4271688479245196E-2</v>
      </c>
      <c r="U66" s="283">
        <f>IF(G66&lt;0.1,K66,IF(C66=F66,S66/(1-I$4),IF(I$3=0,K66-(G66/C66)*K66*U$13,IF(LEGPLUIMVEE!$H$13="Parallel geschakeld met warmtewisselaar",K66-(K66-(K66-S66)/I$4)*(G66/(C66-F66))*U$13,IF(LEGPLUIMVEE!$H$20="ja",K66-(K66-(K66-P66)/I$4)*(G66/(C66-MIN(D66,I$5)))*U$13,K66-(K66-(K66-P66)/I$4)*(G66/(C66-MIN(D65,I$5)))*U$13)))))</f>
        <v>8.4271688479245196E-2</v>
      </c>
      <c r="V66" s="258">
        <f t="shared" si="33"/>
        <v>0</v>
      </c>
      <c r="W66" s="274">
        <f t="shared" si="50"/>
        <v>1</v>
      </c>
      <c r="X66" s="22">
        <f t="shared" si="34"/>
        <v>8.4271688479245196E-2</v>
      </c>
      <c r="Y66" s="177">
        <f t="shared" si="31"/>
        <v>0</v>
      </c>
      <c r="Z66" s="163">
        <f t="shared" si="35"/>
        <v>8.4271688479245196E-2</v>
      </c>
      <c r="AA66" s="306"/>
      <c r="AB66" s="306"/>
      <c r="AC66" s="306"/>
      <c r="AD66" s="219">
        <f>IF(H66&lt;0.02,0,IF(LEGPLUIMVEE!$H$11="geen droogtunnel",IF(LEGPLUIMVEE!$H$15="geen warmtewisselaar",(P66-(K66-T66)/T$13),K66-(K66-O66)/I$6-(K66-T66)/95%)+IF(LEGPLUIMVEE!$J$18="ja",(K66-O66)*(1-I$6)),IF(LEGPLUIMVEE!$H$12&gt;=0,IF(LEGPLUIMVEE!$L$9="ja",IF(LEGPLUIMVEE!$J$18="ja",IF(LEGPLUIMVEE!$H$20="ja",O66-(K66-U66),IF(LEGPLUIMVEE!$H$20="nee",(O66-(K66-U66)),(O66-(K66-U66)))),IF(LEGPLUIMVEE!$J$18="nee",IF(LEGPLUIMVEE!$H$20="nee",O66-(K66-U66)/81%,O66-(K66-U66)))),IF(LEGPLUIMVEE!$L$9="nee",IF(LEGPLUIMVEE!$J$18="nee",IF(LEGPLUIMVEE!$H$20="nee",O66-(K66-U66)/95%,O66-(K66-U66)),IF(LEGPLUIMVEE!$H$20="nee",IF(LEGPLUIMVEE!$J$18="ja",IF(LEGPLUIMVEE!$L$9="nee",O66-(K66-U66))),O66-(K66-U66))))))))</f>
        <v>8.4271688479245196E-2</v>
      </c>
      <c r="AE66" s="239">
        <f>IF(H66&lt;0.02,0,IF(LEGPLUIMVEE!$H$11="geen droogtunnel",IF(LEGPLUIMVEE!$H$15="geen warmtewisselaar",(K66-(K66-T66)/T$13),K66-(K66-N66)/I$6-((K66-T66)/95%))+IF(LEGPLUIMVEE!$J$18="ja",(K66-O66)*(1-I$6)),IF(LEGPLUIMVEE!$H$12&gt;=0,IF(LEGPLUIMVEE!$L$9="ja",IF(LEGPLUIMVEE!$J$18="ja",IF(LEGPLUIMVEE!$H$20="ja",S66-(K66-N66)-(K66-U66),IF(LEGPLUIMVEE!$H$20="nee",(S66-(K66-N66)-(K66-U66)),(O66-(K66-U66)))),IF(LEGPLUIMVEE!$J$18="nee",IF(LEGPLUIMVEE!$H$20="nee",S66*$N$72-(K66-N66)-(K66-U66),S66-(K66-N66)-(K66-U66)))),IF(LEGPLUIMVEE!$L$9="nee",IF(LEGPLUIMVEE!$J$18="nee",IF(LEGPLUIMVEE!$H$20="nee",(N66-(K66-S66)/I$4-(K66-U66)),N66-(K66-S66)/I$4-(K66-U66)),IF(LEGPLUIMVEE!$H$20="nee",IF(LEGPLUIMVEE!$J$18="ja",IF(LEGPLUIMVEE!$L$9="nee",N66-(K66-S66)/I$4-(K66-U66))),N66-(K66-S66)/I$4-(K66-U66))))))))</f>
        <v>8.4271688479245196E-2</v>
      </c>
      <c r="AF66" s="219"/>
      <c r="AG66" s="164">
        <f t="shared" si="36"/>
        <v>1</v>
      </c>
      <c r="AH66" s="35">
        <f t="shared" si="37"/>
        <v>0</v>
      </c>
      <c r="AI66" s="36">
        <f t="shared" si="38"/>
        <v>1.6133</v>
      </c>
      <c r="AJ66" s="36">
        <f t="shared" si="39"/>
        <v>0</v>
      </c>
      <c r="AK66" s="37">
        <f t="shared" si="40"/>
        <v>0</v>
      </c>
      <c r="AL66" s="36">
        <f t="shared" si="28"/>
        <v>1.6133</v>
      </c>
      <c r="AM66" s="36">
        <f t="shared" si="41"/>
        <v>0</v>
      </c>
      <c r="AN66" s="37">
        <f t="shared" si="42"/>
        <v>6.4340296808295996</v>
      </c>
      <c r="AO66" s="36">
        <f t="shared" si="43"/>
        <v>8.4271688479245196E-2</v>
      </c>
      <c r="AP66" s="38">
        <f t="shared" si="44"/>
        <v>8.4271688479245196E-2</v>
      </c>
      <c r="AR66" s="123">
        <f t="shared" si="45"/>
        <v>1.6133</v>
      </c>
      <c r="AS66" s="123">
        <f t="shared" si="46"/>
        <v>1.6116866999999999</v>
      </c>
      <c r="AT66" s="123">
        <f t="shared" si="47"/>
        <v>1.6116866999999999</v>
      </c>
      <c r="AU66" s="123">
        <f t="shared" si="48"/>
        <v>8.4271688479245196E-2</v>
      </c>
    </row>
    <row r="67" spans="1:47" x14ac:dyDescent="0.25">
      <c r="A67" s="6">
        <v>31</v>
      </c>
      <c r="B67" s="3">
        <v>5.593220338983051</v>
      </c>
      <c r="C67" s="5">
        <f>MIN(I2,6.72210293225799)</f>
        <v>6.7221029322579904</v>
      </c>
      <c r="D67" s="21">
        <f t="shared" si="20"/>
        <v>0</v>
      </c>
      <c r="E67" s="21">
        <f>IF(I$3=0,0,IF(LEGPLUIMVEE!$H$13="parallel geschakeld met warmtewisselaar",0,MIN(I$3,C67)))</f>
        <v>0</v>
      </c>
      <c r="F67" s="21">
        <f>IF(I$3=0,0,IF(LEGPLUIMVEE!$H$13="serie geschakeld met warmtewisselaar",0,IF(C67&lt;$I$3,C67-D67,MIN($I$3,C67-D67))))</f>
        <v>0</v>
      </c>
      <c r="G67" s="21">
        <f>IF(C67&lt;$I$7,MAX(0,C67-D67-E67-F67,IF(LEGPLUIMVEE!$H$15="warmtewisselaar",IF(LEGPLUIMVEE!$H$13="serie geschakeld met warmtewisselaar",MIN(I$7,MAX(0,C67-D67-F67)),MIN(I$7,MAX(0,'legh WW+droogt'!C67-D67-E67-F67))))),IF(LEGPLUIMVEE!$H$13="parallel geschakeld met warmtewisselaar",MIN(I$7,C67-D67-E67-F67,MIN(I$7,C67-E67-F67)),MIN(I$7,MAX(0,C67-D67-F67))))</f>
        <v>0</v>
      </c>
      <c r="H67" s="21">
        <f>IF(LEGPLUIMVEE!$H$13="parallel geschakeld met warmtewisselaar",IF(LEGPLUIMVEE!$L$9="nee",IF(LEGPLUIMVEE!$J$18="ja",C67-F67-G67,C67-D67-F67-G67),IF(LEGPLUIMVEE!$L$9="ja",IF(LEGPLUIMVEE!$J$18="ja",C67-G67,IF(LEGPLUIMVEE!$J$18="nee",C67-D67-G67)))),IF(LEGPLUIMVEE!$H$13="serie geschakeld met warmtewisselaar",IF(LEGPLUIMVEE!$J$18="ja",C67-G67,C67-D67-F67-G67),C67-D67-F67-G67))</f>
        <v>6.7221029322579904</v>
      </c>
      <c r="I67" s="121">
        <f t="shared" si="21"/>
        <v>6.7221029322579904</v>
      </c>
      <c r="J67" s="175">
        <v>1.5591999999999999</v>
      </c>
      <c r="K67" s="183">
        <f t="shared" si="22"/>
        <v>5.8623117870377925E-2</v>
      </c>
      <c r="L67" s="164">
        <f>SUM(K$16:K67)/$K$73</f>
        <v>0.99916626815987064</v>
      </c>
      <c r="M67" s="22">
        <f t="shared" si="23"/>
        <v>5.8623117870377925E-2</v>
      </c>
      <c r="N67" s="22">
        <f t="shared" si="51"/>
        <v>5.8623117870377925E-2</v>
      </c>
      <c r="O67" s="312">
        <f>IF(E67&lt;I$3,P67*(1-I$6*D67/C67),
IF(LEGPLUIMVEE!$H$11="droogtunnel (platen) 55%",((K67-P67)/I$4-(K67-P67))*(1-I$6)+K67-(K67-P67)/I$4-
IF(D67&gt;E67,(D67-E67)/C67*(K67-P67)),
P67*(1-$I$6)+(C67-D67)/C67*(K67-P67*(1-I$6))))</f>
        <v>5.8623117870377925E-2</v>
      </c>
      <c r="P67" s="162">
        <f t="shared" si="24"/>
        <v>5.8623117870377925E-2</v>
      </c>
      <c r="Q67" s="181">
        <f t="shared" si="29"/>
        <v>1</v>
      </c>
      <c r="R67" s="184">
        <f t="shared" si="25"/>
        <v>1</v>
      </c>
      <c r="S67" s="166">
        <f t="shared" si="32"/>
        <v>5.8623117870377925E-2</v>
      </c>
      <c r="T67" s="166">
        <f t="shared" si="26"/>
        <v>5.8623117870377925E-2</v>
      </c>
      <c r="U67" s="283">
        <f>IF(G67&lt;0.1,K67,IF(C67=F67,S67/(1-I$4),IF(I$3=0,K67-(G67/C67)*K67*U$13,IF(LEGPLUIMVEE!$H$13="Parallel geschakeld met warmtewisselaar",K67-(K67-(K67-S67)/I$4)*(G67/(C67-F67))*U$13,IF(LEGPLUIMVEE!$H$20="ja",K67-(K67-(K67-P67)/I$4)*(G67/(C67-MIN(D67,I$5)))*U$13,K67-(K67-(K67-P67)/I$4)*(G67/(C67-MIN(D66,I$5)))*U$13)))))</f>
        <v>5.8623117870377925E-2</v>
      </c>
      <c r="V67" s="258">
        <f t="shared" si="33"/>
        <v>0</v>
      </c>
      <c r="W67" s="274">
        <f t="shared" si="50"/>
        <v>1</v>
      </c>
      <c r="X67" s="22">
        <f t="shared" si="34"/>
        <v>5.8623117870377925E-2</v>
      </c>
      <c r="Y67" s="177">
        <f t="shared" si="31"/>
        <v>0</v>
      </c>
      <c r="Z67" s="163">
        <f t="shared" si="35"/>
        <v>5.8623117870377925E-2</v>
      </c>
      <c r="AA67" s="306"/>
      <c r="AB67" s="306"/>
      <c r="AC67" s="306"/>
      <c r="AD67" s="219">
        <f>IF(H67&lt;0.02,0,IF(LEGPLUIMVEE!$H$11="geen droogtunnel",IF(LEGPLUIMVEE!$H$15="geen warmtewisselaar",(P67-(K67-T67)/T$13),K67-(K67-O67)/I$6-(K67-T67)/95%)+IF(LEGPLUIMVEE!$J$18="ja",(K67-O67)*(1-I$6)),IF(LEGPLUIMVEE!$H$12&gt;=0,IF(LEGPLUIMVEE!$L$9="ja",IF(LEGPLUIMVEE!$J$18="ja",IF(LEGPLUIMVEE!$H$20="ja",O67-(K67-U67),IF(LEGPLUIMVEE!$H$20="nee",(O67-(K67-U67)),(O67-(K67-U67)))),IF(LEGPLUIMVEE!$J$18="nee",IF(LEGPLUIMVEE!$H$20="nee",O67-(K67-U67)/81%,O67-(K67-U67)))),IF(LEGPLUIMVEE!$L$9="nee",IF(LEGPLUIMVEE!$J$18="nee",IF(LEGPLUIMVEE!$H$20="nee",O67-(K67-U67)/95%,O67-(K67-U67)),IF(LEGPLUIMVEE!$H$20="nee",IF(LEGPLUIMVEE!$J$18="ja",IF(LEGPLUIMVEE!$L$9="nee",O67-(K67-U67))),O67-(K67-U67))))))))</f>
        <v>5.8623117870377925E-2</v>
      </c>
      <c r="AE67" s="239">
        <f>IF(H67&lt;0.02,0,IF(LEGPLUIMVEE!$H$11="geen droogtunnel",IF(LEGPLUIMVEE!$H$15="geen warmtewisselaar",(K67-(K67-T67)/T$13),K67-(K67-N67)/I$6-((K67-T67)/95%))+IF(LEGPLUIMVEE!$J$18="ja",(K67-O67)*(1-I$6)),IF(LEGPLUIMVEE!$H$12&gt;=0,IF(LEGPLUIMVEE!$L$9="ja",IF(LEGPLUIMVEE!$J$18="ja",IF(LEGPLUIMVEE!$H$20="ja",S67-(K67-N67)-(K67-U67),IF(LEGPLUIMVEE!$H$20="nee",(S67-(K67-N67)-(K67-U67)),(O67-(K67-U67)))),IF(LEGPLUIMVEE!$J$18="nee",IF(LEGPLUIMVEE!$H$20="nee",S67*$N$72-(K67-N67)-(K67-U67),S67-(K67-N67)-(K67-U67)))),IF(LEGPLUIMVEE!$L$9="nee",IF(LEGPLUIMVEE!$J$18="nee",IF(LEGPLUIMVEE!$H$20="nee",(N67-(K67-S67)/I$4-(K67-U67)),N67-(K67-S67)/I$4-(K67-U67)),IF(LEGPLUIMVEE!$H$20="nee",IF(LEGPLUIMVEE!$J$18="ja",IF(LEGPLUIMVEE!$L$9="nee",N67-(K67-S67)/I$4-(K67-U67))),N67-(K67-S67)/I$4-(K67-U67))))))))</f>
        <v>5.8623117870377925E-2</v>
      </c>
      <c r="AF67" s="219"/>
      <c r="AG67" s="164">
        <f t="shared" si="36"/>
        <v>1</v>
      </c>
      <c r="AH67" s="35">
        <f t="shared" si="37"/>
        <v>0</v>
      </c>
      <c r="AI67" s="36">
        <f t="shared" si="38"/>
        <v>1.5591999999999999</v>
      </c>
      <c r="AJ67" s="36">
        <f t="shared" si="39"/>
        <v>0</v>
      </c>
      <c r="AK67" s="37">
        <f t="shared" si="40"/>
        <v>0</v>
      </c>
      <c r="AL67" s="36">
        <f t="shared" si="28"/>
        <v>1.5591999999999999</v>
      </c>
      <c r="AM67" s="36">
        <f t="shared" si="41"/>
        <v>0</v>
      </c>
      <c r="AN67" s="37">
        <f t="shared" si="42"/>
        <v>6.7221029322579904</v>
      </c>
      <c r="AO67" s="36">
        <f t="shared" si="43"/>
        <v>5.8623117870377925E-2</v>
      </c>
      <c r="AP67" s="38">
        <f t="shared" si="44"/>
        <v>5.8623117870377925E-2</v>
      </c>
      <c r="AR67" s="123">
        <f t="shared" si="45"/>
        <v>1.5591999999999999</v>
      </c>
      <c r="AS67" s="123">
        <f t="shared" si="46"/>
        <v>1.5576407999999999</v>
      </c>
      <c r="AT67" s="123">
        <f t="shared" si="47"/>
        <v>1.5576407999999999</v>
      </c>
      <c r="AU67" s="123">
        <f t="shared" si="48"/>
        <v>5.8623117870377918E-2</v>
      </c>
    </row>
    <row r="68" spans="1:47" x14ac:dyDescent="0.25">
      <c r="A68" s="6">
        <v>32</v>
      </c>
      <c r="B68" s="3">
        <v>2.7796610169491527</v>
      </c>
      <c r="C68" s="5">
        <f>MIN(I2,7.02307419664329)</f>
        <v>7.0230741966432904</v>
      </c>
      <c r="D68" s="21">
        <f t="shared" si="20"/>
        <v>0</v>
      </c>
      <c r="E68" s="21">
        <f>IF(I$3=0,0,IF(LEGPLUIMVEE!$H$13="parallel geschakeld met warmtewisselaar",0,MIN(I$3,C68)))</f>
        <v>0</v>
      </c>
      <c r="F68" s="21">
        <f>IF(I$3=0,0,IF(LEGPLUIMVEE!$H$13="serie geschakeld met warmtewisselaar",0,IF(C68&lt;$I$3,C68-D68,MIN($I$3,C68-D68))))</f>
        <v>0</v>
      </c>
      <c r="G68" s="21">
        <f>IF(C68&lt;$I$7,MAX(0,C68-D68-E68-F68,IF(LEGPLUIMVEE!$H$15="warmtewisselaar",IF(LEGPLUIMVEE!$H$13="serie geschakeld met warmtewisselaar",MIN(I$7,MAX(0,C68-D68-F68)),MIN(I$7,MAX(0,'legh WW+droogt'!C68-D68-E68-F68))))),IF(LEGPLUIMVEE!$H$13="parallel geschakeld met warmtewisselaar",MIN(I$7,C68-D68-E68-F68,MIN(I$7,C68-E68-F68)),MIN(I$7,MAX(0,C68-D68-F68))))</f>
        <v>0</v>
      </c>
      <c r="H68" s="21">
        <f>IF(LEGPLUIMVEE!$H$13="parallel geschakeld met warmtewisselaar",IF(LEGPLUIMVEE!$L$9="nee",IF(LEGPLUIMVEE!$J$18="ja",C68-F68-G68,C68-D68-F68-G68),IF(LEGPLUIMVEE!$L$9="ja",IF(LEGPLUIMVEE!$J$18="ja",C68-G68,IF(LEGPLUIMVEE!$J$18="nee",C68-D68-G68)))),IF(LEGPLUIMVEE!$H$13="serie geschakeld met warmtewisselaar",IF(LEGPLUIMVEE!$J$18="ja",C68-G68,C68-D68-F68-G68),C68-D68-F68-G68))</f>
        <v>7.0230741966432904</v>
      </c>
      <c r="I68" s="121">
        <f t="shared" si="21"/>
        <v>7.0230741966432904</v>
      </c>
      <c r="J68" s="122">
        <v>1.5050999999999999</v>
      </c>
      <c r="K68" s="183">
        <f t="shared" si="22"/>
        <v>2.9382209349700372E-2</v>
      </c>
      <c r="L68" s="164">
        <f>SUM(K$16:K68)/$K$73</f>
        <v>0.99964575447473014</v>
      </c>
      <c r="M68" s="22">
        <f t="shared" si="23"/>
        <v>2.9382209349700372E-2</v>
      </c>
      <c r="N68" s="22">
        <f t="shared" si="51"/>
        <v>2.9382209349700372E-2</v>
      </c>
      <c r="O68" s="312">
        <f>IF(E68&lt;I$3,P68*(1-I$6*D68/C68),
IF(LEGPLUIMVEE!$H$11="droogtunnel (platen) 55%",((K68-P68)/I$4-(K68-P68))*(1-I$6)+K68-(K68-P68)/I$4-
IF(D68&gt;E68,(D68-E68)/C68*(K68-P68)),
P68*(1-$I$6)+(C68-D68)/C68*(K68-P68*(1-I$6))))</f>
        <v>2.9382209349700372E-2</v>
      </c>
      <c r="P68" s="162">
        <f t="shared" si="24"/>
        <v>2.9382209349700372E-2</v>
      </c>
      <c r="Q68" s="181">
        <f t="shared" si="29"/>
        <v>1</v>
      </c>
      <c r="R68" s="184">
        <f t="shared" si="25"/>
        <v>1</v>
      </c>
      <c r="S68" s="166">
        <f t="shared" si="32"/>
        <v>2.9382209349700372E-2</v>
      </c>
      <c r="T68" s="166">
        <f t="shared" si="26"/>
        <v>2.9382209349700372E-2</v>
      </c>
      <c r="U68" s="283">
        <f>IF(G68&lt;0.1,K68,IF(C68=F68,S68/(1-I$4),IF(I$3=0,K68-(G68/C68)*K68*U$13,IF(LEGPLUIMVEE!$H$13="Parallel geschakeld met warmtewisselaar",K68-(K68-(K68-S68)/I$4)*(G68/(C68-F68))*U$13,IF(LEGPLUIMVEE!$H$20="ja",K68-(K68-(K68-P68)/I$4)*(G68/(C68-MIN(D68,I$5)))*U$13,K68-(K68-(K68-P68)/I$4)*(G68/(C68-MIN(D67,I$5)))*U$13)))))</f>
        <v>2.9382209349700372E-2</v>
      </c>
      <c r="V68" s="258">
        <f t="shared" si="33"/>
        <v>0</v>
      </c>
      <c r="W68" s="274">
        <f t="shared" si="50"/>
        <v>1</v>
      </c>
      <c r="X68" s="22">
        <f t="shared" si="34"/>
        <v>2.9382209349700372E-2</v>
      </c>
      <c r="Y68" s="177">
        <f t="shared" si="31"/>
        <v>0</v>
      </c>
      <c r="Z68" s="163">
        <f t="shared" si="35"/>
        <v>2.9382209349700372E-2</v>
      </c>
      <c r="AA68" s="306"/>
      <c r="AB68" s="306"/>
      <c r="AC68" s="306"/>
      <c r="AD68" s="219">
        <f>IF(H68&lt;0.02,0,IF(LEGPLUIMVEE!$H$11="geen droogtunnel",IF(LEGPLUIMVEE!$H$15="geen warmtewisselaar",(P68-(K68-T68)/T$13),K68-(K68-O68)/I$6-(K68-T68)/95%)+IF(LEGPLUIMVEE!$J$18="ja",(K68-O68)*(1-I$6)),IF(LEGPLUIMVEE!$H$12&gt;=0,IF(LEGPLUIMVEE!$L$9="ja",IF(LEGPLUIMVEE!$J$18="ja",IF(LEGPLUIMVEE!$H$20="ja",O68-(K68-U68),IF(LEGPLUIMVEE!$H$20="nee",(O68-(K68-U68)),(O68-(K68-U68)))),IF(LEGPLUIMVEE!$J$18="nee",IF(LEGPLUIMVEE!$H$20="nee",O68-(K68-U68)/81%,O68-(K68-U68)))),IF(LEGPLUIMVEE!$L$9="nee",IF(LEGPLUIMVEE!$J$18="nee",IF(LEGPLUIMVEE!$H$20="nee",O68-(K68-U68)/95%,O68-(K68-U68)),IF(LEGPLUIMVEE!$H$20="nee",IF(LEGPLUIMVEE!$J$18="ja",IF(LEGPLUIMVEE!$L$9="nee",O68-(K68-U68))),O68-(K68-U68))))))))</f>
        <v>2.9382209349700372E-2</v>
      </c>
      <c r="AE68" s="239">
        <f>IF(H68&lt;0.02,0,IF(LEGPLUIMVEE!$H$11="geen droogtunnel",IF(LEGPLUIMVEE!$H$15="geen warmtewisselaar",(K68-(K68-T68)/T$13),K68-(K68-N68)/I$6-((K68-T68)/95%))+IF(LEGPLUIMVEE!$J$18="ja",(K68-O68)*(1-I$6)),IF(LEGPLUIMVEE!$H$12&gt;=0,IF(LEGPLUIMVEE!$L$9="ja",IF(LEGPLUIMVEE!$J$18="ja",IF(LEGPLUIMVEE!$H$20="ja",S68-(K68-N68)-(K68-U68),IF(LEGPLUIMVEE!$H$20="nee",(S68-(K68-N68)-(K68-U68)),(O68-(K68-U68)))),IF(LEGPLUIMVEE!$J$18="nee",IF(LEGPLUIMVEE!$H$20="nee",S68*$N$72-(K68-N68)-(K68-U68),S68-(K68-N68)-(K68-U68)))),IF(LEGPLUIMVEE!$L$9="nee",IF(LEGPLUIMVEE!$J$18="nee",IF(LEGPLUIMVEE!$H$20="nee",(N68-(K68-S68)/I$4-(K68-U68)),N68-(K68-S68)/I$4-(K68-U68)),IF(LEGPLUIMVEE!$H$20="nee",IF(LEGPLUIMVEE!$J$18="ja",IF(LEGPLUIMVEE!$L$9="nee",N68-(K68-S68)/I$4-(K68-U68))),N68-(K68-S68)/I$4-(K68-U68))))))))</f>
        <v>2.9382209349700372E-2</v>
      </c>
      <c r="AF68" s="219"/>
      <c r="AG68" s="164">
        <f t="shared" si="36"/>
        <v>1</v>
      </c>
      <c r="AH68" s="35">
        <f t="shared" si="37"/>
        <v>0</v>
      </c>
      <c r="AI68" s="36">
        <f t="shared" si="38"/>
        <v>1.5050999999999999</v>
      </c>
      <c r="AJ68" s="36">
        <f t="shared" si="39"/>
        <v>0</v>
      </c>
      <c r="AK68" s="37">
        <f t="shared" si="40"/>
        <v>0</v>
      </c>
      <c r="AL68" s="36">
        <f t="shared" si="28"/>
        <v>1.5050999999999999</v>
      </c>
      <c r="AM68" s="36">
        <f t="shared" si="41"/>
        <v>0</v>
      </c>
      <c r="AN68" s="37">
        <f t="shared" si="42"/>
        <v>7.0230741966432904</v>
      </c>
      <c r="AO68" s="36">
        <f t="shared" si="43"/>
        <v>2.9382209349700372E-2</v>
      </c>
      <c r="AP68" s="38">
        <f t="shared" si="44"/>
        <v>2.9382209349700372E-2</v>
      </c>
      <c r="AR68" s="123">
        <f t="shared" si="45"/>
        <v>1.5050999999999999</v>
      </c>
      <c r="AS68" s="123">
        <f t="shared" si="46"/>
        <v>1.5035949</v>
      </c>
      <c r="AT68" s="123">
        <f t="shared" si="47"/>
        <v>1.5035949</v>
      </c>
      <c r="AU68" s="123">
        <f t="shared" si="48"/>
        <v>2.9382209349700369E-2</v>
      </c>
    </row>
    <row r="69" spans="1:47" x14ac:dyDescent="0.25">
      <c r="A69" s="6">
        <v>33</v>
      </c>
      <c r="B69" s="3">
        <v>1.2881355932203389</v>
      </c>
      <c r="C69" s="5">
        <f>MIN(I2,7.33752096161204)</f>
        <v>7.3375209616120403</v>
      </c>
      <c r="D69" s="21">
        <f t="shared" si="20"/>
        <v>0</v>
      </c>
      <c r="E69" s="21">
        <f>IF(I$3=0,0,IF(LEGPLUIMVEE!$H$13="parallel geschakeld met warmtewisselaar",0,MIN(I$3,C69)))</f>
        <v>0</v>
      </c>
      <c r="F69" s="21">
        <f>IF(I$3=0,0,IF(LEGPLUIMVEE!$H$13="serie geschakeld met warmtewisselaar",0,IF(C69&lt;$I$3,C69-D69,MIN($I$3,C69-D69))))</f>
        <v>0</v>
      </c>
      <c r="G69" s="21">
        <f>IF(C69&lt;$I$7,MAX(0,C69-D69-E69-F69,IF(LEGPLUIMVEE!$H$15="warmtewisselaar",IF(LEGPLUIMVEE!$H$13="serie geschakeld met warmtewisselaar",MIN(I$7,MAX(0,C69-D69-F69)),MIN(I$7,MAX(0,'legh WW+droogt'!C69-D69-E69-F69))))),IF(LEGPLUIMVEE!$H$13="parallel geschakeld met warmtewisselaar",MIN(I$7,C69-D69-E69-F69,MIN(I$7,C69-E69-F69)),MIN(I$7,MAX(0,C69-D69-F69))))</f>
        <v>0</v>
      </c>
      <c r="H69" s="21">
        <f>IF(LEGPLUIMVEE!$H$13="parallel geschakeld met warmtewisselaar",IF(LEGPLUIMVEE!$L$9="nee",IF(LEGPLUIMVEE!$J$18="ja",C69-F69-G69,C69-D69-F69-G69),IF(LEGPLUIMVEE!$L$9="ja",IF(LEGPLUIMVEE!$J$18="ja",C69-G69,IF(LEGPLUIMVEE!$J$18="nee",C69-D69-G69)))),IF(LEGPLUIMVEE!$H$13="serie geschakeld met warmtewisselaar",IF(LEGPLUIMVEE!$J$18="ja",C69-G69,C69-D69-F69-G69),C69-D69-F69-G69))</f>
        <v>7.3375209616120403</v>
      </c>
      <c r="I69" s="121">
        <f t="shared" si="21"/>
        <v>7.3375209616120403</v>
      </c>
      <c r="J69" s="122">
        <v>1.4509999999999998</v>
      </c>
      <c r="K69" s="183">
        <f t="shared" si="22"/>
        <v>1.3714448501063205E-2</v>
      </c>
      <c r="L69" s="164">
        <f>SUM(K$16:K69)/$K$73</f>
        <v>0.99986955964519364</v>
      </c>
      <c r="M69" s="22">
        <f t="shared" si="23"/>
        <v>1.3714448501063205E-2</v>
      </c>
      <c r="N69" s="22">
        <f t="shared" si="51"/>
        <v>1.3714448501063205E-2</v>
      </c>
      <c r="O69" s="312">
        <f>IF(E69&lt;I$3,P69*(1-I$6*D69/C69),
IF(LEGPLUIMVEE!$H$11="droogtunnel (platen) 55%",((K69-P69)/I$4-(K69-P69))*(1-I$6)+K69-(K69-P69)/I$4-
IF(D69&gt;E69,(D69-E69)/C69*(K69-P69)),
P69*(1-$I$6)+(C69-D69)/C69*(K69-P69*(1-I$6))))</f>
        <v>1.3714448501063205E-2</v>
      </c>
      <c r="P69" s="162">
        <f t="shared" si="24"/>
        <v>1.3714448501063205E-2</v>
      </c>
      <c r="Q69" s="181">
        <f t="shared" si="29"/>
        <v>1</v>
      </c>
      <c r="R69" s="184">
        <f t="shared" si="25"/>
        <v>1</v>
      </c>
      <c r="S69" s="166">
        <f t="shared" si="32"/>
        <v>1.3714448501063205E-2</v>
      </c>
      <c r="T69" s="166">
        <f t="shared" si="26"/>
        <v>1.3714448501063205E-2</v>
      </c>
      <c r="U69" s="283">
        <f>IF(G69&lt;0.1,K69,IF(C69=F69,S69/(1-I$4),IF(I$3=0,K69-(G69/C69)*K69*U$13,IF(LEGPLUIMVEE!$H$13="Parallel geschakeld met warmtewisselaar",K69-(K69-(K69-S69)/I$4)*(G69/(C69-F69))*U$13,IF(LEGPLUIMVEE!$H$20="ja",K69-(K69-(K69-P69)/I$4)*(G69/(C69-MIN(D69,I$5)))*U$13,K69-(K69-(K69-P69)/I$4)*(G69/(C69-MIN(D68,I$5)))*U$13)))))</f>
        <v>1.3714448501063205E-2</v>
      </c>
      <c r="V69" s="258">
        <f t="shared" si="33"/>
        <v>0</v>
      </c>
      <c r="W69" s="274">
        <f t="shared" si="50"/>
        <v>1</v>
      </c>
      <c r="X69" s="22">
        <f t="shared" si="34"/>
        <v>1.3714448501063205E-2</v>
      </c>
      <c r="Y69" s="177">
        <f t="shared" si="31"/>
        <v>0</v>
      </c>
      <c r="Z69" s="163">
        <f t="shared" si="35"/>
        <v>1.3714448501063205E-2</v>
      </c>
      <c r="AA69" s="306"/>
      <c r="AB69" s="306"/>
      <c r="AC69" s="306"/>
      <c r="AD69" s="219">
        <f>IF(H69&lt;0.02,0,IF(LEGPLUIMVEE!$H$11="geen droogtunnel",IF(LEGPLUIMVEE!$H$15="geen warmtewisselaar",(P69-(K69-T69)/T$13),K69-(K69-O69)/I$6-(K69-T69)/95%)+IF(LEGPLUIMVEE!$J$18="ja",(K69-O69)*(1-I$6)),IF(LEGPLUIMVEE!$H$12&gt;=0,IF(LEGPLUIMVEE!$L$9="ja",IF(LEGPLUIMVEE!$J$18="ja",IF(LEGPLUIMVEE!$H$20="ja",O69-(K69-U69),IF(LEGPLUIMVEE!$H$20="nee",(O69-(K69-U69)),(O69-(K69-U69)))),IF(LEGPLUIMVEE!$J$18="nee",IF(LEGPLUIMVEE!$H$20="nee",O69-(K69-U69)/81%,O69-(K69-U69)))),IF(LEGPLUIMVEE!$L$9="nee",IF(LEGPLUIMVEE!$J$18="nee",IF(LEGPLUIMVEE!$H$20="nee",O69-(K69-U69)/95%,O69-(K69-U69)),IF(LEGPLUIMVEE!$H$20="nee",IF(LEGPLUIMVEE!$J$18="ja",IF(LEGPLUIMVEE!$L$9="nee",O69-(K69-U69))),O69-(K69-U69))))))))</f>
        <v>1.3714448501063205E-2</v>
      </c>
      <c r="AE69" s="239">
        <f>IF(H69&lt;0.02,0,IF(LEGPLUIMVEE!$H$11="geen droogtunnel",IF(LEGPLUIMVEE!$H$15="geen warmtewisselaar",(K69-(K69-T69)/T$13),K69-(K69-N69)/I$6-((K69-T69)/95%))+IF(LEGPLUIMVEE!$J$18="ja",(K69-O69)*(1-I$6)),IF(LEGPLUIMVEE!$H$12&gt;=0,IF(LEGPLUIMVEE!$L$9="ja",IF(LEGPLUIMVEE!$J$18="ja",IF(LEGPLUIMVEE!$H$20="ja",S69-(K69-N69)-(K69-U69),IF(LEGPLUIMVEE!$H$20="nee",(S69-(K69-N69)-(K69-U69)),(O69-(K69-U69)))),IF(LEGPLUIMVEE!$J$18="nee",IF(LEGPLUIMVEE!$H$20="nee",S69*$N$72-(K69-N69)-(K69-U69),S69-(K69-N69)-(K69-U69)))),IF(LEGPLUIMVEE!$L$9="nee",IF(LEGPLUIMVEE!$J$18="nee",IF(LEGPLUIMVEE!$H$20="nee",(N69-(K69-S69)/I$4-(K69-U69)),N69-(K69-S69)/I$4-(K69-U69)),IF(LEGPLUIMVEE!$H$20="nee",IF(LEGPLUIMVEE!$J$18="ja",IF(LEGPLUIMVEE!$L$9="nee",N69-(K69-S69)/I$4-(K69-U69))),N69-(K69-S69)/I$4-(K69-U69))))))))</f>
        <v>1.3714448501063205E-2</v>
      </c>
      <c r="AF69" s="219"/>
      <c r="AG69" s="164">
        <f t="shared" si="36"/>
        <v>1</v>
      </c>
      <c r="AH69" s="35">
        <f t="shared" si="37"/>
        <v>0</v>
      </c>
      <c r="AI69" s="36">
        <f t="shared" si="38"/>
        <v>1.4509999999999998</v>
      </c>
      <c r="AJ69" s="36">
        <f t="shared" si="39"/>
        <v>0</v>
      </c>
      <c r="AK69" s="37">
        <f t="shared" si="40"/>
        <v>0</v>
      </c>
      <c r="AL69" s="36">
        <f t="shared" si="28"/>
        <v>1.4509999999999998</v>
      </c>
      <c r="AM69" s="36">
        <f t="shared" si="41"/>
        <v>0</v>
      </c>
      <c r="AN69" s="37">
        <f t="shared" si="42"/>
        <v>7.3375209616120403</v>
      </c>
      <c r="AO69" s="36">
        <f t="shared" si="43"/>
        <v>1.3714448501063205E-2</v>
      </c>
      <c r="AP69" s="38">
        <f t="shared" si="44"/>
        <v>1.3714448501063205E-2</v>
      </c>
      <c r="AR69" s="123">
        <f t="shared" si="45"/>
        <v>1.4509999999999998</v>
      </c>
      <c r="AS69" s="123">
        <f t="shared" si="46"/>
        <v>1.4495489999999998</v>
      </c>
      <c r="AT69" s="123">
        <f t="shared" si="47"/>
        <v>1.4495489999999998</v>
      </c>
      <c r="AU69" s="123">
        <f t="shared" si="48"/>
        <v>1.3714448501063207E-2</v>
      </c>
    </row>
    <row r="70" spans="1:47" x14ac:dyDescent="0.25">
      <c r="A70" s="6">
        <v>34</v>
      </c>
      <c r="B70" s="3">
        <v>0.59322033898305082</v>
      </c>
      <c r="C70" s="5">
        <f>MIN(I2,7.66604657086334)</f>
        <v>7.6660465708633403</v>
      </c>
      <c r="D70" s="21">
        <f>MIN(C70,J$5)</f>
        <v>0</v>
      </c>
      <c r="E70" s="21">
        <f>IF(I$3=0,0,IF(LEGPLUIMVEE!$H$13="parallel geschakeld met warmtewisselaar",0,MIN(I$3,C70)))</f>
        <v>0</v>
      </c>
      <c r="F70" s="21">
        <f>IF(I$3=0,0,IF(LEGPLUIMVEE!$H$13="serie geschakeld met warmtewisselaar",0,IF(C70&lt;$I$3,C70-D70,MIN($I$3,C70-D70))))</f>
        <v>0</v>
      </c>
      <c r="G70" s="21">
        <f>IF(C70&lt;$I$7,MAX(0,C70-D70-E70-F70,IF(LEGPLUIMVEE!$H$15="warmtewisselaar",IF(LEGPLUIMVEE!$H$13="serie geschakeld met warmtewisselaar",MIN(I$7,MAX(0,C70-D70-F70)),MIN(I$7,MAX(0,'legh WW+droogt'!C70-D70-E70-F70))))),IF(LEGPLUIMVEE!$H$13="parallel geschakeld met warmtewisselaar",MIN(I$7,C70-D70-E70-F70,MIN(I$7,C70-E70-F70)),MIN(I$7,MAX(0,C70-D70-F70))))</f>
        <v>0</v>
      </c>
      <c r="H70" s="21">
        <f>IF(LEGPLUIMVEE!$H$13="parallel geschakeld met warmtewisselaar",IF(LEGPLUIMVEE!$L$9="nee",IF(LEGPLUIMVEE!$J$18="ja",C70-F70-G70,C70-D70-F70-G70),IF(LEGPLUIMVEE!$L$9="ja",IF(LEGPLUIMVEE!$J$18="ja",C70-G70,IF(LEGPLUIMVEE!$J$18="nee",C70-D70-G70)))),IF(LEGPLUIMVEE!$H$13="serie geschakeld met warmtewisselaar",IF(LEGPLUIMVEE!$J$18="ja",C70-G70,C70-D70-F70-G70),C70-D70-F70-G70))</f>
        <v>7.6660465708633403</v>
      </c>
      <c r="I70" s="121">
        <f t="shared" si="21"/>
        <v>7.6660465708633403</v>
      </c>
      <c r="J70" s="122">
        <v>1.3968999999999998</v>
      </c>
      <c r="K70" s="163">
        <f t="shared" si="22"/>
        <v>6.3526189138875411E-3</v>
      </c>
      <c r="L70" s="164">
        <f>SUM(K$16:K70)/$K$73</f>
        <v>0.99997322760958918</v>
      </c>
      <c r="M70" s="22">
        <f t="shared" si="23"/>
        <v>6.3526189138875411E-3</v>
      </c>
      <c r="N70" s="22">
        <f t="shared" si="51"/>
        <v>6.3526189138875411E-3</v>
      </c>
      <c r="O70" s="312">
        <f>IF(E70&lt;I$3,P70*(1-I$6*D70/C70),
IF(LEGPLUIMVEE!$H$11="droogtunnel (platen) 55%",((K70-P70)/I$4-(K70-P70))*(1-I$6)+K70-(K70-P70)/I$4-
IF(D70&gt;E70,(D70-E70)/C70*(K70-P70)),
P70*(1-$I$6)+(C70-D70)/C70*(K70-P70*(1-I$6))))</f>
        <v>6.3526189138875411E-3</v>
      </c>
      <c r="P70" s="162">
        <f t="shared" si="24"/>
        <v>6.3526189138875411E-3</v>
      </c>
      <c r="Q70" s="181">
        <f t="shared" si="29"/>
        <v>1</v>
      </c>
      <c r="R70" s="184">
        <f t="shared" si="25"/>
        <v>1</v>
      </c>
      <c r="S70" s="166">
        <f t="shared" si="32"/>
        <v>6.3526189138875411E-3</v>
      </c>
      <c r="T70" s="166">
        <f t="shared" si="26"/>
        <v>6.3526189138875411E-3</v>
      </c>
      <c r="U70" s="283">
        <f>IF(G70&lt;0.1,K70,IF(C70=F70,S70/(1-I$4),IF(I$3=0,K70-(G70/C70)*K70*U$13,IF(LEGPLUIMVEE!$H$13="Parallel geschakeld met warmtewisselaar",K70-(K70-(K70-S70)/I$4)*(G70/(C70-F70))*U$13,IF(LEGPLUIMVEE!$H$20="ja",K70-(K70-(K70-P70)/I$4)*(G70/(C70-MIN(D70,I$5)))*U$13,K70-(K70-(K70-P70)/I$4)*(G70/(C70-MIN(D69,I$5)))*U$13)))))</f>
        <v>6.3526189138875411E-3</v>
      </c>
      <c r="V70" s="258">
        <f t="shared" si="33"/>
        <v>0</v>
      </c>
      <c r="W70" s="274">
        <f t="shared" si="50"/>
        <v>1</v>
      </c>
      <c r="X70" s="22">
        <f t="shared" si="34"/>
        <v>6.3526189138875411E-3</v>
      </c>
      <c r="Y70" s="177">
        <f t="shared" si="31"/>
        <v>0</v>
      </c>
      <c r="Z70" s="163">
        <f t="shared" si="35"/>
        <v>6.3526189138875411E-3</v>
      </c>
      <c r="AA70" s="306"/>
      <c r="AB70" s="306"/>
      <c r="AC70" s="306"/>
      <c r="AD70" s="219">
        <f>IF(H70&lt;0.02,0,IF(LEGPLUIMVEE!$H$11="geen droogtunnel",IF(LEGPLUIMVEE!$H$15="geen warmtewisselaar",(P70-(K70-T70)/T$13),K70-(K70-O70)/I$6-(K70-T70)/95%)+IF(LEGPLUIMVEE!$J$18="ja",(K70-O70)*(1-I$6)),IF(LEGPLUIMVEE!$H$12&gt;=0,IF(LEGPLUIMVEE!$L$9="ja",IF(LEGPLUIMVEE!$J$18="ja",IF(LEGPLUIMVEE!$H$20="ja",O70-(K70-U70),IF(LEGPLUIMVEE!$H$20="nee",(O70-(K70-U70)),(O70-(K70-U70)))),IF(LEGPLUIMVEE!$J$18="nee",IF(LEGPLUIMVEE!$H$20="nee",O70-(K70-U70)/81%,O70-(K70-U70)))),IF(LEGPLUIMVEE!$L$9="nee",IF(LEGPLUIMVEE!$J$18="nee",IF(LEGPLUIMVEE!$H$20="nee",O70-(K70-U70)/95%,O70-(K70-U70)),IF(LEGPLUIMVEE!$H$20="nee",IF(LEGPLUIMVEE!$J$18="ja",IF(LEGPLUIMVEE!$L$9="nee",O70-(K70-U70))),O70-(K70-U70))))))))</f>
        <v>6.3526189138875411E-3</v>
      </c>
      <c r="AE70" s="239">
        <f>IF(H70&lt;0.02,0,IF(LEGPLUIMVEE!$H$11="geen droogtunnel",IF(LEGPLUIMVEE!$H$15="geen warmtewisselaar",(K70-(K70-T70)/T$13),K70-(K70-N70)/I$6-((K70-T70)/95%))+IF(LEGPLUIMVEE!$J$18="ja",(K70-O70)*(1-I$6)),IF(LEGPLUIMVEE!$H$12&gt;=0,IF(LEGPLUIMVEE!$L$9="ja",IF(LEGPLUIMVEE!$J$18="ja",IF(LEGPLUIMVEE!$H$20="ja",S70-(K70-N70)-(K70-U70),IF(LEGPLUIMVEE!$H$20="nee",(S70-(K70-N70)-(K70-U70)),(O70-(K70-U70)))),IF(LEGPLUIMVEE!$J$18="nee",IF(LEGPLUIMVEE!$H$20="nee",S70*$N$72-(K70-N70)-(K70-U70),S70-(K70-N70)-(K70-U70)))),IF(LEGPLUIMVEE!$L$9="nee",IF(LEGPLUIMVEE!$J$18="nee",IF(LEGPLUIMVEE!$H$20="nee",(N70-(K70-S70)/I$4-(K70-U70)),N70-(K70-S70)/I$4-(K70-U70)),IF(LEGPLUIMVEE!$H$20="nee",IF(LEGPLUIMVEE!$J$18="ja",IF(LEGPLUIMVEE!$L$9="nee",N70-(K70-S70)/I$4-(K70-U70))),N70-(K70-S70)/I$4-(K70-U70))))))))</f>
        <v>6.3526189138875411E-3</v>
      </c>
      <c r="AF70" s="219"/>
      <c r="AG70" s="164">
        <f t="shared" si="36"/>
        <v>1</v>
      </c>
      <c r="AH70" s="35">
        <f t="shared" si="37"/>
        <v>0</v>
      </c>
      <c r="AI70" s="36">
        <f t="shared" si="38"/>
        <v>1.3968999999999998</v>
      </c>
      <c r="AJ70" s="36">
        <f t="shared" si="39"/>
        <v>0</v>
      </c>
      <c r="AK70" s="37">
        <f t="shared" si="40"/>
        <v>0</v>
      </c>
      <c r="AL70" s="36">
        <f t="shared" si="28"/>
        <v>1.3968999999999998</v>
      </c>
      <c r="AM70" s="36">
        <f t="shared" si="41"/>
        <v>0</v>
      </c>
      <c r="AN70" s="37">
        <f t="shared" si="42"/>
        <v>7.6660465708633403</v>
      </c>
      <c r="AO70" s="36">
        <f t="shared" si="43"/>
        <v>6.3526189138875411E-3</v>
      </c>
      <c r="AP70" s="38">
        <f t="shared" si="44"/>
        <v>6.3526189138875411E-3</v>
      </c>
      <c r="AR70" s="123">
        <f t="shared" si="45"/>
        <v>1.3968999999999998</v>
      </c>
      <c r="AS70" s="123">
        <f t="shared" si="46"/>
        <v>1.3955030999999998</v>
      </c>
      <c r="AT70" s="123">
        <f t="shared" si="47"/>
        <v>1.3955030999999998</v>
      </c>
      <c r="AU70" s="123">
        <f t="shared" si="48"/>
        <v>6.3526189138875411E-3</v>
      </c>
    </row>
    <row r="71" spans="1:47" x14ac:dyDescent="0.25">
      <c r="A71" s="6">
        <v>35</v>
      </c>
      <c r="B71" s="3">
        <v>0.15254237288135594</v>
      </c>
      <c r="C71" s="5">
        <f>MIN(I2,8.00928138183258)</f>
        <v>8.0092813818325794</v>
      </c>
      <c r="D71" s="21">
        <f>MIN(C71,J$5)</f>
        <v>0</v>
      </c>
      <c r="E71" s="21">
        <f>IF(I$3=0,0,IF(LEGPLUIMVEE!$H$13="parallel geschakeld met warmtewisselaar",0,MIN(I$3,C71)))</f>
        <v>0</v>
      </c>
      <c r="F71" s="21">
        <f>IF(I$3=0,0,IF(LEGPLUIMVEE!$H$13="serie geschakeld met warmtewisselaar",0,IF(C71&lt;$I$3,C71-D71,MIN($I$3,C71-D71))))</f>
        <v>0</v>
      </c>
      <c r="G71" s="21">
        <f>IF(C71&lt;$I$7,MAX(0,C71-D71-E71-F71,IF(LEGPLUIMVEE!$H$15="warmtewisselaar",IF(LEGPLUIMVEE!$H$13="serie geschakeld met warmtewisselaar",MIN(I$7,MAX(0,C71-D71-F71)),MIN(I$7,MAX(0,'legh WW+droogt'!C71-D71-E71-F71))))),IF(LEGPLUIMVEE!$H$13="parallel geschakeld met warmtewisselaar",MIN(I$7,C71-D71-E71-F71,MIN(I$7,C71-E71-F71)),MIN(I$7,MAX(0,C71-D71-F71))))</f>
        <v>0</v>
      </c>
      <c r="H71" s="21">
        <f>IF(LEGPLUIMVEE!$H$13="parallel geschakeld met warmtewisselaar",IF(LEGPLUIMVEE!$L$9="nee",IF(LEGPLUIMVEE!$J$18="ja",C71-F71-G71,C71-D71-F71-G71),IF(LEGPLUIMVEE!$L$9="ja",IF(LEGPLUIMVEE!$J$18="ja",C71-G71,IF(LEGPLUIMVEE!$J$18="nee",C71-D71-G71)))),IF(LEGPLUIMVEE!$H$13="serie geschakeld met warmtewisselaar",IF(LEGPLUIMVEE!$J$18="ja",C71-G71,C71-D71-F71-G71),C71-D71-F71-G71))</f>
        <v>8.0092813818325794</v>
      </c>
      <c r="I71" s="121">
        <f t="shared" si="21"/>
        <v>8.0092813818325794</v>
      </c>
      <c r="J71" s="122">
        <v>1.3427999999999998</v>
      </c>
      <c r="K71" s="270">
        <f t="shared" si="22"/>
        <v>1.640572328063103E-3</v>
      </c>
      <c r="L71" s="164">
        <f>SUM(K$16:K71)/$K$73</f>
        <v>1</v>
      </c>
      <c r="M71" s="22">
        <f t="shared" si="23"/>
        <v>1.640572328063103E-3</v>
      </c>
      <c r="N71" s="237">
        <f>$K71*(1-($I$6*(D71)/C71))</f>
        <v>1.640572328063103E-3</v>
      </c>
      <c r="O71" s="312">
        <f>IF(E71&lt;I$3,P71*(1-I$6*D71/C71),
IF(LEGPLUIMVEE!$H$11="droogtunnel (platen) 55%",((K71-P71)/I$4-(K71-P71))*(1-I$6)+K71-(K71-P71)/I$4-
IF(D71&gt;E71,(D71-E71)/C71*(K71-P71)),
P71*(1-$I$6)+(C71-D71)/C71*(K71-P71*(1-I$6))))</f>
        <v>1.640572328063103E-3</v>
      </c>
      <c r="P71" s="162">
        <f>IF(E71=0,K71,K71-K71*I$4*E71/C71)</f>
        <v>1.640572328063103E-3</v>
      </c>
      <c r="Q71" s="181">
        <f t="shared" si="29"/>
        <v>1</v>
      </c>
      <c r="R71" s="184">
        <f t="shared" si="25"/>
        <v>1</v>
      </c>
      <c r="S71" s="166">
        <f t="shared" si="32"/>
        <v>1.640572328063103E-3</v>
      </c>
      <c r="T71" s="283">
        <f t="shared" si="26"/>
        <v>1.640572328063103E-3</v>
      </c>
      <c r="U71" s="283">
        <f>IF(G71&lt;0.1,K71,IF(C71=F71,S71/(1-I$4),IF(I$3=0,K71-(G71/C71)*K71*U$13,IF(LEGPLUIMVEE!$H$13="Parallel geschakeld met warmtewisselaar",K71-(K71-(K71-S71)/I$4)*(G71/(C71-F71))*U$13,IF(LEGPLUIMVEE!$H$20="ja",K71-(K71-(K71-P71)/I$4)*(G71/(C71-MIN(D71,I$5)))*U$13,K71-(K71-(K71-P71)/I$4)*(G71/(C71-MIN(D70,I$5)))*U$13)))))</f>
        <v>1.640572328063103E-3</v>
      </c>
      <c r="V71" s="258">
        <f t="shared" si="33"/>
        <v>0</v>
      </c>
      <c r="W71" s="274">
        <f>U71/O71</f>
        <v>1</v>
      </c>
      <c r="X71" s="162">
        <f>(((($J71/1000)*(1-$I$8))*$B71*$I71)*(1-$I$9))+(((($J71/1000)*(1-$I$8))*$B71*$D71)*(1-$I$6))+(((($J71/1000)*(1-$I$8))*$B71*$E71)*(1-$I$4))</f>
        <v>1.640572328063103E-3</v>
      </c>
      <c r="Y71" s="177">
        <f t="shared" si="31"/>
        <v>0</v>
      </c>
      <c r="Z71" s="163">
        <f t="shared" si="35"/>
        <v>1.640572328063103E-3</v>
      </c>
      <c r="AA71" s="306"/>
      <c r="AB71" s="306"/>
      <c r="AC71" s="306"/>
      <c r="AD71" s="219">
        <f>IF(H71&lt;0.02,0,IF(LEGPLUIMVEE!$H$11="geen droogtunnel",IF(LEGPLUIMVEE!$H$15="geen warmtewisselaar",(P71-(K71-T71)/T$13),K71-(K71-O71)/I$6-(K71-T71)/95%)+IF(LEGPLUIMVEE!$J$18="ja",(K71-O71)*(1-I$6)),IF(LEGPLUIMVEE!$H$12&gt;=0,IF(LEGPLUIMVEE!$L$9="ja",IF(LEGPLUIMVEE!$J$18="ja",IF(LEGPLUIMVEE!$H$20="ja",O71-(K71-U71),IF(LEGPLUIMVEE!$H$20="nee",(O71-(K71-U71)),(O71-(K71-U71)))),IF(LEGPLUIMVEE!$J$18="nee",IF(LEGPLUIMVEE!$H$20="nee",O71-(K71-U71)/81%,O71-(K71-U71)))),IF(LEGPLUIMVEE!$L$9="nee",IF(LEGPLUIMVEE!$J$18="nee",IF(LEGPLUIMVEE!$H$20="nee",O71-(K71-U71)/95%,O71-(K71-U71)),IF(LEGPLUIMVEE!$H$20="nee",IF(LEGPLUIMVEE!$J$18="ja",IF(LEGPLUIMVEE!$L$9="nee",O71-(K71-U71))),O71-(K71-U71))))))))</f>
        <v>1.640572328063103E-3</v>
      </c>
      <c r="AE71" s="239">
        <f>IF(H71&lt;0.02,0,IF(LEGPLUIMVEE!$H$11="geen droogtunnel",IF(LEGPLUIMVEE!$H$15="geen warmtewisselaar",(K71-(K71-T71)/T$13),K71-(K71-N71)/I$6-((K71-T71)/95%))+IF(LEGPLUIMVEE!$J$18="ja",(K71-O71)*(1-I$6)),IF(LEGPLUIMVEE!$H$12&gt;=0,IF(LEGPLUIMVEE!$L$9="ja",IF(LEGPLUIMVEE!$J$18="ja",IF(LEGPLUIMVEE!$H$20="ja",S71-(K71-N71)-(K71-U71),IF(LEGPLUIMVEE!$H$20="nee",(S71-(K71-N71)-(K71-U71)),(O71-(K71-U71)))),IF(LEGPLUIMVEE!$J$18="nee",IF(LEGPLUIMVEE!$H$20="nee",S71*$N$72-(K71-N71)-(K71-U71),S71-(K71-N71)-(K71-U71)))),IF(LEGPLUIMVEE!$L$9="nee",IF(LEGPLUIMVEE!$J$18="nee",IF(LEGPLUIMVEE!$H$20="nee",(N71-(K71-S71)/I$4-(K71-U71)),N71-(K71-S71)/I$4-(K71-U71)),IF(LEGPLUIMVEE!$H$20="nee",IF(LEGPLUIMVEE!$J$18="ja",IF(LEGPLUIMVEE!$L$9="nee",N71-(K71-S71)/I$4-(K71-U71))),N71-(K71-S71)/I$4-(K71-U71))))))))</f>
        <v>1.640572328063103E-3</v>
      </c>
      <c r="AF71" s="219"/>
      <c r="AG71" s="164">
        <f t="shared" si="36"/>
        <v>1</v>
      </c>
      <c r="AH71" s="39">
        <f t="shared" si="37"/>
        <v>0</v>
      </c>
      <c r="AI71" s="40">
        <f t="shared" si="38"/>
        <v>1.3427999999999998</v>
      </c>
      <c r="AJ71" s="40">
        <f t="shared" si="39"/>
        <v>0</v>
      </c>
      <c r="AK71" s="41">
        <f t="shared" si="40"/>
        <v>0</v>
      </c>
      <c r="AL71" s="40">
        <f t="shared" si="28"/>
        <v>1.3427999999999998</v>
      </c>
      <c r="AM71" s="40">
        <f t="shared" si="41"/>
        <v>0</v>
      </c>
      <c r="AN71" s="41">
        <f t="shared" si="42"/>
        <v>8.0092813818325794</v>
      </c>
      <c r="AO71" s="40">
        <f t="shared" si="43"/>
        <v>1.640572328063103E-3</v>
      </c>
      <c r="AP71" s="42">
        <f>MIN(K71,(IF(AH71&lt;$I$5,AM71+AO71,AM71+AO71+((AH71-AK71)*B71*(AI71/1000))))*(1-$I$10))</f>
        <v>1.640572328063103E-3</v>
      </c>
      <c r="AR71" s="123">
        <f t="shared" si="45"/>
        <v>1.3427999999999998</v>
      </c>
      <c r="AS71" s="123">
        <f t="shared" si="46"/>
        <v>1.3414571999999998</v>
      </c>
      <c r="AT71" s="123">
        <f t="shared" si="47"/>
        <v>1.3414571999999998</v>
      </c>
      <c r="AU71" s="123">
        <f t="shared" si="48"/>
        <v>1.6405723280631028E-3</v>
      </c>
    </row>
    <row r="72" spans="1:47" x14ac:dyDescent="0.25">
      <c r="D72" s="69" t="s">
        <v>34</v>
      </c>
      <c r="G72" s="21"/>
      <c r="H72" s="21"/>
      <c r="M72" s="1"/>
      <c r="N72" s="164">
        <f>MAX(86.64%,N71/K71)</f>
        <v>1</v>
      </c>
      <c r="O72" s="249"/>
      <c r="P72" s="1"/>
      <c r="Q72" s="1"/>
      <c r="R72" s="1"/>
      <c r="S72" s="26"/>
      <c r="T72" s="166"/>
      <c r="U72" s="284" t="s">
        <v>34</v>
      </c>
      <c r="W72" s="270"/>
      <c r="X72" s="19"/>
      <c r="Y72" s="178"/>
      <c r="Z72" s="1"/>
      <c r="AA72" s="306"/>
      <c r="AB72" s="306"/>
      <c r="AC72" s="306"/>
      <c r="AD72" s="252"/>
      <c r="AE72" s="205">
        <f>N72</f>
        <v>1</v>
      </c>
      <c r="AF72" s="216"/>
      <c r="AI72" s="1"/>
      <c r="AM72"/>
      <c r="AO72" s="1"/>
    </row>
    <row r="73" spans="1:47" x14ac:dyDescent="0.25">
      <c r="D73" s="69" t="s">
        <v>34</v>
      </c>
      <c r="E73" s="19" t="s">
        <v>34</v>
      </c>
      <c r="G73" s="69" t="s">
        <v>34</v>
      </c>
      <c r="H73" s="69"/>
      <c r="J73" s="11">
        <f>SUM(J16:J71)</f>
        <v>155.34849999999997</v>
      </c>
      <c r="K73" s="11">
        <f>SUM(K16:K71)</f>
        <v>61.278515025627435</v>
      </c>
      <c r="L73" s="11"/>
      <c r="M73" s="11">
        <f>SUM(M16:M71)</f>
        <v>61.278515025627435</v>
      </c>
      <c r="N73" s="11">
        <f>SUM(N16:N71)</f>
        <v>61.278515025627435</v>
      </c>
      <c r="O73" s="11">
        <f>SUM(O16:O71)</f>
        <v>61.278515025627435</v>
      </c>
      <c r="P73" s="11">
        <f>SUM(P16:P71)</f>
        <v>61.278515025627435</v>
      </c>
      <c r="Q73" s="11"/>
      <c r="R73" s="11"/>
      <c r="S73" s="16">
        <f>SUM(S16:S71)</f>
        <v>61.278515025627435</v>
      </c>
      <c r="T73" s="16">
        <f>SUM(T16:T72)</f>
        <v>61.278515025627435</v>
      </c>
      <c r="U73" s="17">
        <f>SUM(U16:U71)</f>
        <v>61.278515025627435</v>
      </c>
      <c r="V73" s="17"/>
      <c r="W73" s="17"/>
      <c r="X73" s="23">
        <f>SUM(X16:X71)</f>
        <v>61.278515025627435</v>
      </c>
      <c r="Y73" s="179">
        <f>SUM(Y16:Y71)</f>
        <v>0</v>
      </c>
      <c r="Z73" s="23">
        <f>SUM(Z16:Z71)</f>
        <v>61.278515025627435</v>
      </c>
      <c r="AA73" s="306"/>
      <c r="AB73" s="306"/>
      <c r="AC73" s="306"/>
      <c r="AD73" s="172">
        <f>SUM(AD16:AD71)</f>
        <v>61.278515025627435</v>
      </c>
      <c r="AE73" s="172">
        <f>SUM(AE16:AE71)</f>
        <v>61.278515025627435</v>
      </c>
      <c r="AF73" s="172"/>
      <c r="AG73" s="11" t="s">
        <v>34</v>
      </c>
      <c r="AI73" s="11">
        <f>SUM(AI16:AI71)</f>
        <v>155.34849999999997</v>
      </c>
      <c r="AJ73" s="11">
        <f>SUM(AJ16:AJ71)</f>
        <v>0</v>
      </c>
      <c r="AK73" s="11"/>
      <c r="AL73" s="11">
        <f>SUM(AL16:AL71)</f>
        <v>155.34849999999997</v>
      </c>
      <c r="AM73" s="11">
        <f>SUM(AM16:AM71)</f>
        <v>0</v>
      </c>
      <c r="AN73" s="11"/>
      <c r="AO73" s="11">
        <f>SUM(AO16:AO71)</f>
        <v>61.278515025627435</v>
      </c>
      <c r="AP73" s="11">
        <f>SUM(AP16:AP71)</f>
        <v>61.278515025627435</v>
      </c>
      <c r="AR73" s="11"/>
      <c r="AS73" s="11">
        <f>SUM(AS16:AS71)</f>
        <v>155.19315150000003</v>
      </c>
      <c r="AT73" s="11">
        <f>SUM(AT16:AT71)</f>
        <v>155.19315150000003</v>
      </c>
      <c r="AU73" s="11">
        <f>SUM(AU16:AU71)</f>
        <v>61.278515025627442</v>
      </c>
    </row>
    <row r="74" spans="1:47" x14ac:dyDescent="0.25">
      <c r="F74" s="69"/>
      <c r="G74" s="69" t="s">
        <v>34</v>
      </c>
      <c r="H74" s="69"/>
      <c r="J74" s="1" t="s">
        <v>34</v>
      </c>
      <c r="K74" s="99">
        <f>($K73-K73)/$K73</f>
        <v>0</v>
      </c>
      <c r="M74" s="24">
        <f>($K73-M73)/$K73</f>
        <v>0</v>
      </c>
      <c r="N74" s="195">
        <f>($K73-N73)/$K73</f>
        <v>0</v>
      </c>
      <c r="O74" s="195">
        <f>($K73-O73)/$K73</f>
        <v>0</v>
      </c>
      <c r="P74" s="195">
        <f>($K73-P73)/$K73</f>
        <v>0</v>
      </c>
      <c r="Q74" s="99"/>
      <c r="R74" s="99">
        <f>AVERAGE(R16:R71)</f>
        <v>1</v>
      </c>
      <c r="S74" s="141">
        <f>ROUND(($K73-S73)/$K73,2)</f>
        <v>0</v>
      </c>
      <c r="T74" s="141">
        <f>ROUND(($K73-T73)/$K73,4)</f>
        <v>0</v>
      </c>
      <c r="U74" s="141">
        <f>ROUND(($K73-U73)/$K73,4)</f>
        <v>0</v>
      </c>
      <c r="V74" s="99"/>
      <c r="W74" s="99"/>
      <c r="X74" s="24">
        <f>($K73-X73)/$K73</f>
        <v>0</v>
      </c>
      <c r="Y74" s="180">
        <f>($K73-Y73)/$K73</f>
        <v>1</v>
      </c>
      <c r="Z74" s="99">
        <f>($K73-Z73)/$K73</f>
        <v>0</v>
      </c>
      <c r="AA74" s="306"/>
      <c r="AB74" s="306"/>
      <c r="AC74" s="306"/>
      <c r="AD74" s="99">
        <f>AD73/K73</f>
        <v>1</v>
      </c>
      <c r="AE74" s="99">
        <f>AE73/K73</f>
        <v>1</v>
      </c>
      <c r="AF74" s="99"/>
      <c r="AG74" s="13">
        <f>AVERAGE(AG16:AG71)</f>
        <v>1</v>
      </c>
      <c r="AI74" s="24">
        <f>($J73-AI73)/$J73</f>
        <v>0</v>
      </c>
      <c r="AJ74" s="24">
        <f>($K73-AJ73)/$K73</f>
        <v>1</v>
      </c>
      <c r="AK74" s="24"/>
      <c r="AL74" s="24">
        <f>($K73-AL73)/$K73</f>
        <v>-1.5351218112095457</v>
      </c>
      <c r="AM74" s="24">
        <f>($K73-AM73)/$K73</f>
        <v>1</v>
      </c>
      <c r="AN74" s="24"/>
      <c r="AO74" s="24">
        <f>($K73-AO73)/$K73</f>
        <v>0</v>
      </c>
      <c r="AP74" s="24">
        <f>($K73-AP73)/$K73</f>
        <v>0</v>
      </c>
      <c r="AR74" s="24"/>
      <c r="AS74" s="24">
        <f>($K73-AS73)/$K73</f>
        <v>-1.5325866893983371</v>
      </c>
      <c r="AT74" s="24">
        <f>($K73-AT73)/$K73</f>
        <v>-1.5325866893983371</v>
      </c>
      <c r="AU74" s="24">
        <f>($K73-AU73)/$K73</f>
        <v>-1.1595299518321264E-16</v>
      </c>
    </row>
    <row r="75" spans="1:47" x14ac:dyDescent="0.25">
      <c r="E75" s="69" t="s">
        <v>34</v>
      </c>
      <c r="G75" s="69" t="s">
        <v>34</v>
      </c>
      <c r="H75" s="69"/>
      <c r="K75" s="1">
        <v>63</v>
      </c>
      <c r="O75" s="263"/>
      <c r="R75" s="19" t="s">
        <v>34</v>
      </c>
      <c r="U75" s="279"/>
      <c r="V75" s="251"/>
      <c r="W75" s="251"/>
      <c r="Y75" s="214"/>
      <c r="AA75" s="306"/>
      <c r="AB75" s="306"/>
      <c r="AC75" s="306"/>
      <c r="AD75" s="235"/>
      <c r="AE75" s="235"/>
      <c r="AF75" s="198"/>
    </row>
    <row r="76" spans="1:47" x14ac:dyDescent="0.25">
      <c r="E76" s="69" t="s">
        <v>34</v>
      </c>
      <c r="F76" s="19" t="s">
        <v>34</v>
      </c>
      <c r="G76" s="69" t="s">
        <v>34</v>
      </c>
      <c r="H76" s="69" t="s">
        <v>34</v>
      </c>
      <c r="K76" s="163">
        <f>SUM(K63:K71)</f>
        <v>0.76235694105841945</v>
      </c>
      <c r="M76" s="69" t="s">
        <v>34</v>
      </c>
      <c r="N76" s="217">
        <f>N71/K71</f>
        <v>1</v>
      </c>
      <c r="O76" s="261"/>
      <c r="P76" s="262"/>
      <c r="S76" s="19" t="s">
        <v>34</v>
      </c>
      <c r="T76" s="19" t="s">
        <v>34</v>
      </c>
      <c r="U76" s="66"/>
      <c r="V76" s="66"/>
      <c r="W76" s="66"/>
      <c r="Y76" s="25" t="s">
        <v>34</v>
      </c>
      <c r="AA76" s="306"/>
      <c r="AB76" s="306"/>
      <c r="AC76" s="306"/>
      <c r="AD76" s="235"/>
      <c r="AE76" s="198"/>
      <c r="AF76" s="198"/>
    </row>
    <row r="77" spans="1:47" x14ac:dyDescent="0.25">
      <c r="K77" s="282">
        <f>K76/K73</f>
        <v>1.2440852079062169E-2</v>
      </c>
      <c r="O77" s="237"/>
      <c r="S77" s="69" t="s">
        <v>34</v>
      </c>
      <c r="T77" s="69"/>
      <c r="U77" s="267"/>
      <c r="V77" s="267"/>
      <c r="W77" s="267"/>
      <c r="Z77" s="255"/>
      <c r="AA77" s="306"/>
      <c r="AB77" s="306"/>
      <c r="AC77" s="306"/>
      <c r="AD77" s="255"/>
      <c r="AE77" s="255"/>
      <c r="AF77" s="255"/>
    </row>
    <row r="78" spans="1:47" x14ac:dyDescent="0.25">
      <c r="H78" s="69" t="s">
        <v>34</v>
      </c>
      <c r="O78" s="19">
        <f>((K71-P71)/I$4-(K71-P71))*(1-I$6)+K71-(K71-P71)/I$4-IF(D71&gt;E71,(D71-E71)/C71*(K71-P71))</f>
        <v>1.640572328063103E-3</v>
      </c>
      <c r="P78" s="19" t="s">
        <v>34</v>
      </c>
      <c r="S78" s="69" t="s">
        <v>34</v>
      </c>
      <c r="U78" s="253"/>
      <c r="V78" s="253"/>
      <c r="W78" s="253"/>
      <c r="AA78" s="306"/>
      <c r="AB78" s="306"/>
      <c r="AC78" s="306"/>
      <c r="AD78" s="235"/>
      <c r="AE78" s="198"/>
      <c r="AF78" s="198"/>
    </row>
    <row r="79" spans="1:47" x14ac:dyDescent="0.25">
      <c r="O79" s="19">
        <f>(D71-E71)/C71*(K71-P71)</f>
        <v>0</v>
      </c>
      <c r="U79" s="66"/>
      <c r="V79" s="66"/>
      <c r="W79" s="66"/>
      <c r="AA79" s="306"/>
      <c r="AB79" s="306"/>
      <c r="AC79" s="306"/>
      <c r="AD79" s="236"/>
      <c r="AE79" s="191"/>
      <c r="AF79" s="191"/>
    </row>
    <row r="80" spans="1:47" x14ac:dyDescent="0.25">
      <c r="O80" s="162"/>
      <c r="R80" s="19" t="s">
        <v>34</v>
      </c>
      <c r="U80" s="262"/>
      <c r="V80" s="271"/>
      <c r="W80" s="271"/>
      <c r="AA80" s="306"/>
      <c r="AB80" s="306"/>
      <c r="AC80" s="306"/>
    </row>
    <row r="81" spans="7:34" x14ac:dyDescent="0.25">
      <c r="U81" s="22"/>
      <c r="V81" s="22"/>
      <c r="W81" s="22"/>
    </row>
    <row r="82" spans="7:34" x14ac:dyDescent="0.25">
      <c r="U82" s="253"/>
      <c r="V82" s="253"/>
      <c r="Z82" s="18"/>
      <c r="AA82" s="199"/>
      <c r="AB82" s="199"/>
      <c r="AC82" s="199"/>
      <c r="AD82" s="199"/>
      <c r="AE82" s="199"/>
      <c r="AF82" s="199"/>
    </row>
    <row r="83" spans="7:34" x14ac:dyDescent="0.25">
      <c r="U83" s="253"/>
      <c r="AA83" s="198"/>
      <c r="AB83" s="198"/>
      <c r="AC83" s="198"/>
      <c r="AD83" s="198"/>
      <c r="AE83" s="198"/>
      <c r="AF83" s="198"/>
    </row>
    <row r="85" spans="7:34" x14ac:dyDescent="0.25">
      <c r="G85" s="19" t="s">
        <v>34</v>
      </c>
      <c r="U85" s="253"/>
    </row>
    <row r="86" spans="7:34" x14ac:dyDescent="0.25">
      <c r="U86" s="253"/>
    </row>
    <row r="93" spans="7:34" x14ac:dyDescent="0.25">
      <c r="AH93" s="164">
        <f t="shared" ref="AH93:AH117" si="52">AB47/K47</f>
        <v>0</v>
      </c>
    </row>
    <row r="94" spans="7:34" x14ac:dyDescent="0.25">
      <c r="AH94" s="164">
        <f t="shared" si="52"/>
        <v>0</v>
      </c>
    </row>
    <row r="95" spans="7:34" x14ac:dyDescent="0.25">
      <c r="AH95" s="164">
        <f t="shared" si="52"/>
        <v>0</v>
      </c>
    </row>
    <row r="96" spans="7:34" x14ac:dyDescent="0.25">
      <c r="AH96" s="164">
        <f t="shared" si="52"/>
        <v>0</v>
      </c>
    </row>
    <row r="97" spans="34:34" x14ac:dyDescent="0.25">
      <c r="AH97" s="164">
        <f t="shared" si="52"/>
        <v>0</v>
      </c>
    </row>
    <row r="98" spans="34:34" x14ac:dyDescent="0.25">
      <c r="AH98" s="164">
        <f t="shared" si="52"/>
        <v>0</v>
      </c>
    </row>
    <row r="99" spans="34:34" x14ac:dyDescent="0.25">
      <c r="AH99" s="164">
        <f t="shared" si="52"/>
        <v>0</v>
      </c>
    </row>
    <row r="100" spans="34:34" x14ac:dyDescent="0.25">
      <c r="AH100" s="164">
        <f t="shared" si="52"/>
        <v>0</v>
      </c>
    </row>
    <row r="101" spans="34:34" x14ac:dyDescent="0.25">
      <c r="AH101" s="164">
        <f t="shared" si="52"/>
        <v>0</v>
      </c>
    </row>
    <row r="102" spans="34:34" x14ac:dyDescent="0.25">
      <c r="AH102" s="164">
        <f t="shared" si="52"/>
        <v>0</v>
      </c>
    </row>
    <row r="103" spans="34:34" x14ac:dyDescent="0.25">
      <c r="AH103" s="164">
        <f t="shared" si="52"/>
        <v>0</v>
      </c>
    </row>
    <row r="104" spans="34:34" x14ac:dyDescent="0.25">
      <c r="AH104" s="164">
        <f t="shared" si="52"/>
        <v>0</v>
      </c>
    </row>
    <row r="105" spans="34:34" x14ac:dyDescent="0.25">
      <c r="AH105" s="164">
        <f t="shared" si="52"/>
        <v>0</v>
      </c>
    </row>
    <row r="106" spans="34:34" x14ac:dyDescent="0.25">
      <c r="AH106" s="164">
        <f t="shared" si="52"/>
        <v>0</v>
      </c>
    </row>
    <row r="107" spans="34:34" x14ac:dyDescent="0.25">
      <c r="AH107" s="164">
        <f t="shared" si="52"/>
        <v>0</v>
      </c>
    </row>
    <row r="108" spans="34:34" x14ac:dyDescent="0.25">
      <c r="AH108" s="164">
        <f t="shared" si="52"/>
        <v>0</v>
      </c>
    </row>
    <row r="109" spans="34:34" x14ac:dyDescent="0.25">
      <c r="AH109" s="164">
        <f t="shared" si="52"/>
        <v>0</v>
      </c>
    </row>
    <row r="110" spans="34:34" x14ac:dyDescent="0.25">
      <c r="AH110" s="164">
        <f t="shared" si="52"/>
        <v>0</v>
      </c>
    </row>
    <row r="111" spans="34:34" x14ac:dyDescent="0.25">
      <c r="AH111" s="164">
        <f t="shared" si="52"/>
        <v>0</v>
      </c>
    </row>
    <row r="112" spans="34:34" x14ac:dyDescent="0.25">
      <c r="AH112" s="164">
        <f t="shared" si="52"/>
        <v>0</v>
      </c>
    </row>
    <row r="113" spans="34:34" x14ac:dyDescent="0.25">
      <c r="AH113" s="164">
        <f t="shared" si="52"/>
        <v>0</v>
      </c>
    </row>
    <row r="114" spans="34:34" x14ac:dyDescent="0.25">
      <c r="AH114" s="164">
        <f t="shared" si="52"/>
        <v>0</v>
      </c>
    </row>
    <row r="115" spans="34:34" x14ac:dyDescent="0.25">
      <c r="AH115" s="164">
        <f t="shared" si="52"/>
        <v>0</v>
      </c>
    </row>
    <row r="116" spans="34:34" x14ac:dyDescent="0.25">
      <c r="AH116" s="164">
        <f t="shared" si="52"/>
        <v>0</v>
      </c>
    </row>
    <row r="117" spans="34:34" x14ac:dyDescent="0.25">
      <c r="AH117" s="164">
        <f t="shared" si="52"/>
        <v>0</v>
      </c>
    </row>
  </sheetData>
  <sheetProtection algorithmName="SHA-512" hashValue="AibrabY/mrlgAiZrmbxrHNx/XJSzOFaxqSQ/O2ZZ3qQIfOZuhXcmrygW98uMG3PDeSAwLZ0j/4DD4I9oU+Mubw==" saltValue="kweHQlLajaHd6Yi8ZeNEVw==" spinCount="100000" sheet="1" objects="1" scenarios="1"/>
  <mergeCells count="1">
    <mergeCell ref="AH14:AP14"/>
  </mergeCells>
  <pageMargins left="0.75" right="0.75" top="1" bottom="1" header="0.5" footer="0.5"/>
  <pageSetup paperSize="9" orientation="portrait" r:id="rId1"/>
  <headerFooter alignWithMargins="0"/>
  <ignoredErrors>
    <ignoredError sqref="T73" formula="1"/>
  </ignoredErrors>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3"/>
  <dimension ref="A1:K46"/>
  <sheetViews>
    <sheetView topLeftCell="AY1" zoomScale="85" zoomScaleNormal="85" workbookViewId="0">
      <selection activeCell="BK18" sqref="BK18"/>
    </sheetView>
  </sheetViews>
  <sheetFormatPr defaultColWidth="8.88671875" defaultRowHeight="11.4" x14ac:dyDescent="0.2"/>
  <cols>
    <col min="1" max="1" width="58.6640625" style="72" hidden="1" customWidth="1"/>
    <col min="2" max="11" width="8.6640625" style="72" hidden="1" customWidth="1"/>
    <col min="12" max="50" width="0" style="72" hidden="1" customWidth="1"/>
    <col min="51" max="16384" width="8.88671875" style="72"/>
  </cols>
  <sheetData>
    <row r="1" spans="1:4" x14ac:dyDescent="0.2">
      <c r="A1" s="71" t="s">
        <v>87</v>
      </c>
    </row>
    <row r="3" spans="1:4" x14ac:dyDescent="0.2">
      <c r="B3" s="73" t="s">
        <v>88</v>
      </c>
    </row>
    <row r="4" spans="1:4" x14ac:dyDescent="0.2">
      <c r="B4" s="74"/>
    </row>
    <row r="5" spans="1:4" x14ac:dyDescent="0.2">
      <c r="A5" s="75" t="s">
        <v>89</v>
      </c>
    </row>
    <row r="6" spans="1:4" x14ac:dyDescent="0.2">
      <c r="A6" s="72" t="s">
        <v>90</v>
      </c>
      <c r="B6" s="72" t="e">
        <f>IF(#REF!="luchtconditioneringsunit",1.73,1.73)</f>
        <v>#REF!</v>
      </c>
    </row>
    <row r="7" spans="1:4" x14ac:dyDescent="0.2">
      <c r="A7" s="72" t="s">
        <v>91</v>
      </c>
      <c r="B7" s="72">
        <f>IF(LEGPLUIMVEE!$L$25="luchtconditioneringsunit",8.01/2,8.01)</f>
        <v>8.01</v>
      </c>
      <c r="C7" s="72" t="str">
        <f>LEGPLUIMVEE!$L$25</f>
        <v>GEEN TECHNIEK</v>
      </c>
    </row>
    <row r="8" spans="1:4" x14ac:dyDescent="0.2">
      <c r="A8" s="72" t="s">
        <v>92</v>
      </c>
      <c r="B8" s="72">
        <v>4.8600000000000003</v>
      </c>
    </row>
    <row r="9" spans="1:4" x14ac:dyDescent="0.2">
      <c r="A9" s="72" t="s">
        <v>93</v>
      </c>
      <c r="B9" s="72">
        <v>15</v>
      </c>
    </row>
    <row r="10" spans="1:4" x14ac:dyDescent="0.2">
      <c r="A10" s="72" t="s">
        <v>94</v>
      </c>
      <c r="B10" s="72">
        <v>6.1761991606700253</v>
      </c>
    </row>
    <row r="11" spans="1:4" x14ac:dyDescent="0.2">
      <c r="A11" s="72" t="s">
        <v>95</v>
      </c>
      <c r="B11" s="72">
        <v>12.35</v>
      </c>
    </row>
    <row r="12" spans="1:4" x14ac:dyDescent="0.2">
      <c r="A12" s="72" t="s">
        <v>96</v>
      </c>
      <c r="B12" s="72">
        <v>24.84</v>
      </c>
    </row>
    <row r="13" spans="1:4" x14ac:dyDescent="0.2">
      <c r="A13" s="72" t="s">
        <v>97</v>
      </c>
      <c r="B13" s="72">
        <v>12.56</v>
      </c>
    </row>
    <row r="16" spans="1:4" x14ac:dyDescent="0.2">
      <c r="A16" s="75" t="s">
        <v>98</v>
      </c>
      <c r="C16" s="76" t="s">
        <v>99</v>
      </c>
      <c r="D16" s="76" t="s">
        <v>100</v>
      </c>
    </row>
    <row r="17" spans="1:9" x14ac:dyDescent="0.2">
      <c r="A17" s="72" t="s">
        <v>90</v>
      </c>
      <c r="B17" s="72" t="s">
        <v>101</v>
      </c>
      <c r="C17" s="77">
        <v>0.80700000000000005</v>
      </c>
      <c r="D17" s="78">
        <v>0.85</v>
      </c>
      <c r="E17" s="72" t="s">
        <v>102</v>
      </c>
    </row>
    <row r="18" spans="1:9" x14ac:dyDescent="0.2">
      <c r="B18" s="72" t="s">
        <v>103</v>
      </c>
      <c r="C18" s="77">
        <v>0.83799999999999997</v>
      </c>
      <c r="D18" s="78">
        <v>0.85</v>
      </c>
    </row>
    <row r="19" spans="1:9" x14ac:dyDescent="0.2">
      <c r="A19" s="72" t="s">
        <v>91</v>
      </c>
      <c r="B19" s="72" t="s">
        <v>101</v>
      </c>
      <c r="C19" s="77">
        <v>1.835</v>
      </c>
      <c r="D19" s="79">
        <v>2</v>
      </c>
    </row>
    <row r="20" spans="1:9" x14ac:dyDescent="0.2">
      <c r="B20" s="72" t="s">
        <v>103</v>
      </c>
      <c r="C20" s="77">
        <v>1.899</v>
      </c>
      <c r="D20" s="79">
        <v>2</v>
      </c>
    </row>
    <row r="23" spans="1:9" x14ac:dyDescent="0.2">
      <c r="A23" s="75" t="s">
        <v>104</v>
      </c>
    </row>
    <row r="24" spans="1:9" x14ac:dyDescent="0.2">
      <c r="A24" s="73" t="s">
        <v>105</v>
      </c>
    </row>
    <row r="25" spans="1:9" x14ac:dyDescent="0.2">
      <c r="A25" s="80" t="s">
        <v>106</v>
      </c>
      <c r="B25" s="81">
        <v>0.13</v>
      </c>
      <c r="C25" s="80"/>
      <c r="D25" s="81">
        <v>0.31</v>
      </c>
      <c r="E25" s="80"/>
      <c r="F25" s="81">
        <v>0.37</v>
      </c>
      <c r="G25" s="80"/>
      <c r="H25" s="81">
        <v>0.5</v>
      </c>
      <c r="I25" s="80"/>
    </row>
    <row r="26" spans="1:9" x14ac:dyDescent="0.2">
      <c r="B26" s="76" t="s">
        <v>99</v>
      </c>
      <c r="C26" s="76" t="s">
        <v>100</v>
      </c>
      <c r="D26" s="76" t="s">
        <v>99</v>
      </c>
      <c r="E26" s="76" t="s">
        <v>100</v>
      </c>
      <c r="F26" s="76" t="s">
        <v>99</v>
      </c>
      <c r="G26" s="76" t="s">
        <v>100</v>
      </c>
      <c r="H26" s="76" t="s">
        <v>99</v>
      </c>
      <c r="I26" s="76" t="s">
        <v>100</v>
      </c>
    </row>
    <row r="27" spans="1:9" x14ac:dyDescent="0.2">
      <c r="A27" s="72" t="s">
        <v>90</v>
      </c>
      <c r="B27" s="72">
        <v>0.17499999999999999</v>
      </c>
      <c r="C27" s="72">
        <v>0.2</v>
      </c>
      <c r="D27" s="72">
        <v>0.434</v>
      </c>
      <c r="E27" s="82">
        <v>0.4</v>
      </c>
      <c r="F27" s="72">
        <v>0.52700000000000002</v>
      </c>
      <c r="G27" s="72">
        <v>0.55000000000000004</v>
      </c>
      <c r="H27" s="72">
        <v>0.745</v>
      </c>
      <c r="I27" s="72">
        <v>0.8</v>
      </c>
    </row>
    <row r="28" spans="1:9" x14ac:dyDescent="0.2">
      <c r="A28" s="72" t="s">
        <v>91</v>
      </c>
      <c r="B28" s="72">
        <v>0.439</v>
      </c>
      <c r="C28" s="72">
        <v>0.4</v>
      </c>
      <c r="D28" s="72">
        <v>1.048</v>
      </c>
      <c r="E28" s="82">
        <v>1</v>
      </c>
      <c r="F28" s="72">
        <v>1.252</v>
      </c>
      <c r="G28" s="72">
        <v>1.25</v>
      </c>
      <c r="H28" s="72">
        <v>1.708</v>
      </c>
      <c r="I28" s="72">
        <v>1.8</v>
      </c>
    </row>
    <row r="29" spans="1:9" x14ac:dyDescent="0.2">
      <c r="A29" s="72" t="s">
        <v>92</v>
      </c>
      <c r="B29" s="72">
        <v>0.42</v>
      </c>
      <c r="C29" s="72">
        <v>0.4</v>
      </c>
      <c r="D29" s="72">
        <v>1.0469999999999999</v>
      </c>
      <c r="E29" s="82">
        <v>1</v>
      </c>
      <c r="F29" s="72">
        <v>1.2789999999999999</v>
      </c>
      <c r="G29" s="72">
        <v>1.3</v>
      </c>
      <c r="H29" s="72">
        <v>1.84</v>
      </c>
      <c r="I29" s="72">
        <v>1.9</v>
      </c>
    </row>
    <row r="30" spans="1:9" x14ac:dyDescent="0.2">
      <c r="A30" s="72" t="s">
        <v>93</v>
      </c>
      <c r="B30" s="72">
        <v>0.59499999999999997</v>
      </c>
      <c r="C30" s="72">
        <v>0.6</v>
      </c>
      <c r="D30" s="72">
        <v>1.4850000000000001</v>
      </c>
      <c r="E30" s="82">
        <v>1.5</v>
      </c>
      <c r="F30" s="72">
        <v>1.845</v>
      </c>
      <c r="G30" s="72">
        <v>1.85</v>
      </c>
      <c r="H30" s="72">
        <v>2.8450000000000002</v>
      </c>
      <c r="I30" s="72">
        <v>2.9</v>
      </c>
    </row>
    <row r="31" spans="1:9" x14ac:dyDescent="0.2">
      <c r="A31" s="72" t="s">
        <v>94</v>
      </c>
      <c r="B31" s="72">
        <v>0.35699999999999998</v>
      </c>
      <c r="C31" s="72">
        <v>0.35</v>
      </c>
      <c r="D31" s="72">
        <v>1.0009999999999999</v>
      </c>
      <c r="E31" s="82">
        <v>1</v>
      </c>
      <c r="F31" s="72">
        <v>1.27</v>
      </c>
      <c r="G31" s="72">
        <v>1.3</v>
      </c>
      <c r="H31" s="72">
        <v>1.9750000000000001</v>
      </c>
      <c r="I31" s="82">
        <v>2</v>
      </c>
    </row>
    <row r="32" spans="1:9" x14ac:dyDescent="0.2">
      <c r="A32" s="72" t="s">
        <v>95</v>
      </c>
      <c r="B32" s="72">
        <v>1.2450000000000001</v>
      </c>
      <c r="C32" s="72">
        <v>1.1000000000000001</v>
      </c>
      <c r="D32" s="72">
        <v>3.17</v>
      </c>
      <c r="E32" s="82">
        <v>3</v>
      </c>
      <c r="F32" s="72">
        <v>3.86</v>
      </c>
      <c r="G32" s="72">
        <v>3.85</v>
      </c>
      <c r="H32" s="72">
        <v>5.5</v>
      </c>
      <c r="I32" s="72">
        <v>5.6</v>
      </c>
    </row>
    <row r="33" spans="1:9" x14ac:dyDescent="0.2">
      <c r="A33" s="72" t="s">
        <v>96</v>
      </c>
      <c r="B33" s="72">
        <v>2.6949999999999998</v>
      </c>
      <c r="C33" s="72">
        <v>2.5</v>
      </c>
      <c r="D33" s="72">
        <v>6.75</v>
      </c>
      <c r="E33" s="82">
        <v>6.2</v>
      </c>
      <c r="F33" s="72">
        <v>8.1750000000000007</v>
      </c>
      <c r="G33" s="72">
        <v>8.1999999999999993</v>
      </c>
      <c r="H33" s="72">
        <v>11.5</v>
      </c>
      <c r="I33" s="72">
        <v>11.7</v>
      </c>
    </row>
    <row r="34" spans="1:9" x14ac:dyDescent="0.2">
      <c r="A34" s="72" t="s">
        <v>97</v>
      </c>
      <c r="B34" s="72">
        <v>0.88</v>
      </c>
      <c r="C34" s="72">
        <v>0.8</v>
      </c>
      <c r="D34" s="72">
        <v>2.4849999999999999</v>
      </c>
      <c r="E34" s="82">
        <v>2.2999999999999998</v>
      </c>
      <c r="F34" s="72">
        <v>3.12</v>
      </c>
      <c r="G34" s="72">
        <v>3.15</v>
      </c>
      <c r="H34" s="72">
        <v>4.7300000000000004</v>
      </c>
      <c r="I34" s="72">
        <v>4.8</v>
      </c>
    </row>
    <row r="36" spans="1:9" x14ac:dyDescent="0.2">
      <c r="A36" s="73" t="s">
        <v>107</v>
      </c>
    </row>
    <row r="37" spans="1:9" x14ac:dyDescent="0.2">
      <c r="A37" s="80" t="s">
        <v>106</v>
      </c>
      <c r="B37" s="81">
        <v>0.13</v>
      </c>
      <c r="C37" s="80"/>
      <c r="D37" s="81">
        <v>0.31</v>
      </c>
      <c r="E37" s="80"/>
      <c r="F37" s="81">
        <v>0.37</v>
      </c>
      <c r="G37" s="80"/>
      <c r="H37" s="81">
        <v>0.5</v>
      </c>
      <c r="I37" s="80"/>
    </row>
    <row r="38" spans="1:9" x14ac:dyDescent="0.2">
      <c r="B38" s="76" t="s">
        <v>99</v>
      </c>
      <c r="C38" s="76" t="s">
        <v>100</v>
      </c>
      <c r="D38" s="76" t="s">
        <v>99</v>
      </c>
      <c r="E38" s="76" t="s">
        <v>100</v>
      </c>
      <c r="F38" s="76" t="s">
        <v>99</v>
      </c>
      <c r="G38" s="76" t="s">
        <v>100</v>
      </c>
      <c r="H38" s="76" t="s">
        <v>99</v>
      </c>
      <c r="I38" s="76" t="s">
        <v>100</v>
      </c>
    </row>
    <row r="39" spans="1:9" x14ac:dyDescent="0.2">
      <c r="A39" s="72" t="s">
        <v>90</v>
      </c>
      <c r="B39" s="72">
        <v>0.14099999999999999</v>
      </c>
      <c r="C39" s="72">
        <v>0.15</v>
      </c>
      <c r="D39" s="72">
        <v>0.34599999999999997</v>
      </c>
      <c r="E39" s="79">
        <v>0.35</v>
      </c>
      <c r="F39" s="72">
        <v>0.41799999999999998</v>
      </c>
      <c r="G39" s="72">
        <v>0.4</v>
      </c>
      <c r="H39" s="72">
        <v>0.58099999999999996</v>
      </c>
      <c r="I39" s="72">
        <v>0.6</v>
      </c>
    </row>
    <row r="40" spans="1:9" x14ac:dyDescent="0.2">
      <c r="A40" s="72" t="s">
        <v>91</v>
      </c>
      <c r="B40" s="72">
        <v>0.35499999999999998</v>
      </c>
      <c r="C40" s="72">
        <v>0.35</v>
      </c>
      <c r="D40" s="72">
        <v>0.84699999999999998</v>
      </c>
      <c r="E40" s="79">
        <v>0.85</v>
      </c>
      <c r="F40" s="72">
        <v>1.012</v>
      </c>
      <c r="G40" s="82">
        <v>1</v>
      </c>
      <c r="H40" s="72">
        <v>1.369</v>
      </c>
      <c r="I40" s="72">
        <v>1.4</v>
      </c>
    </row>
    <row r="41" spans="1:9" x14ac:dyDescent="0.2">
      <c r="A41" s="72" t="s">
        <v>92</v>
      </c>
      <c r="B41" s="72">
        <v>0.33700000000000002</v>
      </c>
      <c r="C41" s="72">
        <v>0.35</v>
      </c>
      <c r="D41" s="72">
        <v>0.83099999999999996</v>
      </c>
      <c r="E41" s="79">
        <v>0.85</v>
      </c>
      <c r="F41" s="72">
        <v>1.008</v>
      </c>
      <c r="G41" s="72">
        <v>1.1000000000000001</v>
      </c>
      <c r="H41" s="72">
        <v>1.417</v>
      </c>
      <c r="I41" s="72">
        <v>1.45</v>
      </c>
    </row>
    <row r="42" spans="1:9" x14ac:dyDescent="0.2">
      <c r="A42" s="72" t="s">
        <v>93</v>
      </c>
      <c r="B42" s="72">
        <v>0.48</v>
      </c>
      <c r="C42" s="72">
        <v>0.5</v>
      </c>
      <c r="D42" s="72">
        <v>1.161</v>
      </c>
      <c r="E42" s="82">
        <v>1.2</v>
      </c>
      <c r="F42" s="72">
        <v>1.4219999999999999</v>
      </c>
      <c r="G42" s="72">
        <v>1.5</v>
      </c>
      <c r="H42" s="72">
        <v>2.0750000000000002</v>
      </c>
      <c r="I42" s="72">
        <v>2.1</v>
      </c>
    </row>
    <row r="43" spans="1:9" x14ac:dyDescent="0.2">
      <c r="A43" s="72" t="s">
        <v>94</v>
      </c>
      <c r="B43" s="72">
        <v>0.28499999999999998</v>
      </c>
      <c r="C43" s="72">
        <v>0.3</v>
      </c>
      <c r="D43" s="72">
        <v>0.76500000000000001</v>
      </c>
      <c r="E43" s="79">
        <v>0.75</v>
      </c>
      <c r="F43" s="72">
        <v>0.95799999999999996</v>
      </c>
      <c r="G43" s="82">
        <v>1</v>
      </c>
      <c r="H43" s="72">
        <v>1.4350000000000001</v>
      </c>
      <c r="I43" s="72">
        <v>1.45</v>
      </c>
    </row>
    <row r="44" spans="1:9" x14ac:dyDescent="0.2">
      <c r="A44" s="72" t="s">
        <v>95</v>
      </c>
      <c r="B44" s="72">
        <v>0.999</v>
      </c>
      <c r="C44" s="72">
        <v>0.9</v>
      </c>
      <c r="D44" s="72">
        <v>2.5099999999999998</v>
      </c>
      <c r="E44" s="82">
        <v>2.5</v>
      </c>
      <c r="F44" s="72">
        <v>3.0449999999999999</v>
      </c>
      <c r="G44" s="82">
        <v>3</v>
      </c>
      <c r="H44" s="72">
        <v>4.2699999999999996</v>
      </c>
      <c r="I44" s="72">
        <v>4.3</v>
      </c>
    </row>
    <row r="45" spans="1:9" x14ac:dyDescent="0.2">
      <c r="A45" s="72" t="s">
        <v>96</v>
      </c>
      <c r="B45" s="72">
        <v>2.165</v>
      </c>
      <c r="C45" s="72">
        <v>2.2000000000000002</v>
      </c>
      <c r="D45" s="72">
        <v>5.3579999999999997</v>
      </c>
      <c r="E45" s="82">
        <v>5.3</v>
      </c>
      <c r="F45" s="72">
        <v>6.4749999999999996</v>
      </c>
      <c r="G45" s="72">
        <v>6.2</v>
      </c>
      <c r="H45" s="72">
        <v>9.01</v>
      </c>
      <c r="I45" s="82">
        <v>9</v>
      </c>
    </row>
    <row r="46" spans="1:9" x14ac:dyDescent="0.2">
      <c r="A46" s="72" t="s">
        <v>97</v>
      </c>
      <c r="B46" s="72">
        <v>0.69199999999999995</v>
      </c>
      <c r="C46" s="72">
        <v>0.7</v>
      </c>
      <c r="D46" s="72">
        <v>1.91</v>
      </c>
      <c r="E46" s="82">
        <v>1.9</v>
      </c>
      <c r="F46" s="72">
        <v>2.375</v>
      </c>
      <c r="G46" s="72">
        <v>2.2999999999999998</v>
      </c>
      <c r="H46" s="72">
        <v>3.51</v>
      </c>
      <c r="I46" s="82">
        <v>3.6</v>
      </c>
    </row>
  </sheetData>
  <sheetProtection algorithmName="SHA-512" hashValue="l5Y99BvrsI6I0M560QfOyfY1VoPIKsQIGsIq9uSqTWEhGR/rMdeSwv8PDWd7MZRTGWkAHMq9uChNYgl6oM+wIQ==" saltValue="CuCbVnEllchv+SeLOoY8Ig==" spinCount="100000" sheet="1" objects="1" scenarios="1"/>
  <pageMargins left="0.7" right="0.7" top="0.75" bottom="0.75" header="0.3" footer="0.3"/>
  <pageSetup paperSize="9" scale="98"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Blad5"/>
  <dimension ref="A1:AX58"/>
  <sheetViews>
    <sheetView topLeftCell="AY1" workbookViewId="0">
      <selection activeCell="BK18" sqref="BK18"/>
    </sheetView>
  </sheetViews>
  <sheetFormatPr defaultColWidth="12.44140625" defaultRowHeight="15.6" x14ac:dyDescent="0.3"/>
  <cols>
    <col min="1" max="2" width="25.5546875" style="46" hidden="1" customWidth="1"/>
    <col min="3" max="3" width="25.5546875" style="48" hidden="1" customWidth="1"/>
    <col min="4" max="4" width="25.5546875" style="47" hidden="1" customWidth="1"/>
    <col min="5" max="50" width="25.5546875" style="46" hidden="1" customWidth="1"/>
    <col min="51" max="51" width="25.5546875" style="46" customWidth="1"/>
    <col min="52" max="16384" width="12.44140625" style="46"/>
  </cols>
  <sheetData>
    <row r="1" spans="1:29" ht="31.2" x14ac:dyDescent="0.3">
      <c r="B1" s="50" t="s">
        <v>45</v>
      </c>
      <c r="E1" s="46" t="s">
        <v>35</v>
      </c>
      <c r="F1" s="46" t="s">
        <v>36</v>
      </c>
      <c r="G1" s="46" t="s">
        <v>37</v>
      </c>
      <c r="H1" s="46" t="s">
        <v>38</v>
      </c>
      <c r="I1" s="46" t="s">
        <v>39</v>
      </c>
      <c r="J1" s="46" t="s">
        <v>46</v>
      </c>
      <c r="K1" s="46" t="s">
        <v>40</v>
      </c>
      <c r="L1" s="46" t="s">
        <v>41</v>
      </c>
      <c r="M1" s="46" t="s">
        <v>42</v>
      </c>
      <c r="N1" s="46" t="s">
        <v>43</v>
      </c>
      <c r="O1" s="46" t="s">
        <v>47</v>
      </c>
      <c r="P1" s="46" t="s">
        <v>44</v>
      </c>
      <c r="Q1" s="46" t="s">
        <v>48</v>
      </c>
      <c r="R1" s="46" t="s">
        <v>49</v>
      </c>
      <c r="S1" s="46" t="s">
        <v>50</v>
      </c>
      <c r="T1" s="46" t="s">
        <v>51</v>
      </c>
      <c r="U1" s="46" t="s">
        <v>52</v>
      </c>
      <c r="V1" s="46" t="s">
        <v>53</v>
      </c>
      <c r="W1" s="46" t="s">
        <v>54</v>
      </c>
      <c r="X1" s="46" t="s">
        <v>55</v>
      </c>
      <c r="Y1" s="46" t="s">
        <v>56</v>
      </c>
      <c r="Z1" s="46" t="s">
        <v>57</v>
      </c>
      <c r="AA1" s="46" t="s">
        <v>58</v>
      </c>
      <c r="AB1" s="46" t="s">
        <v>59</v>
      </c>
      <c r="AC1" s="46" t="s">
        <v>60</v>
      </c>
    </row>
    <row r="2" spans="1:29" s="47" customFormat="1" x14ac:dyDescent="0.3">
      <c r="C2" s="51"/>
      <c r="E2" s="52">
        <f>+D3</f>
        <v>0.65</v>
      </c>
      <c r="F2" s="52">
        <f>+D4</f>
        <v>0.4</v>
      </c>
      <c r="G2" s="52">
        <f>+D5</f>
        <v>0.25</v>
      </c>
      <c r="H2" s="52">
        <f>+D6</f>
        <v>0.19999999999999996</v>
      </c>
      <c r="I2" s="52">
        <f>+D8</f>
        <v>0.44999999999999996</v>
      </c>
      <c r="J2" s="52">
        <f>+D9</f>
        <v>0.7</v>
      </c>
      <c r="K2" s="52">
        <f>+D10</f>
        <v>0.45999999999999996</v>
      </c>
      <c r="L2" s="52">
        <f>+D11</f>
        <v>0.51</v>
      </c>
      <c r="M2" s="52">
        <f>+D12</f>
        <v>0.66999999999999993</v>
      </c>
      <c r="N2" s="52">
        <f>+D13</f>
        <v>0.6</v>
      </c>
      <c r="O2" s="52">
        <f>+D14</f>
        <v>0.43000000000000005</v>
      </c>
      <c r="P2" s="52">
        <f>+D15</f>
        <v>0.69</v>
      </c>
      <c r="Q2" s="52">
        <f>+D16</f>
        <v>0.69</v>
      </c>
      <c r="R2" s="52">
        <f>+D17</f>
        <v>0.87</v>
      </c>
      <c r="S2" s="52">
        <f>+D18</f>
        <v>0.87</v>
      </c>
      <c r="T2" s="52">
        <f>+D19</f>
        <v>0.85</v>
      </c>
      <c r="U2" s="52">
        <f>+D20</f>
        <v>0.7</v>
      </c>
      <c r="V2" s="52">
        <f>+D21</f>
        <v>0.8</v>
      </c>
      <c r="W2" s="52">
        <f>+D22</f>
        <v>0.63</v>
      </c>
      <c r="X2" s="52">
        <f>+D23</f>
        <v>0.63</v>
      </c>
      <c r="Y2" s="52">
        <f>+D24</f>
        <v>0.5</v>
      </c>
      <c r="Z2" s="52">
        <f>+D25</f>
        <v>0.5</v>
      </c>
    </row>
    <row r="3" spans="1:29" x14ac:dyDescent="0.3">
      <c r="A3" s="46" t="s">
        <v>35</v>
      </c>
      <c r="B3" s="46" t="s">
        <v>77</v>
      </c>
      <c r="C3" s="48">
        <v>0.35</v>
      </c>
      <c r="D3" s="52">
        <f>+(1-C3)</f>
        <v>0.65</v>
      </c>
      <c r="E3" s="53">
        <f>1-($D$3*E2)</f>
        <v>0.5774999999999999</v>
      </c>
      <c r="F3" s="54">
        <f t="shared" ref="F3:Z3" si="0">1-($D$3*F2)</f>
        <v>0.74</v>
      </c>
      <c r="G3" s="54">
        <f t="shared" si="0"/>
        <v>0.83750000000000002</v>
      </c>
      <c r="H3" s="54">
        <f t="shared" si="0"/>
        <v>0.87</v>
      </c>
      <c r="I3" s="55">
        <f t="shared" si="0"/>
        <v>0.70750000000000002</v>
      </c>
      <c r="J3" s="55">
        <f t="shared" si="0"/>
        <v>0.54500000000000004</v>
      </c>
      <c r="K3" s="54">
        <f t="shared" si="0"/>
        <v>0.70100000000000007</v>
      </c>
      <c r="L3" s="56">
        <f t="shared" si="0"/>
        <v>0.66849999999999998</v>
      </c>
      <c r="M3" s="54">
        <f t="shared" si="0"/>
        <v>0.5645</v>
      </c>
      <c r="N3" s="56">
        <f t="shared" si="0"/>
        <v>0.61</v>
      </c>
      <c r="O3" s="56">
        <f t="shared" si="0"/>
        <v>0.72049999999999992</v>
      </c>
      <c r="P3" s="56">
        <f t="shared" si="0"/>
        <v>0.5515000000000001</v>
      </c>
      <c r="Q3" s="57">
        <f t="shared" si="0"/>
        <v>0.5515000000000001</v>
      </c>
      <c r="R3" s="56">
        <f t="shared" si="0"/>
        <v>0.4345</v>
      </c>
      <c r="S3" s="56">
        <f t="shared" si="0"/>
        <v>0.4345</v>
      </c>
      <c r="T3" s="54">
        <f t="shared" si="0"/>
        <v>0.44750000000000001</v>
      </c>
      <c r="U3" s="56">
        <f t="shared" si="0"/>
        <v>0.54500000000000004</v>
      </c>
      <c r="V3" s="56">
        <f t="shared" si="0"/>
        <v>0.48</v>
      </c>
      <c r="W3" s="56">
        <f t="shared" si="0"/>
        <v>0.59050000000000002</v>
      </c>
      <c r="X3" s="56">
        <f t="shared" si="0"/>
        <v>0.59050000000000002</v>
      </c>
      <c r="Y3" s="57">
        <f t="shared" si="0"/>
        <v>0.67500000000000004</v>
      </c>
      <c r="Z3" s="57">
        <f t="shared" si="0"/>
        <v>0.67500000000000004</v>
      </c>
    </row>
    <row r="4" spans="1:29" x14ac:dyDescent="0.3">
      <c r="A4" s="46" t="s">
        <v>36</v>
      </c>
      <c r="B4" s="46" t="s">
        <v>61</v>
      </c>
      <c r="C4" s="48">
        <v>0.6</v>
      </c>
      <c r="D4" s="52">
        <f t="shared" ref="D4:D25" si="1">+(1-C4)</f>
        <v>0.4</v>
      </c>
      <c r="E4" s="54">
        <f>1-+$D$4*E2</f>
        <v>0.74</v>
      </c>
      <c r="F4" s="53">
        <f t="shared" ref="F4:Z4" si="2">1-+$D$4*F2</f>
        <v>0.84</v>
      </c>
      <c r="G4" s="54">
        <f t="shared" si="2"/>
        <v>0.9</v>
      </c>
      <c r="H4" s="54">
        <f t="shared" si="2"/>
        <v>0.92</v>
      </c>
      <c r="I4" s="54">
        <f t="shared" si="2"/>
        <v>0.82000000000000006</v>
      </c>
      <c r="J4" s="54">
        <f t="shared" si="2"/>
        <v>0.72</v>
      </c>
      <c r="K4" s="54">
        <f t="shared" si="2"/>
        <v>0.81600000000000006</v>
      </c>
      <c r="L4" s="56">
        <f t="shared" si="2"/>
        <v>0.79600000000000004</v>
      </c>
      <c r="M4" s="54">
        <f t="shared" si="2"/>
        <v>0.73199999999999998</v>
      </c>
      <c r="N4" s="56">
        <f t="shared" si="2"/>
        <v>0.76</v>
      </c>
      <c r="O4" s="56">
        <f t="shared" si="2"/>
        <v>0.82799999999999996</v>
      </c>
      <c r="P4" s="54">
        <f t="shared" si="2"/>
        <v>0.72399999999999998</v>
      </c>
      <c r="Q4" s="54">
        <f t="shared" si="2"/>
        <v>0.72399999999999998</v>
      </c>
      <c r="R4" s="54">
        <f t="shared" si="2"/>
        <v>0.65199999999999991</v>
      </c>
      <c r="S4" s="54">
        <f t="shared" si="2"/>
        <v>0.65199999999999991</v>
      </c>
      <c r="T4" s="54">
        <f t="shared" si="2"/>
        <v>0.65999999999999992</v>
      </c>
      <c r="U4" s="56">
        <f t="shared" si="2"/>
        <v>0.72</v>
      </c>
      <c r="V4" s="56">
        <f t="shared" si="2"/>
        <v>0.67999999999999994</v>
      </c>
      <c r="W4" s="54">
        <f t="shared" si="2"/>
        <v>0.748</v>
      </c>
      <c r="X4" s="54">
        <f t="shared" si="2"/>
        <v>0.748</v>
      </c>
      <c r="Y4" s="54">
        <f t="shared" si="2"/>
        <v>0.8</v>
      </c>
      <c r="Z4" s="54">
        <f t="shared" si="2"/>
        <v>0.8</v>
      </c>
    </row>
    <row r="5" spans="1:29" x14ac:dyDescent="0.3">
      <c r="A5" s="46" t="s">
        <v>37</v>
      </c>
      <c r="B5" s="46" t="s">
        <v>62</v>
      </c>
      <c r="C5" s="48">
        <v>0.75</v>
      </c>
      <c r="D5" s="52">
        <f t="shared" si="1"/>
        <v>0.25</v>
      </c>
      <c r="E5" s="54">
        <f>1-+$D$5*E2</f>
        <v>0.83750000000000002</v>
      </c>
      <c r="F5" s="54">
        <f t="shared" ref="F5:Z5" si="3">1-+$D$5*F2</f>
        <v>0.9</v>
      </c>
      <c r="G5" s="53">
        <f t="shared" si="3"/>
        <v>0.9375</v>
      </c>
      <c r="H5" s="54">
        <f t="shared" si="3"/>
        <v>0.95</v>
      </c>
      <c r="I5" s="54">
        <f t="shared" si="3"/>
        <v>0.88749999999999996</v>
      </c>
      <c r="J5" s="54">
        <f t="shared" si="3"/>
        <v>0.82499999999999996</v>
      </c>
      <c r="K5" s="54">
        <f t="shared" si="3"/>
        <v>0.88500000000000001</v>
      </c>
      <c r="L5" s="56">
        <f t="shared" si="3"/>
        <v>0.87250000000000005</v>
      </c>
      <c r="M5" s="54">
        <f t="shared" si="3"/>
        <v>0.83250000000000002</v>
      </c>
      <c r="N5" s="56">
        <f t="shared" si="3"/>
        <v>0.85</v>
      </c>
      <c r="O5" s="56">
        <f t="shared" si="3"/>
        <v>0.89249999999999996</v>
      </c>
      <c r="P5" s="54">
        <f t="shared" si="3"/>
        <v>0.82750000000000001</v>
      </c>
      <c r="Q5" s="54">
        <f t="shared" si="3"/>
        <v>0.82750000000000001</v>
      </c>
      <c r="R5" s="54">
        <f t="shared" si="3"/>
        <v>0.78249999999999997</v>
      </c>
      <c r="S5" s="54">
        <f t="shared" si="3"/>
        <v>0.78249999999999997</v>
      </c>
      <c r="T5" s="54">
        <f t="shared" si="3"/>
        <v>0.78749999999999998</v>
      </c>
      <c r="U5" s="56">
        <f t="shared" si="3"/>
        <v>0.82499999999999996</v>
      </c>
      <c r="V5" s="56">
        <f t="shared" si="3"/>
        <v>0.8</v>
      </c>
      <c r="W5" s="54">
        <f t="shared" si="3"/>
        <v>0.84250000000000003</v>
      </c>
      <c r="X5" s="54">
        <f t="shared" si="3"/>
        <v>0.84250000000000003</v>
      </c>
      <c r="Y5" s="54">
        <f t="shared" si="3"/>
        <v>0.875</v>
      </c>
      <c r="Z5" s="54">
        <f t="shared" si="3"/>
        <v>0.875</v>
      </c>
    </row>
    <row r="6" spans="1:29" x14ac:dyDescent="0.3">
      <c r="A6" s="46" t="s">
        <v>38</v>
      </c>
      <c r="B6" s="46" t="s">
        <v>63</v>
      </c>
      <c r="C6" s="48">
        <v>0.8</v>
      </c>
      <c r="D6" s="52">
        <f t="shared" si="1"/>
        <v>0.19999999999999996</v>
      </c>
      <c r="E6" s="54">
        <f>1-+$D$6*E2</f>
        <v>0.87</v>
      </c>
      <c r="F6" s="54">
        <f t="shared" ref="F6:Z6" si="4">1-+$D$6*F2</f>
        <v>0.92</v>
      </c>
      <c r="G6" s="54">
        <f t="shared" si="4"/>
        <v>0.95</v>
      </c>
      <c r="H6" s="53">
        <f t="shared" si="4"/>
        <v>0.96</v>
      </c>
      <c r="I6" s="54">
        <f t="shared" si="4"/>
        <v>0.91</v>
      </c>
      <c r="J6" s="54">
        <f t="shared" si="4"/>
        <v>0.8600000000000001</v>
      </c>
      <c r="K6" s="54">
        <f t="shared" si="4"/>
        <v>0.90800000000000003</v>
      </c>
      <c r="L6" s="56">
        <f t="shared" si="4"/>
        <v>0.89800000000000002</v>
      </c>
      <c r="M6" s="54">
        <f t="shared" si="4"/>
        <v>0.8660000000000001</v>
      </c>
      <c r="N6" s="56">
        <f t="shared" si="4"/>
        <v>0.88</v>
      </c>
      <c r="O6" s="56">
        <f t="shared" si="4"/>
        <v>0.91400000000000003</v>
      </c>
      <c r="P6" s="54">
        <f t="shared" si="4"/>
        <v>0.8620000000000001</v>
      </c>
      <c r="Q6" s="54">
        <f t="shared" si="4"/>
        <v>0.8620000000000001</v>
      </c>
      <c r="R6" s="54">
        <f t="shared" si="4"/>
        <v>0.82600000000000007</v>
      </c>
      <c r="S6" s="54">
        <f t="shared" si="4"/>
        <v>0.82600000000000007</v>
      </c>
      <c r="T6" s="54">
        <f t="shared" si="4"/>
        <v>0.83000000000000007</v>
      </c>
      <c r="U6" s="56">
        <f t="shared" si="4"/>
        <v>0.8600000000000001</v>
      </c>
      <c r="V6" s="56">
        <f t="shared" si="4"/>
        <v>0.84000000000000008</v>
      </c>
      <c r="W6" s="54">
        <f t="shared" si="4"/>
        <v>0.874</v>
      </c>
      <c r="X6" s="54">
        <f t="shared" si="4"/>
        <v>0.874</v>
      </c>
      <c r="Y6" s="54">
        <f t="shared" si="4"/>
        <v>0.9</v>
      </c>
      <c r="Z6" s="54">
        <f t="shared" si="4"/>
        <v>0.9</v>
      </c>
    </row>
    <row r="7" spans="1:29" x14ac:dyDescent="0.3">
      <c r="B7" s="46" t="s">
        <v>109</v>
      </c>
      <c r="D7" s="52"/>
      <c r="E7" s="54"/>
      <c r="F7" s="54"/>
      <c r="G7" s="54"/>
      <c r="H7" s="53"/>
      <c r="I7" s="54"/>
      <c r="J7" s="54"/>
      <c r="K7" s="54"/>
      <c r="L7" s="56"/>
      <c r="M7" s="54"/>
      <c r="N7" s="56"/>
      <c r="O7" s="56"/>
      <c r="P7" s="54"/>
      <c r="Q7" s="54"/>
      <c r="R7" s="54"/>
      <c r="S7" s="54"/>
      <c r="T7" s="54"/>
      <c r="U7" s="56"/>
      <c r="V7" s="56"/>
      <c r="W7" s="54"/>
      <c r="X7" s="54"/>
      <c r="Y7" s="54"/>
      <c r="Z7" s="54"/>
    </row>
    <row r="8" spans="1:29" x14ac:dyDescent="0.3">
      <c r="A8" s="46" t="s">
        <v>39</v>
      </c>
      <c r="B8" s="46" t="s">
        <v>110</v>
      </c>
      <c r="C8" s="48">
        <v>0.55000000000000004</v>
      </c>
      <c r="D8" s="52">
        <f t="shared" si="1"/>
        <v>0.44999999999999996</v>
      </c>
      <c r="E8" s="55">
        <f>1-+$D$8*E2</f>
        <v>0.70750000000000002</v>
      </c>
      <c r="F8" s="54">
        <f t="shared" ref="F8:Z8" si="5">1-+$D$8*F2</f>
        <v>0.82000000000000006</v>
      </c>
      <c r="G8" s="54">
        <f t="shared" si="5"/>
        <v>0.88749999999999996</v>
      </c>
      <c r="H8" s="54">
        <f t="shared" si="5"/>
        <v>0.91</v>
      </c>
      <c r="I8" s="53">
        <f t="shared" si="5"/>
        <v>0.7975000000000001</v>
      </c>
      <c r="J8" s="56">
        <f t="shared" si="5"/>
        <v>0.68500000000000005</v>
      </c>
      <c r="K8" s="54">
        <f t="shared" si="5"/>
        <v>0.79300000000000004</v>
      </c>
      <c r="L8" s="54">
        <f t="shared" si="5"/>
        <v>0.77049999999999996</v>
      </c>
      <c r="M8" s="57">
        <f t="shared" si="5"/>
        <v>0.69850000000000012</v>
      </c>
      <c r="N8" s="57">
        <f t="shared" si="5"/>
        <v>0.73</v>
      </c>
      <c r="O8" s="57">
        <f t="shared" si="5"/>
        <v>0.80649999999999999</v>
      </c>
      <c r="P8" s="58">
        <f t="shared" si="5"/>
        <v>0.6895</v>
      </c>
      <c r="Q8" s="58">
        <f t="shared" si="5"/>
        <v>0.6895</v>
      </c>
      <c r="R8" s="58">
        <f t="shared" si="5"/>
        <v>0.60850000000000004</v>
      </c>
      <c r="S8" s="58">
        <f t="shared" si="5"/>
        <v>0.60850000000000004</v>
      </c>
      <c r="T8" s="54">
        <f t="shared" si="5"/>
        <v>0.61750000000000005</v>
      </c>
      <c r="U8" s="56">
        <f t="shared" si="5"/>
        <v>0.68500000000000005</v>
      </c>
      <c r="V8" s="56">
        <f t="shared" si="5"/>
        <v>0.64</v>
      </c>
      <c r="W8" s="58">
        <f t="shared" si="5"/>
        <v>0.71650000000000003</v>
      </c>
      <c r="X8" s="58">
        <f t="shared" si="5"/>
        <v>0.71650000000000003</v>
      </c>
      <c r="Y8" s="56">
        <f t="shared" si="5"/>
        <v>0.77500000000000002</v>
      </c>
      <c r="Z8" s="58">
        <f t="shared" si="5"/>
        <v>0.77500000000000002</v>
      </c>
    </row>
    <row r="9" spans="1:29" x14ac:dyDescent="0.3">
      <c r="A9" s="46" t="s">
        <v>46</v>
      </c>
      <c r="B9" s="46" t="s">
        <v>111</v>
      </c>
      <c r="C9" s="48">
        <v>0.3</v>
      </c>
      <c r="D9" s="52">
        <f t="shared" si="1"/>
        <v>0.7</v>
      </c>
      <c r="E9" s="55">
        <f>1-+$D$9*E2</f>
        <v>0.54500000000000004</v>
      </c>
      <c r="F9" s="54">
        <f t="shared" ref="F9:Z9" si="6">1-+$D$9*F2</f>
        <v>0.72</v>
      </c>
      <c r="G9" s="54">
        <f t="shared" si="6"/>
        <v>0.82499999999999996</v>
      </c>
      <c r="H9" s="54">
        <f t="shared" si="6"/>
        <v>0.8600000000000001</v>
      </c>
      <c r="I9" s="54">
        <f t="shared" si="6"/>
        <v>0.68500000000000005</v>
      </c>
      <c r="J9" s="53">
        <f t="shared" si="6"/>
        <v>0.51</v>
      </c>
      <c r="K9" s="54">
        <f t="shared" si="6"/>
        <v>0.67800000000000005</v>
      </c>
      <c r="L9" s="54">
        <f t="shared" si="6"/>
        <v>0.64300000000000002</v>
      </c>
      <c r="M9" s="56">
        <f t="shared" si="6"/>
        <v>0.53100000000000014</v>
      </c>
      <c r="N9" s="56">
        <f t="shared" si="6"/>
        <v>0.58000000000000007</v>
      </c>
      <c r="O9" s="56">
        <f t="shared" si="6"/>
        <v>0.69900000000000007</v>
      </c>
      <c r="P9" s="58">
        <f t="shared" si="6"/>
        <v>0.51700000000000013</v>
      </c>
      <c r="Q9" s="58">
        <f t="shared" si="6"/>
        <v>0.51700000000000013</v>
      </c>
      <c r="R9" s="58">
        <f t="shared" si="6"/>
        <v>0.39100000000000001</v>
      </c>
      <c r="S9" s="58">
        <f t="shared" si="6"/>
        <v>0.39100000000000001</v>
      </c>
      <c r="T9" s="54">
        <f t="shared" si="6"/>
        <v>0.40500000000000003</v>
      </c>
      <c r="U9" s="56">
        <f t="shared" si="6"/>
        <v>0.51</v>
      </c>
      <c r="V9" s="56">
        <f t="shared" si="6"/>
        <v>0.44000000000000006</v>
      </c>
      <c r="W9" s="58">
        <f t="shared" si="6"/>
        <v>0.55900000000000005</v>
      </c>
      <c r="X9" s="58">
        <f t="shared" si="6"/>
        <v>0.55900000000000005</v>
      </c>
      <c r="Y9" s="58">
        <f t="shared" si="6"/>
        <v>0.65</v>
      </c>
      <c r="Z9" s="58">
        <f t="shared" si="6"/>
        <v>0.65</v>
      </c>
    </row>
    <row r="10" spans="1:29" x14ac:dyDescent="0.3">
      <c r="A10" s="46" t="s">
        <v>40</v>
      </c>
      <c r="B10" s="46" t="s">
        <v>112</v>
      </c>
      <c r="C10" s="48">
        <v>0.54</v>
      </c>
      <c r="D10" s="52">
        <f t="shared" si="1"/>
        <v>0.45999999999999996</v>
      </c>
      <c r="E10" s="54">
        <f>1-+$D$10*E2</f>
        <v>0.70100000000000007</v>
      </c>
      <c r="F10" s="54">
        <f t="shared" ref="F10:Z10" si="7">1-+$D$10*F2</f>
        <v>0.81600000000000006</v>
      </c>
      <c r="G10" s="54">
        <f t="shared" si="7"/>
        <v>0.88500000000000001</v>
      </c>
      <c r="H10" s="54">
        <f t="shared" si="7"/>
        <v>0.90800000000000003</v>
      </c>
      <c r="I10" s="54">
        <f t="shared" si="7"/>
        <v>0.79300000000000004</v>
      </c>
      <c r="J10" s="54">
        <f t="shared" si="7"/>
        <v>0.67800000000000005</v>
      </c>
      <c r="K10" s="53">
        <f t="shared" si="7"/>
        <v>0.78839999999999999</v>
      </c>
      <c r="L10" s="54">
        <f t="shared" si="7"/>
        <v>0.76540000000000008</v>
      </c>
      <c r="M10" s="54">
        <f t="shared" si="7"/>
        <v>0.69180000000000008</v>
      </c>
      <c r="N10" s="54">
        <f t="shared" si="7"/>
        <v>0.72399999999999998</v>
      </c>
      <c r="O10" s="54">
        <f t="shared" si="7"/>
        <v>0.80220000000000002</v>
      </c>
      <c r="P10" s="54">
        <f t="shared" si="7"/>
        <v>0.6826000000000001</v>
      </c>
      <c r="Q10" s="54">
        <f t="shared" si="7"/>
        <v>0.6826000000000001</v>
      </c>
      <c r="R10" s="54">
        <f t="shared" si="7"/>
        <v>0.59980000000000011</v>
      </c>
      <c r="S10" s="54">
        <f t="shared" si="7"/>
        <v>0.59980000000000011</v>
      </c>
      <c r="T10" s="54">
        <f t="shared" si="7"/>
        <v>0.60899999999999999</v>
      </c>
      <c r="U10" s="54">
        <f t="shared" si="7"/>
        <v>0.67800000000000005</v>
      </c>
      <c r="V10" s="54">
        <f t="shared" si="7"/>
        <v>0.63200000000000001</v>
      </c>
      <c r="W10" s="54">
        <f t="shared" si="7"/>
        <v>0.71019999999999994</v>
      </c>
      <c r="X10" s="54">
        <f t="shared" si="7"/>
        <v>0.71019999999999994</v>
      </c>
      <c r="Y10" s="54">
        <f t="shared" si="7"/>
        <v>0.77</v>
      </c>
      <c r="Z10" s="54">
        <f t="shared" si="7"/>
        <v>0.77</v>
      </c>
    </row>
    <row r="11" spans="1:29" x14ac:dyDescent="0.3">
      <c r="A11" s="46" t="s">
        <v>41</v>
      </c>
      <c r="B11" s="46" t="s">
        <v>65</v>
      </c>
      <c r="C11" s="48">
        <v>0.49</v>
      </c>
      <c r="D11" s="52">
        <f t="shared" si="1"/>
        <v>0.51</v>
      </c>
      <c r="E11" s="56">
        <f>1-+$D$11*E2</f>
        <v>0.66849999999999998</v>
      </c>
      <c r="F11" s="56">
        <f t="shared" ref="F11:Z11" si="8">1-+$D$11*F2</f>
        <v>0.79600000000000004</v>
      </c>
      <c r="G11" s="56">
        <f t="shared" si="8"/>
        <v>0.87250000000000005</v>
      </c>
      <c r="H11" s="56">
        <f t="shared" si="8"/>
        <v>0.89800000000000002</v>
      </c>
      <c r="I11" s="54">
        <f t="shared" si="8"/>
        <v>0.77049999999999996</v>
      </c>
      <c r="J11" s="54">
        <f t="shared" si="8"/>
        <v>0.64300000000000002</v>
      </c>
      <c r="K11" s="54">
        <f t="shared" si="8"/>
        <v>0.76540000000000008</v>
      </c>
      <c r="L11" s="53">
        <f t="shared" si="8"/>
        <v>0.7399</v>
      </c>
      <c r="M11" s="56">
        <f t="shared" si="8"/>
        <v>0.65830000000000011</v>
      </c>
      <c r="N11" s="56">
        <f t="shared" si="8"/>
        <v>0.69399999999999995</v>
      </c>
      <c r="O11" s="56">
        <f t="shared" si="8"/>
        <v>0.78069999999999995</v>
      </c>
      <c r="P11" s="56">
        <f t="shared" si="8"/>
        <v>0.64810000000000001</v>
      </c>
      <c r="Q11" s="56">
        <f t="shared" si="8"/>
        <v>0.64810000000000001</v>
      </c>
      <c r="R11" s="56">
        <f t="shared" si="8"/>
        <v>0.55630000000000002</v>
      </c>
      <c r="S11" s="56">
        <f t="shared" si="8"/>
        <v>0.55630000000000002</v>
      </c>
      <c r="T11" s="54">
        <f t="shared" si="8"/>
        <v>0.5665</v>
      </c>
      <c r="U11" s="54">
        <f t="shared" si="8"/>
        <v>0.64300000000000002</v>
      </c>
      <c r="V11" s="54">
        <f t="shared" si="8"/>
        <v>0.59199999999999997</v>
      </c>
      <c r="W11" s="56">
        <f t="shared" si="8"/>
        <v>0.67869999999999997</v>
      </c>
      <c r="X11" s="56">
        <f t="shared" si="8"/>
        <v>0.67869999999999997</v>
      </c>
      <c r="Y11" s="56">
        <f t="shared" si="8"/>
        <v>0.745</v>
      </c>
      <c r="Z11" s="56">
        <f t="shared" si="8"/>
        <v>0.745</v>
      </c>
    </row>
    <row r="12" spans="1:29" x14ac:dyDescent="0.3">
      <c r="A12" s="46" t="s">
        <v>42</v>
      </c>
      <c r="B12" s="46" t="s">
        <v>66</v>
      </c>
      <c r="C12" s="48">
        <v>0.33</v>
      </c>
      <c r="D12" s="52">
        <f t="shared" si="1"/>
        <v>0.66999999999999993</v>
      </c>
      <c r="E12" s="54">
        <f>1-+$D$12*E2</f>
        <v>0.5645</v>
      </c>
      <c r="F12" s="54">
        <f t="shared" ref="F12:Z12" si="9">1-+$D$12*F2</f>
        <v>0.73199999999999998</v>
      </c>
      <c r="G12" s="54">
        <f t="shared" si="9"/>
        <v>0.83250000000000002</v>
      </c>
      <c r="H12" s="54">
        <f t="shared" si="9"/>
        <v>0.8660000000000001</v>
      </c>
      <c r="I12" s="57">
        <f t="shared" si="9"/>
        <v>0.69850000000000012</v>
      </c>
      <c r="J12" s="56">
        <f t="shared" si="9"/>
        <v>0.53100000000000014</v>
      </c>
      <c r="K12" s="54">
        <f t="shared" si="9"/>
        <v>0.69180000000000008</v>
      </c>
      <c r="L12" s="56">
        <f t="shared" si="9"/>
        <v>0.65830000000000011</v>
      </c>
      <c r="M12" s="53">
        <f t="shared" si="9"/>
        <v>0.55110000000000015</v>
      </c>
      <c r="N12" s="56">
        <f t="shared" si="9"/>
        <v>0.59800000000000009</v>
      </c>
      <c r="O12" s="56">
        <f t="shared" si="9"/>
        <v>0.71189999999999998</v>
      </c>
      <c r="P12" s="57">
        <f t="shared" si="9"/>
        <v>0.53770000000000007</v>
      </c>
      <c r="Q12" s="57">
        <f t="shared" si="9"/>
        <v>0.53770000000000007</v>
      </c>
      <c r="R12" s="56">
        <f t="shared" si="9"/>
        <v>0.41710000000000003</v>
      </c>
      <c r="S12" s="56">
        <f t="shared" si="9"/>
        <v>0.41710000000000003</v>
      </c>
      <c r="T12" s="54">
        <f t="shared" si="9"/>
        <v>0.4305000000000001</v>
      </c>
      <c r="U12" s="56">
        <f t="shared" si="9"/>
        <v>0.53100000000000014</v>
      </c>
      <c r="V12" s="56">
        <f t="shared" si="9"/>
        <v>0.46400000000000008</v>
      </c>
      <c r="W12" s="56">
        <f t="shared" si="9"/>
        <v>0.57790000000000008</v>
      </c>
      <c r="X12" s="56">
        <f t="shared" si="9"/>
        <v>0.57790000000000008</v>
      </c>
      <c r="Y12" s="56">
        <f t="shared" si="9"/>
        <v>0.66500000000000004</v>
      </c>
      <c r="Z12" s="57">
        <f t="shared" si="9"/>
        <v>0.66500000000000004</v>
      </c>
    </row>
    <row r="13" spans="1:29" x14ac:dyDescent="0.3">
      <c r="A13" s="46" t="s">
        <v>43</v>
      </c>
      <c r="B13" s="46" t="s">
        <v>67</v>
      </c>
      <c r="C13" s="48">
        <v>0.4</v>
      </c>
      <c r="D13" s="52">
        <f t="shared" si="1"/>
        <v>0.6</v>
      </c>
      <c r="E13" s="56">
        <f>1-+$D$13*E2</f>
        <v>0.61</v>
      </c>
      <c r="F13" s="56">
        <f t="shared" ref="F13:Z13" si="10">1-+$D$13*F2</f>
        <v>0.76</v>
      </c>
      <c r="G13" s="56">
        <f t="shared" si="10"/>
        <v>0.85</v>
      </c>
      <c r="H13" s="56">
        <f t="shared" si="10"/>
        <v>0.88</v>
      </c>
      <c r="I13" s="57">
        <f t="shared" si="10"/>
        <v>0.73</v>
      </c>
      <c r="J13" s="56">
        <f t="shared" si="10"/>
        <v>0.58000000000000007</v>
      </c>
      <c r="K13" s="54">
        <f t="shared" si="10"/>
        <v>0.72399999999999998</v>
      </c>
      <c r="L13" s="56">
        <f t="shared" si="10"/>
        <v>0.69399999999999995</v>
      </c>
      <c r="M13" s="56">
        <f t="shared" si="10"/>
        <v>0.59800000000000009</v>
      </c>
      <c r="N13" s="53">
        <f t="shared" si="10"/>
        <v>0.64</v>
      </c>
      <c r="O13" s="56">
        <f t="shared" si="10"/>
        <v>0.74199999999999999</v>
      </c>
      <c r="P13" s="56">
        <f t="shared" si="10"/>
        <v>0.58600000000000008</v>
      </c>
      <c r="Q13" s="57">
        <f t="shared" si="10"/>
        <v>0.58600000000000008</v>
      </c>
      <c r="R13" s="56">
        <f t="shared" si="10"/>
        <v>0.47799999999999998</v>
      </c>
      <c r="S13" s="56">
        <f t="shared" si="10"/>
        <v>0.47799999999999998</v>
      </c>
      <c r="T13" s="54">
        <f t="shared" si="10"/>
        <v>0.49</v>
      </c>
      <c r="U13" s="56">
        <f t="shared" si="10"/>
        <v>0.58000000000000007</v>
      </c>
      <c r="V13" s="56">
        <f t="shared" si="10"/>
        <v>0.52</v>
      </c>
      <c r="W13" s="56">
        <f t="shared" si="10"/>
        <v>0.622</v>
      </c>
      <c r="X13" s="56">
        <f t="shared" si="10"/>
        <v>0.622</v>
      </c>
      <c r="Y13" s="56">
        <f t="shared" si="10"/>
        <v>0.7</v>
      </c>
      <c r="Z13" s="56">
        <f t="shared" si="10"/>
        <v>0.7</v>
      </c>
    </row>
    <row r="14" spans="1:29" x14ac:dyDescent="0.3">
      <c r="A14" s="46" t="s">
        <v>47</v>
      </c>
      <c r="B14" s="46" t="s">
        <v>33</v>
      </c>
      <c r="C14" s="48">
        <v>0.56999999999999995</v>
      </c>
      <c r="D14" s="52">
        <f t="shared" si="1"/>
        <v>0.43000000000000005</v>
      </c>
      <c r="E14" s="56">
        <f>1-+$D$14*E2</f>
        <v>0.72049999999999992</v>
      </c>
      <c r="F14" s="56">
        <f t="shared" ref="F14:Z14" si="11">1-+$D$14*F2</f>
        <v>0.82799999999999996</v>
      </c>
      <c r="G14" s="56">
        <f t="shared" si="11"/>
        <v>0.89249999999999996</v>
      </c>
      <c r="H14" s="56">
        <f t="shared" si="11"/>
        <v>0.91400000000000003</v>
      </c>
      <c r="I14" s="57">
        <f t="shared" si="11"/>
        <v>0.80649999999999999</v>
      </c>
      <c r="J14" s="56">
        <f t="shared" si="11"/>
        <v>0.69900000000000007</v>
      </c>
      <c r="K14" s="54">
        <f t="shared" si="11"/>
        <v>0.80220000000000002</v>
      </c>
      <c r="L14" s="56">
        <f t="shared" si="11"/>
        <v>0.78069999999999995</v>
      </c>
      <c r="M14" s="56">
        <f t="shared" si="11"/>
        <v>0.71189999999999998</v>
      </c>
      <c r="N14" s="56">
        <f t="shared" si="11"/>
        <v>0.74199999999999999</v>
      </c>
      <c r="O14" s="53">
        <f t="shared" si="11"/>
        <v>0.81509999999999994</v>
      </c>
      <c r="P14" s="57">
        <f t="shared" si="11"/>
        <v>0.70330000000000004</v>
      </c>
      <c r="Q14" s="57">
        <f t="shared" si="11"/>
        <v>0.70330000000000004</v>
      </c>
      <c r="R14" s="56">
        <f t="shared" si="11"/>
        <v>0.6258999999999999</v>
      </c>
      <c r="S14" s="57">
        <f t="shared" si="11"/>
        <v>0.6258999999999999</v>
      </c>
      <c r="T14" s="54">
        <f t="shared" si="11"/>
        <v>0.63449999999999995</v>
      </c>
      <c r="U14" s="56">
        <f t="shared" si="11"/>
        <v>0.69900000000000007</v>
      </c>
      <c r="V14" s="56">
        <f t="shared" si="11"/>
        <v>0.65599999999999992</v>
      </c>
      <c r="W14" s="56">
        <f t="shared" si="11"/>
        <v>0.72909999999999997</v>
      </c>
      <c r="X14" s="56">
        <f t="shared" si="11"/>
        <v>0.72909999999999997</v>
      </c>
      <c r="Y14" s="56">
        <f t="shared" si="11"/>
        <v>0.78499999999999992</v>
      </c>
      <c r="Z14" s="57">
        <f t="shared" si="11"/>
        <v>0.78499999999999992</v>
      </c>
    </row>
    <row r="15" spans="1:29" x14ac:dyDescent="0.3">
      <c r="A15" s="46" t="s">
        <v>44</v>
      </c>
      <c r="B15" s="46" t="s">
        <v>78</v>
      </c>
      <c r="C15" s="48">
        <v>0.31</v>
      </c>
      <c r="D15" s="52">
        <f t="shared" si="1"/>
        <v>0.69</v>
      </c>
      <c r="E15" s="56">
        <f>1-+$D$15*E2</f>
        <v>0.5515000000000001</v>
      </c>
      <c r="F15" s="54">
        <f t="shared" ref="F15:Z15" si="12">1-+$D$15*F2</f>
        <v>0.72399999999999998</v>
      </c>
      <c r="G15" s="54">
        <f t="shared" si="12"/>
        <v>0.82750000000000001</v>
      </c>
      <c r="H15" s="54">
        <f t="shared" si="12"/>
        <v>0.8620000000000001</v>
      </c>
      <c r="I15" s="58">
        <f>1-+$D$15*I2</f>
        <v>0.6895</v>
      </c>
      <c r="J15" s="58">
        <f t="shared" si="12"/>
        <v>0.51700000000000013</v>
      </c>
      <c r="K15" s="54">
        <f t="shared" si="12"/>
        <v>0.6826000000000001</v>
      </c>
      <c r="L15" s="56">
        <f t="shared" si="12"/>
        <v>0.64810000000000001</v>
      </c>
      <c r="M15" s="57">
        <f t="shared" si="12"/>
        <v>0.53770000000000007</v>
      </c>
      <c r="N15" s="56">
        <f t="shared" si="12"/>
        <v>0.58600000000000008</v>
      </c>
      <c r="O15" s="57">
        <f t="shared" si="12"/>
        <v>0.70330000000000004</v>
      </c>
      <c r="P15" s="53">
        <f t="shared" si="12"/>
        <v>0.52390000000000003</v>
      </c>
      <c r="Q15" s="53">
        <f t="shared" si="12"/>
        <v>0.52390000000000003</v>
      </c>
      <c r="R15" s="54">
        <f t="shared" si="12"/>
        <v>0.39970000000000006</v>
      </c>
      <c r="S15" s="54">
        <f t="shared" si="12"/>
        <v>0.39970000000000006</v>
      </c>
      <c r="T15" s="54">
        <f t="shared" si="12"/>
        <v>0.41350000000000009</v>
      </c>
      <c r="U15" s="58">
        <f t="shared" si="12"/>
        <v>0.51700000000000013</v>
      </c>
      <c r="V15" s="58">
        <f t="shared" si="12"/>
        <v>0.44800000000000006</v>
      </c>
      <c r="W15" s="56">
        <f t="shared" si="12"/>
        <v>0.56530000000000002</v>
      </c>
      <c r="X15" s="56">
        <f t="shared" si="12"/>
        <v>0.56530000000000002</v>
      </c>
      <c r="Y15" s="54">
        <f t="shared" si="12"/>
        <v>0.65500000000000003</v>
      </c>
      <c r="Z15" s="54">
        <f t="shared" si="12"/>
        <v>0.65500000000000003</v>
      </c>
    </row>
    <row r="16" spans="1:29" x14ac:dyDescent="0.3">
      <c r="A16" s="46" t="s">
        <v>48</v>
      </c>
      <c r="B16" s="46" t="s">
        <v>79</v>
      </c>
      <c r="C16" s="48">
        <v>0.31</v>
      </c>
      <c r="D16" s="52">
        <f t="shared" si="1"/>
        <v>0.69</v>
      </c>
      <c r="E16" s="55">
        <f>1-+$D$16*E2</f>
        <v>0.5515000000000001</v>
      </c>
      <c r="F16" s="54">
        <f t="shared" ref="F16:Z16" si="13">1-+$D$16*F2</f>
        <v>0.72399999999999998</v>
      </c>
      <c r="G16" s="54">
        <f t="shared" si="13"/>
        <v>0.82750000000000001</v>
      </c>
      <c r="H16" s="54">
        <f t="shared" si="13"/>
        <v>0.8620000000000001</v>
      </c>
      <c r="I16" s="58">
        <f t="shared" si="13"/>
        <v>0.6895</v>
      </c>
      <c r="J16" s="58">
        <f t="shared" si="13"/>
        <v>0.51700000000000013</v>
      </c>
      <c r="K16" s="54">
        <f t="shared" si="13"/>
        <v>0.6826000000000001</v>
      </c>
      <c r="L16" s="56">
        <f t="shared" si="13"/>
        <v>0.64810000000000001</v>
      </c>
      <c r="M16" s="57">
        <f t="shared" si="13"/>
        <v>0.53770000000000007</v>
      </c>
      <c r="N16" s="57">
        <f t="shared" si="13"/>
        <v>0.58600000000000008</v>
      </c>
      <c r="O16" s="57">
        <f t="shared" si="13"/>
        <v>0.70330000000000004</v>
      </c>
      <c r="P16" s="53">
        <f t="shared" si="13"/>
        <v>0.52390000000000003</v>
      </c>
      <c r="Q16" s="53">
        <f t="shared" si="13"/>
        <v>0.52390000000000003</v>
      </c>
      <c r="R16" s="54">
        <f t="shared" si="13"/>
        <v>0.39970000000000006</v>
      </c>
      <c r="S16" s="54">
        <f t="shared" si="13"/>
        <v>0.39970000000000006</v>
      </c>
      <c r="T16" s="54">
        <f t="shared" si="13"/>
        <v>0.41350000000000009</v>
      </c>
      <c r="U16" s="57">
        <f t="shared" si="13"/>
        <v>0.51700000000000013</v>
      </c>
      <c r="V16" s="57">
        <f t="shared" si="13"/>
        <v>0.44800000000000006</v>
      </c>
      <c r="W16" s="56">
        <f t="shared" si="13"/>
        <v>0.56530000000000002</v>
      </c>
      <c r="X16" s="56">
        <f t="shared" si="13"/>
        <v>0.56530000000000002</v>
      </c>
      <c r="Y16" s="54">
        <f t="shared" si="13"/>
        <v>0.65500000000000003</v>
      </c>
      <c r="Z16" s="54">
        <f t="shared" si="13"/>
        <v>0.65500000000000003</v>
      </c>
    </row>
    <row r="17" spans="1:26" x14ac:dyDescent="0.3">
      <c r="A17" s="46" t="s">
        <v>49</v>
      </c>
      <c r="B17" s="46" t="s">
        <v>80</v>
      </c>
      <c r="C17" s="48">
        <v>0.13</v>
      </c>
      <c r="D17" s="52">
        <f t="shared" si="1"/>
        <v>0.87</v>
      </c>
      <c r="E17" s="59">
        <f>1-+$D$17*E2</f>
        <v>0.4345</v>
      </c>
      <c r="F17" s="54">
        <f t="shared" ref="F17:Z17" si="14">1-+$D$17*F2</f>
        <v>0.65199999999999991</v>
      </c>
      <c r="G17" s="54">
        <f t="shared" si="14"/>
        <v>0.78249999999999997</v>
      </c>
      <c r="H17" s="54">
        <f t="shared" si="14"/>
        <v>0.82600000000000007</v>
      </c>
      <c r="I17" s="58">
        <f t="shared" si="14"/>
        <v>0.60850000000000004</v>
      </c>
      <c r="J17" s="58">
        <f t="shared" si="14"/>
        <v>0.39100000000000001</v>
      </c>
      <c r="K17" s="54">
        <f t="shared" si="14"/>
        <v>0.59980000000000011</v>
      </c>
      <c r="L17" s="56">
        <f t="shared" si="14"/>
        <v>0.55630000000000002</v>
      </c>
      <c r="M17" s="56">
        <f t="shared" si="14"/>
        <v>0.41710000000000003</v>
      </c>
      <c r="N17" s="56">
        <f t="shared" si="14"/>
        <v>0.47799999999999998</v>
      </c>
      <c r="O17" s="56">
        <f t="shared" si="14"/>
        <v>0.6258999999999999</v>
      </c>
      <c r="P17" s="54">
        <f t="shared" si="14"/>
        <v>0.39970000000000006</v>
      </c>
      <c r="Q17" s="54">
        <f t="shared" si="14"/>
        <v>0.39970000000000006</v>
      </c>
      <c r="R17" s="53">
        <f t="shared" si="14"/>
        <v>0.24309999999999998</v>
      </c>
      <c r="S17" s="53">
        <f t="shared" si="14"/>
        <v>0.24309999999999998</v>
      </c>
      <c r="T17" s="54">
        <f t="shared" si="14"/>
        <v>0.26050000000000006</v>
      </c>
      <c r="U17" s="57">
        <f t="shared" si="14"/>
        <v>0.39100000000000001</v>
      </c>
      <c r="V17" s="57">
        <f t="shared" si="14"/>
        <v>0.30399999999999994</v>
      </c>
      <c r="W17" s="56">
        <f t="shared" si="14"/>
        <v>0.45189999999999997</v>
      </c>
      <c r="X17" s="56">
        <f t="shared" si="14"/>
        <v>0.45189999999999997</v>
      </c>
      <c r="Y17" s="54">
        <f t="shared" si="14"/>
        <v>0.56499999999999995</v>
      </c>
      <c r="Z17" s="54">
        <f t="shared" si="14"/>
        <v>0.56499999999999995</v>
      </c>
    </row>
    <row r="18" spans="1:26" x14ac:dyDescent="0.3">
      <c r="A18" s="46" t="s">
        <v>50</v>
      </c>
      <c r="B18" s="46" t="s">
        <v>81</v>
      </c>
      <c r="C18" s="48">
        <v>0.13</v>
      </c>
      <c r="D18" s="52">
        <f t="shared" si="1"/>
        <v>0.87</v>
      </c>
      <c r="E18" s="56">
        <f>1-+$D$18*E2</f>
        <v>0.4345</v>
      </c>
      <c r="F18" s="54">
        <f t="shared" ref="F18:Z18" si="15">1-+$D$18*F2</f>
        <v>0.65199999999999991</v>
      </c>
      <c r="G18" s="54">
        <f t="shared" si="15"/>
        <v>0.78249999999999997</v>
      </c>
      <c r="H18" s="54">
        <f t="shared" si="15"/>
        <v>0.82600000000000007</v>
      </c>
      <c r="I18" s="58">
        <f t="shared" si="15"/>
        <v>0.60850000000000004</v>
      </c>
      <c r="J18" s="58">
        <f t="shared" si="15"/>
        <v>0.39100000000000001</v>
      </c>
      <c r="K18" s="54">
        <f t="shared" si="15"/>
        <v>0.59980000000000011</v>
      </c>
      <c r="L18" s="56">
        <f t="shared" si="15"/>
        <v>0.55630000000000002</v>
      </c>
      <c r="M18" s="56">
        <f t="shared" si="15"/>
        <v>0.41710000000000003</v>
      </c>
      <c r="N18" s="56">
        <f t="shared" si="15"/>
        <v>0.47799999999999998</v>
      </c>
      <c r="O18" s="57">
        <f t="shared" si="15"/>
        <v>0.6258999999999999</v>
      </c>
      <c r="P18" s="54">
        <f t="shared" si="15"/>
        <v>0.39970000000000006</v>
      </c>
      <c r="Q18" s="54">
        <f t="shared" si="15"/>
        <v>0.39970000000000006</v>
      </c>
      <c r="R18" s="53">
        <f t="shared" si="15"/>
        <v>0.24309999999999998</v>
      </c>
      <c r="S18" s="53">
        <f t="shared" si="15"/>
        <v>0.24309999999999998</v>
      </c>
      <c r="T18" s="54">
        <f t="shared" si="15"/>
        <v>0.26050000000000006</v>
      </c>
      <c r="U18" s="56">
        <f t="shared" si="15"/>
        <v>0.39100000000000001</v>
      </c>
      <c r="V18" s="56">
        <f t="shared" si="15"/>
        <v>0.30399999999999994</v>
      </c>
      <c r="W18" s="56">
        <f t="shared" si="15"/>
        <v>0.45189999999999997</v>
      </c>
      <c r="X18" s="56">
        <f t="shared" si="15"/>
        <v>0.45189999999999997</v>
      </c>
      <c r="Y18" s="54">
        <f t="shared" si="15"/>
        <v>0.56499999999999995</v>
      </c>
      <c r="Z18" s="54">
        <f t="shared" si="15"/>
        <v>0.56499999999999995</v>
      </c>
    </row>
    <row r="19" spans="1:26" x14ac:dyDescent="0.3">
      <c r="A19" s="46" t="s">
        <v>51</v>
      </c>
      <c r="B19" s="46" t="s">
        <v>68</v>
      </c>
      <c r="C19" s="48">
        <v>0.15</v>
      </c>
      <c r="D19" s="52">
        <f t="shared" si="1"/>
        <v>0.85</v>
      </c>
      <c r="E19" s="54">
        <f>1-+$D$19*E2</f>
        <v>0.44750000000000001</v>
      </c>
      <c r="F19" s="54">
        <f t="shared" ref="F19:Z19" si="16">1-+$D$19*F2</f>
        <v>0.65999999999999992</v>
      </c>
      <c r="G19" s="54">
        <f t="shared" si="16"/>
        <v>0.78749999999999998</v>
      </c>
      <c r="H19" s="54">
        <f t="shared" si="16"/>
        <v>0.83000000000000007</v>
      </c>
      <c r="I19" s="58">
        <f t="shared" si="16"/>
        <v>0.61750000000000005</v>
      </c>
      <c r="J19" s="58">
        <f t="shared" si="16"/>
        <v>0.40500000000000003</v>
      </c>
      <c r="K19" s="54">
        <f t="shared" si="16"/>
        <v>0.60899999999999999</v>
      </c>
      <c r="L19" s="54">
        <f t="shared" si="16"/>
        <v>0.5665</v>
      </c>
      <c r="M19" s="54">
        <f t="shared" si="16"/>
        <v>0.4305000000000001</v>
      </c>
      <c r="N19" s="54">
        <f t="shared" si="16"/>
        <v>0.49</v>
      </c>
      <c r="O19" s="54">
        <f t="shared" si="16"/>
        <v>0.63449999999999995</v>
      </c>
      <c r="P19" s="54">
        <f t="shared" si="16"/>
        <v>0.41350000000000009</v>
      </c>
      <c r="Q19" s="54">
        <f t="shared" si="16"/>
        <v>0.41350000000000009</v>
      </c>
      <c r="R19" s="54">
        <f t="shared" si="16"/>
        <v>0.26050000000000006</v>
      </c>
      <c r="S19" s="54">
        <f t="shared" si="16"/>
        <v>0.26050000000000006</v>
      </c>
      <c r="T19" s="53">
        <f t="shared" si="16"/>
        <v>0.27750000000000008</v>
      </c>
      <c r="U19" s="56">
        <f t="shared" si="16"/>
        <v>0.40500000000000003</v>
      </c>
      <c r="V19" s="54">
        <f t="shared" si="16"/>
        <v>0.31999999999999995</v>
      </c>
      <c r="W19" s="56">
        <f t="shared" si="16"/>
        <v>0.46450000000000002</v>
      </c>
      <c r="X19" s="56">
        <f t="shared" si="16"/>
        <v>0.46450000000000002</v>
      </c>
      <c r="Y19" s="54">
        <f t="shared" si="16"/>
        <v>0.57499999999999996</v>
      </c>
      <c r="Z19" s="54">
        <f t="shared" si="16"/>
        <v>0.57499999999999996</v>
      </c>
    </row>
    <row r="20" spans="1:26" x14ac:dyDescent="0.3">
      <c r="A20" s="46" t="s">
        <v>52</v>
      </c>
      <c r="B20" s="46" t="s">
        <v>64</v>
      </c>
      <c r="C20" s="48">
        <v>0.3</v>
      </c>
      <c r="D20" s="52">
        <f t="shared" si="1"/>
        <v>0.7</v>
      </c>
      <c r="E20" s="56">
        <f>1-+$D$20*E2</f>
        <v>0.54500000000000004</v>
      </c>
      <c r="F20" s="56">
        <f t="shared" ref="F20:Z20" si="17">1-+$D$20*F2</f>
        <v>0.72</v>
      </c>
      <c r="G20" s="56">
        <f t="shared" si="17"/>
        <v>0.82499999999999996</v>
      </c>
      <c r="H20" s="56">
        <f t="shared" si="17"/>
        <v>0.8600000000000001</v>
      </c>
      <c r="I20" s="56">
        <f t="shared" si="17"/>
        <v>0.68500000000000005</v>
      </c>
      <c r="J20" s="56">
        <f t="shared" si="17"/>
        <v>0.51</v>
      </c>
      <c r="K20" s="54">
        <f t="shared" si="17"/>
        <v>0.67800000000000005</v>
      </c>
      <c r="L20" s="54">
        <f t="shared" si="17"/>
        <v>0.64300000000000002</v>
      </c>
      <c r="M20" s="56">
        <f t="shared" si="17"/>
        <v>0.53100000000000014</v>
      </c>
      <c r="N20" s="56">
        <f t="shared" si="17"/>
        <v>0.58000000000000007</v>
      </c>
      <c r="O20" s="56">
        <f t="shared" si="17"/>
        <v>0.69900000000000007</v>
      </c>
      <c r="P20" s="58">
        <f t="shared" si="17"/>
        <v>0.51700000000000013</v>
      </c>
      <c r="Q20" s="57">
        <f t="shared" si="17"/>
        <v>0.51700000000000013</v>
      </c>
      <c r="R20" s="57">
        <f t="shared" si="17"/>
        <v>0.39100000000000001</v>
      </c>
      <c r="S20" s="56">
        <f t="shared" si="17"/>
        <v>0.39100000000000001</v>
      </c>
      <c r="T20" s="54">
        <f t="shared" si="17"/>
        <v>0.40500000000000003</v>
      </c>
      <c r="U20" s="53">
        <f t="shared" si="17"/>
        <v>0.51</v>
      </c>
      <c r="V20" s="54">
        <f t="shared" si="17"/>
        <v>0.44000000000000006</v>
      </c>
      <c r="W20" s="57">
        <f t="shared" si="17"/>
        <v>0.55900000000000005</v>
      </c>
      <c r="X20" s="57">
        <f t="shared" si="17"/>
        <v>0.55900000000000005</v>
      </c>
      <c r="Y20" s="57">
        <f t="shared" si="17"/>
        <v>0.65</v>
      </c>
      <c r="Z20" s="56">
        <f t="shared" si="17"/>
        <v>0.65</v>
      </c>
    </row>
    <row r="21" spans="1:26" x14ac:dyDescent="0.3">
      <c r="A21" s="46" t="s">
        <v>53</v>
      </c>
      <c r="B21" s="46" t="s">
        <v>69</v>
      </c>
      <c r="C21" s="48">
        <v>0.2</v>
      </c>
      <c r="D21" s="52">
        <f t="shared" si="1"/>
        <v>0.8</v>
      </c>
      <c r="E21" s="56">
        <f>1-+$D$21*E2</f>
        <v>0.48</v>
      </c>
      <c r="F21" s="56">
        <f t="shared" ref="F21:Z21" si="18">1-+$D$21*F2</f>
        <v>0.67999999999999994</v>
      </c>
      <c r="G21" s="56">
        <f t="shared" si="18"/>
        <v>0.8</v>
      </c>
      <c r="H21" s="56">
        <f t="shared" si="18"/>
        <v>0.84000000000000008</v>
      </c>
      <c r="I21" s="56">
        <f t="shared" si="18"/>
        <v>0.64</v>
      </c>
      <c r="J21" s="56">
        <f t="shared" si="18"/>
        <v>0.44000000000000006</v>
      </c>
      <c r="K21" s="54">
        <f t="shared" si="18"/>
        <v>0.63200000000000001</v>
      </c>
      <c r="L21" s="54">
        <f t="shared" si="18"/>
        <v>0.59199999999999997</v>
      </c>
      <c r="M21" s="56">
        <f t="shared" si="18"/>
        <v>0.46400000000000008</v>
      </c>
      <c r="N21" s="56">
        <f t="shared" si="18"/>
        <v>0.52</v>
      </c>
      <c r="O21" s="56">
        <f t="shared" si="18"/>
        <v>0.65599999999999992</v>
      </c>
      <c r="P21" s="58">
        <f t="shared" si="18"/>
        <v>0.44800000000000006</v>
      </c>
      <c r="Q21" s="57">
        <f t="shared" si="18"/>
        <v>0.44800000000000006</v>
      </c>
      <c r="R21" s="57">
        <f t="shared" si="18"/>
        <v>0.30399999999999994</v>
      </c>
      <c r="S21" s="56">
        <f t="shared" si="18"/>
        <v>0.30399999999999994</v>
      </c>
      <c r="T21" s="54">
        <f t="shared" si="18"/>
        <v>0.31999999999999995</v>
      </c>
      <c r="U21" s="54">
        <f t="shared" si="18"/>
        <v>0.44000000000000006</v>
      </c>
      <c r="V21" s="53">
        <f t="shared" si="18"/>
        <v>0.35999999999999988</v>
      </c>
      <c r="W21" s="57">
        <f t="shared" si="18"/>
        <v>0.496</v>
      </c>
      <c r="X21" s="57">
        <f t="shared" si="18"/>
        <v>0.496</v>
      </c>
      <c r="Y21" s="57">
        <f t="shared" si="18"/>
        <v>0.6</v>
      </c>
      <c r="Z21" s="56">
        <f t="shared" si="18"/>
        <v>0.6</v>
      </c>
    </row>
    <row r="22" spans="1:26" x14ac:dyDescent="0.3">
      <c r="A22" s="46" t="s">
        <v>54</v>
      </c>
      <c r="B22" s="46" t="s">
        <v>82</v>
      </c>
      <c r="C22" s="48">
        <v>0.37</v>
      </c>
      <c r="D22" s="52">
        <f t="shared" si="1"/>
        <v>0.63</v>
      </c>
      <c r="E22" s="56">
        <f>1-+$D$22*E2</f>
        <v>0.59050000000000002</v>
      </c>
      <c r="F22" s="54">
        <f t="shared" ref="F22:Z22" si="19">1-+$D$22*F2</f>
        <v>0.748</v>
      </c>
      <c r="G22" s="54">
        <f t="shared" si="19"/>
        <v>0.84250000000000003</v>
      </c>
      <c r="H22" s="54">
        <f t="shared" si="19"/>
        <v>0.874</v>
      </c>
      <c r="I22" s="58">
        <f t="shared" si="19"/>
        <v>0.71650000000000003</v>
      </c>
      <c r="J22" s="58">
        <f t="shared" si="19"/>
        <v>0.55900000000000005</v>
      </c>
      <c r="K22" s="54">
        <f t="shared" si="19"/>
        <v>0.71019999999999994</v>
      </c>
      <c r="L22" s="56">
        <f t="shared" si="19"/>
        <v>0.67869999999999997</v>
      </c>
      <c r="M22" s="56">
        <f t="shared" si="19"/>
        <v>0.57790000000000008</v>
      </c>
      <c r="N22" s="56">
        <f t="shared" si="19"/>
        <v>0.622</v>
      </c>
      <c r="O22" s="56">
        <f t="shared" si="19"/>
        <v>0.72909999999999997</v>
      </c>
      <c r="P22" s="54">
        <f t="shared" si="19"/>
        <v>0.56530000000000002</v>
      </c>
      <c r="Q22" s="54">
        <f t="shared" si="19"/>
        <v>0.56530000000000002</v>
      </c>
      <c r="R22" s="54">
        <f t="shared" si="19"/>
        <v>0.45189999999999997</v>
      </c>
      <c r="S22" s="54">
        <f t="shared" si="19"/>
        <v>0.45189999999999997</v>
      </c>
      <c r="T22" s="54">
        <f t="shared" si="19"/>
        <v>0.46450000000000002</v>
      </c>
      <c r="U22" s="57">
        <f t="shared" si="19"/>
        <v>0.55900000000000005</v>
      </c>
      <c r="V22" s="57">
        <f t="shared" si="19"/>
        <v>0.496</v>
      </c>
      <c r="W22" s="53">
        <f t="shared" si="19"/>
        <v>0.60309999999999997</v>
      </c>
      <c r="X22" s="53">
        <f t="shared" si="19"/>
        <v>0.60309999999999997</v>
      </c>
      <c r="Y22" s="54">
        <f t="shared" si="19"/>
        <v>0.68500000000000005</v>
      </c>
      <c r="Z22" s="54">
        <f t="shared" si="19"/>
        <v>0.68500000000000005</v>
      </c>
    </row>
    <row r="23" spans="1:26" x14ac:dyDescent="0.3">
      <c r="A23" s="46" t="s">
        <v>55</v>
      </c>
      <c r="B23" s="46" t="s">
        <v>83</v>
      </c>
      <c r="C23" s="48">
        <v>0.37</v>
      </c>
      <c r="D23" s="52">
        <f t="shared" si="1"/>
        <v>0.63</v>
      </c>
      <c r="E23" s="56">
        <f>1-+$D$23*E2</f>
        <v>0.59050000000000002</v>
      </c>
      <c r="F23" s="54">
        <f t="shared" ref="F23:Z23" si="20">1-+$D$23*F2</f>
        <v>0.748</v>
      </c>
      <c r="G23" s="54">
        <f t="shared" si="20"/>
        <v>0.84250000000000003</v>
      </c>
      <c r="H23" s="54">
        <f t="shared" si="20"/>
        <v>0.874</v>
      </c>
      <c r="I23" s="58">
        <f t="shared" si="20"/>
        <v>0.71650000000000003</v>
      </c>
      <c r="J23" s="58">
        <f t="shared" si="20"/>
        <v>0.55900000000000005</v>
      </c>
      <c r="K23" s="54">
        <f t="shared" si="20"/>
        <v>0.71019999999999994</v>
      </c>
      <c r="L23" s="56">
        <f t="shared" si="20"/>
        <v>0.67869999999999997</v>
      </c>
      <c r="M23" s="56">
        <f t="shared" si="20"/>
        <v>0.57790000000000008</v>
      </c>
      <c r="N23" s="56">
        <f t="shared" si="20"/>
        <v>0.622</v>
      </c>
      <c r="O23" s="56">
        <f t="shared" si="20"/>
        <v>0.72909999999999997</v>
      </c>
      <c r="P23" s="54">
        <f t="shared" si="20"/>
        <v>0.56530000000000002</v>
      </c>
      <c r="Q23" s="54">
        <f t="shared" si="20"/>
        <v>0.56530000000000002</v>
      </c>
      <c r="R23" s="54">
        <f t="shared" si="20"/>
        <v>0.45189999999999997</v>
      </c>
      <c r="S23" s="54">
        <f t="shared" si="20"/>
        <v>0.45189999999999997</v>
      </c>
      <c r="T23" s="54">
        <f t="shared" si="20"/>
        <v>0.46450000000000002</v>
      </c>
      <c r="U23" s="57">
        <f t="shared" si="20"/>
        <v>0.55900000000000005</v>
      </c>
      <c r="V23" s="57">
        <f t="shared" si="20"/>
        <v>0.496</v>
      </c>
      <c r="W23" s="53">
        <f t="shared" si="20"/>
        <v>0.60309999999999997</v>
      </c>
      <c r="X23" s="53">
        <f t="shared" si="20"/>
        <v>0.60309999999999997</v>
      </c>
      <c r="Y23" s="54">
        <f t="shared" si="20"/>
        <v>0.68500000000000005</v>
      </c>
      <c r="Z23" s="54">
        <f t="shared" si="20"/>
        <v>0.68500000000000005</v>
      </c>
    </row>
    <row r="24" spans="1:26" x14ac:dyDescent="0.3">
      <c r="A24" s="46" t="s">
        <v>56</v>
      </c>
      <c r="B24" s="46" t="s">
        <v>84</v>
      </c>
      <c r="C24" s="48">
        <v>0.5</v>
      </c>
      <c r="D24" s="52">
        <f t="shared" si="1"/>
        <v>0.5</v>
      </c>
      <c r="E24" s="57">
        <f>1-+$D$24*E2</f>
        <v>0.67500000000000004</v>
      </c>
      <c r="F24" s="54">
        <f t="shared" ref="F24:Z24" si="21">1-+$D$24*F2</f>
        <v>0.8</v>
      </c>
      <c r="G24" s="54">
        <f t="shared" si="21"/>
        <v>0.875</v>
      </c>
      <c r="H24" s="54">
        <f t="shared" si="21"/>
        <v>0.9</v>
      </c>
      <c r="I24" s="58">
        <f t="shared" si="21"/>
        <v>0.77500000000000002</v>
      </c>
      <c r="J24" s="58">
        <f t="shared" si="21"/>
        <v>0.65</v>
      </c>
      <c r="K24" s="54">
        <f t="shared" si="21"/>
        <v>0.77</v>
      </c>
      <c r="L24" s="56">
        <f t="shared" si="21"/>
        <v>0.745</v>
      </c>
      <c r="M24" s="56">
        <f t="shared" si="21"/>
        <v>0.66500000000000004</v>
      </c>
      <c r="N24" s="56">
        <f t="shared" si="21"/>
        <v>0.7</v>
      </c>
      <c r="O24" s="56">
        <f t="shared" si="21"/>
        <v>0.78499999999999992</v>
      </c>
      <c r="P24" s="54">
        <f t="shared" si="21"/>
        <v>0.65500000000000003</v>
      </c>
      <c r="Q24" s="54">
        <f t="shared" si="21"/>
        <v>0.65500000000000003</v>
      </c>
      <c r="R24" s="54">
        <f t="shared" si="21"/>
        <v>0.56499999999999995</v>
      </c>
      <c r="S24" s="54">
        <f t="shared" si="21"/>
        <v>0.56499999999999995</v>
      </c>
      <c r="T24" s="54">
        <f t="shared" si="21"/>
        <v>0.57499999999999996</v>
      </c>
      <c r="U24" s="57">
        <f t="shared" si="21"/>
        <v>0.65</v>
      </c>
      <c r="V24" s="57">
        <f t="shared" si="21"/>
        <v>0.6</v>
      </c>
      <c r="W24" s="54">
        <f t="shared" si="21"/>
        <v>0.68500000000000005</v>
      </c>
      <c r="X24" s="54">
        <f t="shared" si="21"/>
        <v>0.68500000000000005</v>
      </c>
      <c r="Y24" s="53">
        <f t="shared" si="21"/>
        <v>0.75</v>
      </c>
      <c r="Z24" s="53">
        <f t="shared" si="21"/>
        <v>0.75</v>
      </c>
    </row>
    <row r="25" spans="1:26" x14ac:dyDescent="0.3">
      <c r="A25" s="46" t="s">
        <v>57</v>
      </c>
      <c r="B25" s="46" t="s">
        <v>85</v>
      </c>
      <c r="C25" s="48">
        <v>0.5</v>
      </c>
      <c r="D25" s="52">
        <f t="shared" si="1"/>
        <v>0.5</v>
      </c>
      <c r="E25" s="57">
        <f>1-+$D$25*E2</f>
        <v>0.67500000000000004</v>
      </c>
      <c r="F25" s="54">
        <f t="shared" ref="F25:Z25" si="22">1-+$D$25*F2</f>
        <v>0.8</v>
      </c>
      <c r="G25" s="54">
        <f t="shared" si="22"/>
        <v>0.875</v>
      </c>
      <c r="H25" s="54">
        <f t="shared" si="22"/>
        <v>0.9</v>
      </c>
      <c r="I25" s="58">
        <f t="shared" si="22"/>
        <v>0.77500000000000002</v>
      </c>
      <c r="J25" s="58">
        <f t="shared" si="22"/>
        <v>0.65</v>
      </c>
      <c r="K25" s="54">
        <f t="shared" si="22"/>
        <v>0.77</v>
      </c>
      <c r="L25" s="56">
        <f t="shared" si="22"/>
        <v>0.745</v>
      </c>
      <c r="M25" s="57">
        <f t="shared" si="22"/>
        <v>0.66500000000000004</v>
      </c>
      <c r="N25" s="56">
        <f t="shared" si="22"/>
        <v>0.7</v>
      </c>
      <c r="O25" s="57">
        <f t="shared" si="22"/>
        <v>0.78499999999999992</v>
      </c>
      <c r="P25" s="54">
        <f t="shared" si="22"/>
        <v>0.65500000000000003</v>
      </c>
      <c r="Q25" s="54">
        <f t="shared" si="22"/>
        <v>0.65500000000000003</v>
      </c>
      <c r="R25" s="54">
        <f t="shared" si="22"/>
        <v>0.56499999999999995</v>
      </c>
      <c r="S25" s="54">
        <f t="shared" si="22"/>
        <v>0.56499999999999995</v>
      </c>
      <c r="T25" s="54">
        <f t="shared" si="22"/>
        <v>0.57499999999999996</v>
      </c>
      <c r="U25" s="56">
        <f t="shared" si="22"/>
        <v>0.65</v>
      </c>
      <c r="V25" s="56">
        <f t="shared" si="22"/>
        <v>0.6</v>
      </c>
      <c r="W25" s="54">
        <f t="shared" si="22"/>
        <v>0.68500000000000005</v>
      </c>
      <c r="X25" s="54">
        <f t="shared" si="22"/>
        <v>0.68500000000000005</v>
      </c>
      <c r="Y25" s="53">
        <f t="shared" si="22"/>
        <v>0.75</v>
      </c>
      <c r="Z25" s="53">
        <f t="shared" si="22"/>
        <v>0.75</v>
      </c>
    </row>
    <row r="26" spans="1:26" x14ac:dyDescent="0.3">
      <c r="E26" s="49"/>
      <c r="F26" s="49"/>
      <c r="G26" s="49"/>
      <c r="H26" s="49"/>
      <c r="I26" s="60"/>
      <c r="J26" s="60"/>
      <c r="K26" s="49"/>
      <c r="L26" s="49"/>
      <c r="M26" s="49"/>
      <c r="N26" s="49"/>
      <c r="O26" s="49"/>
      <c r="P26" s="49"/>
      <c r="Q26" s="49"/>
      <c r="R26" s="49"/>
      <c r="S26" s="61"/>
    </row>
    <row r="27" spans="1:26" x14ac:dyDescent="0.3">
      <c r="E27" s="49"/>
      <c r="F27" s="49"/>
      <c r="G27" s="49"/>
      <c r="H27" s="49"/>
      <c r="I27" s="60"/>
      <c r="J27" s="60"/>
      <c r="K27" s="49"/>
      <c r="L27" s="49"/>
      <c r="M27" s="49"/>
      <c r="N27" s="49"/>
      <c r="O27" s="49"/>
      <c r="P27" s="49"/>
      <c r="Q27" s="49"/>
      <c r="R27" s="49"/>
      <c r="S27" s="49"/>
    </row>
    <row r="28" spans="1:26" x14ac:dyDescent="0.3">
      <c r="B28" s="46" t="s">
        <v>70</v>
      </c>
      <c r="E28" s="61"/>
      <c r="F28" s="61"/>
      <c r="G28" s="61"/>
      <c r="H28" s="61"/>
      <c r="I28" s="60"/>
      <c r="J28" s="60"/>
      <c r="K28" s="49"/>
      <c r="L28" s="49"/>
      <c r="M28" s="49"/>
      <c r="N28" s="49"/>
      <c r="O28" s="49"/>
      <c r="P28" s="49"/>
      <c r="Q28" s="49"/>
      <c r="R28" s="49"/>
      <c r="S28" s="49"/>
    </row>
    <row r="29" spans="1:26" x14ac:dyDescent="0.3">
      <c r="B29" s="46" t="s">
        <v>71</v>
      </c>
      <c r="C29" s="48" t="s">
        <v>72</v>
      </c>
      <c r="E29" s="49"/>
      <c r="F29" s="49"/>
      <c r="G29" s="49"/>
      <c r="H29" s="49"/>
      <c r="I29" s="60"/>
      <c r="J29" s="60"/>
      <c r="K29" s="49"/>
      <c r="L29" s="49"/>
      <c r="M29" s="49"/>
      <c r="N29" s="49"/>
      <c r="O29" s="49"/>
      <c r="P29" s="49"/>
      <c r="Q29" s="49"/>
      <c r="R29" s="49"/>
      <c r="S29" s="61"/>
    </row>
    <row r="30" spans="1:26" x14ac:dyDescent="0.3">
      <c r="B30" s="46" t="s">
        <v>73</v>
      </c>
      <c r="C30" s="48" t="s">
        <v>74</v>
      </c>
      <c r="E30" s="61"/>
      <c r="F30" s="61"/>
      <c r="G30" s="61"/>
      <c r="H30" s="61"/>
      <c r="I30" s="60"/>
      <c r="J30" s="60"/>
      <c r="K30" s="49"/>
      <c r="L30" s="49"/>
      <c r="M30" s="49"/>
      <c r="N30" s="49"/>
      <c r="O30" s="49"/>
      <c r="P30" s="49"/>
      <c r="Q30" s="49"/>
      <c r="R30" s="49"/>
      <c r="S30" s="61"/>
    </row>
    <row r="31" spans="1:26" x14ac:dyDescent="0.3">
      <c r="B31" s="46" t="s">
        <v>75</v>
      </c>
      <c r="C31" s="48" t="s">
        <v>76</v>
      </c>
      <c r="E31" s="61"/>
      <c r="F31" s="61"/>
      <c r="G31" s="61"/>
      <c r="H31" s="61"/>
      <c r="I31" s="60"/>
      <c r="J31" s="60"/>
      <c r="K31" s="49"/>
      <c r="L31" s="49"/>
      <c r="M31" s="49"/>
      <c r="N31" s="49"/>
      <c r="O31" s="49"/>
      <c r="P31" s="49"/>
      <c r="Q31" s="49"/>
      <c r="R31" s="49"/>
      <c r="S31" s="61"/>
    </row>
    <row r="32" spans="1:26" x14ac:dyDescent="0.3">
      <c r="B32" s="46" t="s">
        <v>129</v>
      </c>
      <c r="E32" s="49"/>
      <c r="F32" s="49"/>
      <c r="G32" s="49"/>
      <c r="H32" s="49"/>
      <c r="I32" s="60"/>
      <c r="J32" s="60"/>
      <c r="K32" s="49"/>
      <c r="L32" s="49"/>
      <c r="M32" s="49"/>
      <c r="N32" s="49"/>
      <c r="O32" s="49"/>
      <c r="P32" s="49"/>
      <c r="Q32" s="49"/>
      <c r="R32" s="49"/>
      <c r="S32" s="61"/>
    </row>
    <row r="33" spans="2:19" x14ac:dyDescent="0.3">
      <c r="B33" s="46" t="s">
        <v>202</v>
      </c>
      <c r="C33" s="48" t="s">
        <v>133</v>
      </c>
      <c r="E33" s="49"/>
      <c r="F33" s="49"/>
      <c r="G33" s="49"/>
      <c r="H33" s="49"/>
      <c r="I33" s="60"/>
      <c r="J33" s="60"/>
      <c r="K33" s="49"/>
      <c r="L33" s="49"/>
      <c r="M33" s="49"/>
      <c r="N33" s="49"/>
      <c r="O33" s="49"/>
      <c r="P33" s="49"/>
      <c r="Q33" s="49"/>
      <c r="R33" s="49"/>
      <c r="S33" s="61"/>
    </row>
    <row r="34" spans="2:19" x14ac:dyDescent="0.3">
      <c r="B34" s="46" t="s">
        <v>201</v>
      </c>
      <c r="C34" s="48" t="s">
        <v>133</v>
      </c>
      <c r="E34" s="49"/>
      <c r="F34" s="49"/>
      <c r="G34" s="49"/>
      <c r="H34" s="49"/>
      <c r="I34" s="60"/>
      <c r="J34" s="60"/>
      <c r="K34" s="49"/>
      <c r="L34" s="49"/>
      <c r="M34" s="49"/>
      <c r="N34" s="49"/>
      <c r="O34" s="49"/>
      <c r="P34" s="49"/>
      <c r="Q34" s="49"/>
      <c r="R34" s="49"/>
      <c r="S34" s="49"/>
    </row>
    <row r="35" spans="2:19" x14ac:dyDescent="0.3">
      <c r="B35" s="46" t="s">
        <v>115</v>
      </c>
      <c r="C35" s="48" t="s">
        <v>134</v>
      </c>
      <c r="E35" s="61"/>
      <c r="F35" s="61"/>
      <c r="G35" s="61" t="str">
        <f>LEGPLUIMVEE!$I$24</f>
        <v xml:space="preserve">   </v>
      </c>
      <c r="H35" s="61"/>
      <c r="I35" s="61"/>
      <c r="J35" s="61"/>
      <c r="K35" s="49"/>
      <c r="L35" s="49"/>
      <c r="M35" s="61"/>
      <c r="N35" s="61"/>
      <c r="O35" s="49"/>
      <c r="P35" s="49"/>
      <c r="Q35" s="49"/>
      <c r="R35" s="49"/>
      <c r="S35" s="49"/>
    </row>
    <row r="36" spans="2:19" x14ac:dyDescent="0.3">
      <c r="B36" s="46" t="s">
        <v>116</v>
      </c>
      <c r="D36" s="47" t="s">
        <v>34</v>
      </c>
      <c r="E36" s="49"/>
      <c r="F36" s="49"/>
      <c r="G36" s="61" t="str">
        <f>IF(LEGPLUIMVEE!$I$24="Alle lucht moet door de luchtwasser of biofilter. De combinatie met een stoffilter is daarom niet mogelijk.",CHEMISCHE WASSER NIET TOEGESTAAN,"CHEMISCHEWASSER")</f>
        <v>CHEMISCHEWASSER</v>
      </c>
      <c r="H36" s="49"/>
      <c r="I36" s="49"/>
      <c r="J36" s="49"/>
      <c r="K36" s="49"/>
      <c r="L36" s="49"/>
      <c r="M36" s="49"/>
      <c r="N36" s="49"/>
      <c r="O36" s="49"/>
      <c r="P36" s="49"/>
      <c r="Q36" s="49"/>
      <c r="R36" s="49"/>
      <c r="S36" s="49"/>
    </row>
    <row r="37" spans="2:19" x14ac:dyDescent="0.3">
      <c r="B37" s="46" t="s">
        <v>117</v>
      </c>
      <c r="C37" s="46" t="s">
        <v>129</v>
      </c>
      <c r="E37" s="49"/>
      <c r="F37" s="49"/>
      <c r="G37" s="185" t="s">
        <v>172</v>
      </c>
      <c r="H37" s="49"/>
      <c r="I37" s="49"/>
      <c r="J37" s="49"/>
      <c r="K37" s="49"/>
      <c r="L37" s="49"/>
      <c r="M37" s="49"/>
      <c r="N37" s="49"/>
      <c r="O37" s="49"/>
      <c r="P37" s="49"/>
      <c r="Q37" s="49"/>
      <c r="R37" s="49"/>
      <c r="S37" s="49"/>
    </row>
    <row r="38" spans="2:19" x14ac:dyDescent="0.3">
      <c r="B38" s="46" t="s">
        <v>132</v>
      </c>
      <c r="C38" s="46" t="s">
        <v>132</v>
      </c>
      <c r="E38" s="49"/>
      <c r="F38" s="49"/>
      <c r="G38" s="49"/>
      <c r="H38" s="49"/>
      <c r="I38" s="49"/>
      <c r="J38" s="49"/>
      <c r="K38" s="49"/>
      <c r="L38" s="49"/>
      <c r="M38" s="49"/>
      <c r="N38" s="49"/>
      <c r="O38" s="49"/>
      <c r="P38" s="49"/>
      <c r="Q38" s="49"/>
      <c r="R38" s="49"/>
      <c r="S38" s="49"/>
    </row>
    <row r="39" spans="2:19" x14ac:dyDescent="0.3">
      <c r="B39" s="46" t="s">
        <v>118</v>
      </c>
      <c r="C39" s="46" t="s">
        <v>118</v>
      </c>
      <c r="E39" s="49"/>
      <c r="F39" s="49"/>
      <c r="G39" s="49"/>
      <c r="H39" s="49"/>
      <c r="I39" s="49"/>
      <c r="J39" s="49"/>
      <c r="K39" s="49"/>
      <c r="L39" s="49"/>
      <c r="M39" s="49"/>
      <c r="N39" s="49"/>
      <c r="O39" s="49"/>
      <c r="P39" s="49"/>
      <c r="Q39" s="49"/>
      <c r="R39" s="49"/>
      <c r="S39" s="49"/>
    </row>
    <row r="40" spans="2:19" x14ac:dyDescent="0.3">
      <c r="B40" s="46" t="s">
        <v>119</v>
      </c>
      <c r="C40" s="46" t="s">
        <v>119</v>
      </c>
      <c r="E40" s="49"/>
      <c r="F40" s="49"/>
      <c r="G40" s="49"/>
      <c r="H40" s="49"/>
      <c r="I40" s="49"/>
      <c r="J40" s="49"/>
      <c r="K40" s="49"/>
      <c r="L40" s="49"/>
      <c r="M40" s="49"/>
      <c r="N40" s="49"/>
      <c r="O40" s="49"/>
      <c r="P40" s="49"/>
      <c r="Q40" s="49"/>
      <c r="R40" s="49"/>
      <c r="S40" s="49"/>
    </row>
    <row r="41" spans="2:19" x14ac:dyDescent="0.3">
      <c r="B41" s="46" t="s">
        <v>173</v>
      </c>
    </row>
    <row r="42" spans="2:19" x14ac:dyDescent="0.3">
      <c r="B42" s="46" t="s">
        <v>221</v>
      </c>
    </row>
    <row r="43" spans="2:19" x14ac:dyDescent="0.3">
      <c r="B43" s="46" t="s">
        <v>121</v>
      </c>
      <c r="C43" s="48" t="s">
        <v>133</v>
      </c>
    </row>
    <row r="44" spans="2:19" x14ac:dyDescent="0.3">
      <c r="B44" s="46" t="s">
        <v>120</v>
      </c>
      <c r="C44" s="48" t="s">
        <v>136</v>
      </c>
    </row>
    <row r="45" spans="2:19" x14ac:dyDescent="0.3">
      <c r="B45" s="46" t="s">
        <v>122</v>
      </c>
      <c r="C45" s="48" t="s">
        <v>137</v>
      </c>
    </row>
    <row r="46" spans="2:19" x14ac:dyDescent="0.3">
      <c r="B46" s="46" t="s">
        <v>123</v>
      </c>
      <c r="C46" s="48" t="s">
        <v>138</v>
      </c>
    </row>
    <row r="47" spans="2:19" x14ac:dyDescent="0.3">
      <c r="B47" s="46" t="s">
        <v>124</v>
      </c>
    </row>
    <row r="48" spans="2:19" x14ac:dyDescent="0.3">
      <c r="B48" s="46" t="s">
        <v>125</v>
      </c>
    </row>
    <row r="49" spans="2:5" x14ac:dyDescent="0.3">
      <c r="B49" s="46" t="s">
        <v>139</v>
      </c>
    </row>
    <row r="50" spans="2:5" x14ac:dyDescent="0.3">
      <c r="B50" s="46" t="s">
        <v>140</v>
      </c>
    </row>
    <row r="52" spans="2:5" x14ac:dyDescent="0.3">
      <c r="B52" s="46" t="s">
        <v>113</v>
      </c>
      <c r="C52" s="48" t="s">
        <v>113</v>
      </c>
      <c r="E52" s="46" t="str">
        <f>LEGPLUIMVEE!$H$15</f>
        <v>Geen warmtewisselaar</v>
      </c>
    </row>
    <row r="53" spans="2:5" x14ac:dyDescent="0.3">
      <c r="B53" s="46" t="s">
        <v>114</v>
      </c>
      <c r="C53" s="48" t="s">
        <v>114</v>
      </c>
    </row>
    <row r="54" spans="2:5" x14ac:dyDescent="0.3">
      <c r="C54" s="48" t="str">
        <f>IF(LEGPLUIMVEE!$L$25="geen techniek","GEEN TECHNIEK","JA")</f>
        <v>GEEN TECHNIEK</v>
      </c>
    </row>
    <row r="55" spans="2:5" x14ac:dyDescent="0.3">
      <c r="C55" s="48" t="s">
        <v>114</v>
      </c>
    </row>
    <row r="56" spans="2:5" x14ac:dyDescent="0.3">
      <c r="C56" s="46" t="s">
        <v>208</v>
      </c>
    </row>
    <row r="57" spans="2:5" x14ac:dyDescent="0.3">
      <c r="C57" s="46" t="s">
        <v>209</v>
      </c>
    </row>
    <row r="58" spans="2:5" x14ac:dyDescent="0.3">
      <c r="C58" s="46" t="s">
        <v>210</v>
      </c>
    </row>
  </sheetData>
  <sheetProtection algorithmName="SHA-512" hashValue="zEcwEVM97KiRWfXusd1M4SQhJEOmEqlUsIhAajs+9ztyXlRYHSQsq4ZJIMabRgVS2TruUeAsB0GNm5oqenCf8w==" saltValue="ll4uhI1NgRKcjGIUSeou/w==" spinCount="100000" sheet="1" objects="1" scenarios="1"/>
  <pageMargins left="0.75" right="0.75" top="1" bottom="1" header="0.5" footer="0.5"/>
  <pageSetup paperSize="9" orientation="portrait" horizontalDpi="4294967292" verticalDpi="4294967292"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LEGPLUIMVEE</vt:lpstr>
      <vt:lpstr>Staltechniek</vt:lpstr>
      <vt:lpstr>legh WW+droogt</vt:lpstr>
      <vt:lpstr>Max waarden</vt:lpstr>
      <vt:lpstr>Reductietechnieken</vt:lpstr>
      <vt:lpstr>LEGPLUIMVEE!Print_Area</vt:lpstr>
      <vt:lpstr>StalTechDropdown</vt:lpstr>
    </vt:vector>
  </TitlesOfParts>
  <Company>Wageningen UR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Rick van Emous</dc:creator>
  <cp:lastModifiedBy>Hassan Pishgar</cp:lastModifiedBy>
  <cp:lastPrinted>2026-06-02T13:30:42Z</cp:lastPrinted>
  <dcterms:created xsi:type="dcterms:W3CDTF">2010-11-01T16:40:05Z</dcterms:created>
  <dcterms:modified xsi:type="dcterms:W3CDTF">2026-06-29T14:32:52Z</dcterms:modified>
</cp:coreProperties>
</file>