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defaultThemeVersion="124226"/>
  <mc:AlternateContent xmlns:mc="http://schemas.openxmlformats.org/markup-compatibility/2006">
    <mc:Choice Requires="x15">
      <x15ac:absPath xmlns:x15ac="http://schemas.microsoft.com/office/spreadsheetml/2010/11/ac" url="G:\wvl\LO_IM\Algemeen\OpdrachtenKR\Landbouw\Bijlage Rav_Rgv_Fijn stof\Wijziging Fijn stof lijst\0. Rekenmodel Vee-combistof\Rekenmodel V3.0 Excel TEST en Def\Versie 3.0 juni 2026 Test\"/>
    </mc:Choice>
  </mc:AlternateContent>
  <xr:revisionPtr revIDLastSave="0" documentId="13_ncr:1_{7DF951DD-BAFE-4113-80C0-4B45C3653286}" xr6:coauthVersionLast="47" xr6:coauthVersionMax="47" xr10:uidLastSave="{00000000-0000-0000-0000-000000000000}"/>
  <bookViews>
    <workbookView xWindow="-110" yWindow="-110" windowWidth="19420" windowHeight="11500" tabRatio="632" xr2:uid="{00000000-000D-0000-FFFF-FFFF00000000}"/>
  </bookViews>
  <sheets>
    <sheet name="OPFOKLEGHEN" sheetId="20" r:id="rId1"/>
    <sheet name="Staltechniek" sheetId="22" state="hidden" r:id="rId2"/>
    <sheet name="opfok WW+droogt" sheetId="21" state="hidden" r:id="rId3"/>
    <sheet name="Max waarden" sheetId="15" state="hidden" r:id="rId4"/>
    <sheet name="Reductietechnieken" sheetId="14" state="hidden" r:id="rId5"/>
  </sheets>
  <definedNames>
    <definedName name="_xlnm.Print_Area" localSheetId="0">OPFOKLEGHEN!$E$1:$Q$47</definedName>
    <definedName name="StalTechDropdown">Staltechniek[Staltechniek]</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3" i="20" l="1"/>
  <c r="E25" i="20"/>
  <c r="E28" i="20" s="1"/>
  <c r="R13" i="21"/>
  <c r="H19" i="20" l="1"/>
  <c r="I4" i="21"/>
  <c r="S13" i="21"/>
  <c r="R12" i="21" l="1"/>
  <c r="M22" i="20"/>
  <c r="L24" i="20" l="1"/>
  <c r="I3" i="21" l="1"/>
  <c r="F13" i="20" s="1"/>
  <c r="B6" i="15" l="1"/>
  <c r="I2" i="21" s="1"/>
  <c r="B7" i="15" l="1"/>
  <c r="C7" i="15"/>
  <c r="J30" i="20" l="1"/>
  <c r="D38" i="20"/>
  <c r="D14" i="21" l="1"/>
  <c r="G11" i="21" l="1"/>
  <c r="J10" i="21" l="1"/>
  <c r="J8" i="21"/>
  <c r="J9" i="21" l="1"/>
  <c r="D10" i="20" l="1"/>
  <c r="U72" i="21" l="1"/>
  <c r="U73" i="21"/>
  <c r="U74" i="21"/>
  <c r="U75" i="21"/>
  <c r="U76" i="21"/>
  <c r="U77" i="21"/>
  <c r="U78" i="21"/>
  <c r="U79" i="21"/>
  <c r="U80" i="21"/>
  <c r="U81" i="21"/>
  <c r="U82" i="21"/>
  <c r="U83" i="21"/>
  <c r="U84" i="21"/>
  <c r="U85" i="21"/>
  <c r="U86" i="21"/>
  <c r="U87" i="21"/>
  <c r="U88" i="21"/>
  <c r="U89" i="21"/>
  <c r="U90" i="21"/>
  <c r="U91" i="21"/>
  <c r="U92" i="21"/>
  <c r="U93" i="21"/>
  <c r="U94" i="21"/>
  <c r="U95" i="21"/>
  <c r="U96" i="21"/>
  <c r="U97" i="21"/>
  <c r="U98" i="21"/>
  <c r="U99" i="21"/>
  <c r="U100" i="21"/>
  <c r="U101" i="21"/>
  <c r="U102" i="21"/>
  <c r="U103" i="21"/>
  <c r="U104" i="21"/>
  <c r="U105" i="21"/>
  <c r="U106" i="21"/>
  <c r="U107" i="21"/>
  <c r="U108" i="21"/>
  <c r="U109" i="21"/>
  <c r="U110" i="21"/>
  <c r="U111" i="21"/>
  <c r="U112" i="21"/>
  <c r="U113" i="21"/>
  <c r="U114" i="21"/>
  <c r="U115" i="21"/>
  <c r="U116" i="21"/>
  <c r="U117" i="21"/>
  <c r="U118" i="21"/>
  <c r="U119" i="21"/>
  <c r="U120" i="21"/>
  <c r="U121" i="21"/>
  <c r="U122" i="21"/>
  <c r="U123" i="21"/>
  <c r="U124" i="21"/>
  <c r="U125" i="21"/>
  <c r="U126" i="21"/>
  <c r="U127" i="21"/>
  <c r="U128" i="21"/>
  <c r="U129" i="21"/>
  <c r="U130" i="21"/>
  <c r="U131" i="21"/>
  <c r="U132" i="21"/>
  <c r="U133" i="21"/>
  <c r="U134" i="21"/>
  <c r="J137" i="21"/>
  <c r="I1" i="21"/>
  <c r="AQ134" i="21"/>
  <c r="C134" i="21" s="1"/>
  <c r="K134" i="21" s="1"/>
  <c r="AP128" i="21"/>
  <c r="AO128" i="21"/>
  <c r="AO129" i="21" s="1"/>
  <c r="AQ127" i="21"/>
  <c r="C127" i="21" s="1"/>
  <c r="K127" i="21" s="1"/>
  <c r="AP121" i="21"/>
  <c r="AP122" i="21" s="1"/>
  <c r="AP123" i="21" s="1"/>
  <c r="AP124" i="21" s="1"/>
  <c r="AP125" i="21" s="1"/>
  <c r="AP126" i="21" s="1"/>
  <c r="AO121" i="21"/>
  <c r="AQ120" i="21"/>
  <c r="AP114" i="21"/>
  <c r="AP115" i="21" s="1"/>
  <c r="AP116" i="21" s="1"/>
  <c r="AP117" i="21" s="1"/>
  <c r="AP118" i="21" s="1"/>
  <c r="AP119" i="21" s="1"/>
  <c r="AO114" i="21"/>
  <c r="AO115" i="21" s="1"/>
  <c r="AQ113" i="21"/>
  <c r="C113" i="21" s="1"/>
  <c r="K113" i="21" s="1"/>
  <c r="AP107" i="21"/>
  <c r="AP108" i="21" s="1"/>
  <c r="AP109" i="21" s="1"/>
  <c r="AP110" i="21" s="1"/>
  <c r="AP111" i="21" s="1"/>
  <c r="AP112" i="21" s="1"/>
  <c r="AO107" i="21"/>
  <c r="AQ106" i="21"/>
  <c r="AP100" i="21"/>
  <c r="AP101" i="21" s="1"/>
  <c r="AP102" i="21" s="1"/>
  <c r="AP103" i="21" s="1"/>
  <c r="AP104" i="21" s="1"/>
  <c r="AP105" i="21" s="1"/>
  <c r="AO100" i="21"/>
  <c r="AO101" i="21" s="1"/>
  <c r="AQ99" i="21"/>
  <c r="C99" i="21" s="1"/>
  <c r="K99" i="21" s="1"/>
  <c r="AP93" i="21"/>
  <c r="AP94" i="21" s="1"/>
  <c r="AP95" i="21" s="1"/>
  <c r="AP96" i="21" s="1"/>
  <c r="AP97" i="21" s="1"/>
  <c r="AP98" i="21" s="1"/>
  <c r="AO93" i="21"/>
  <c r="AQ92" i="21"/>
  <c r="C92" i="21" s="1"/>
  <c r="K92" i="21" s="1"/>
  <c r="AP86" i="21"/>
  <c r="AP87" i="21" s="1"/>
  <c r="AP88" i="21" s="1"/>
  <c r="AP89" i="21" s="1"/>
  <c r="AP90" i="21" s="1"/>
  <c r="AP91" i="21" s="1"/>
  <c r="AO86" i="21"/>
  <c r="AO87" i="21" s="1"/>
  <c r="AQ85" i="21"/>
  <c r="C85" i="21" s="1"/>
  <c r="K85" i="21" s="1"/>
  <c r="AP79" i="21"/>
  <c r="AP80" i="21" s="1"/>
  <c r="AP81" i="21" s="1"/>
  <c r="AP82" i="21" s="1"/>
  <c r="AP83" i="21" s="1"/>
  <c r="AP84" i="21" s="1"/>
  <c r="AO79" i="21"/>
  <c r="AQ78" i="21"/>
  <c r="C78" i="21" s="1"/>
  <c r="K78" i="21" s="1"/>
  <c r="AP72" i="21"/>
  <c r="AP73" i="21" s="1"/>
  <c r="AP74" i="21" s="1"/>
  <c r="AP75" i="21" s="1"/>
  <c r="AP76" i="21" s="1"/>
  <c r="AP77" i="21" s="1"/>
  <c r="AO72" i="21"/>
  <c r="AO73" i="21" s="1"/>
  <c r="AQ71" i="21"/>
  <c r="C71" i="21" s="1"/>
  <c r="K71" i="21" s="1"/>
  <c r="AP65" i="21"/>
  <c r="AP66" i="21" s="1"/>
  <c r="AP67" i="21" s="1"/>
  <c r="AP68" i="21" s="1"/>
  <c r="AP69" i="21" s="1"/>
  <c r="AP70" i="21" s="1"/>
  <c r="AO65" i="21"/>
  <c r="AO66" i="21" s="1"/>
  <c r="AQ64" i="21"/>
  <c r="C64" i="21" s="1"/>
  <c r="K64" i="21" s="1"/>
  <c r="AP58" i="21"/>
  <c r="AP59" i="21" s="1"/>
  <c r="AP60" i="21" s="1"/>
  <c r="AP61" i="21" s="1"/>
  <c r="AP62" i="21" s="1"/>
  <c r="AP63" i="21" s="1"/>
  <c r="AO58" i="21"/>
  <c r="AO59" i="21" s="1"/>
  <c r="AO60" i="21" s="1"/>
  <c r="AQ57" i="21"/>
  <c r="C57" i="21" s="1"/>
  <c r="K57" i="21" s="1"/>
  <c r="AP51" i="21"/>
  <c r="AP52" i="21" s="1"/>
  <c r="AP53" i="21" s="1"/>
  <c r="AP54" i="21" s="1"/>
  <c r="AP55" i="21" s="1"/>
  <c r="AP56" i="21" s="1"/>
  <c r="AO51" i="21"/>
  <c r="AQ50" i="21"/>
  <c r="C50" i="21" s="1"/>
  <c r="K50" i="21" s="1"/>
  <c r="AP44" i="21"/>
  <c r="AP45" i="21" s="1"/>
  <c r="AP46" i="21" s="1"/>
  <c r="AP47" i="21" s="1"/>
  <c r="AP48" i="21" s="1"/>
  <c r="AP49" i="21" s="1"/>
  <c r="AO44" i="21"/>
  <c r="AQ43" i="21"/>
  <c r="C43" i="21" s="1"/>
  <c r="K43" i="21" s="1"/>
  <c r="AP37" i="21"/>
  <c r="AP38" i="21" s="1"/>
  <c r="AP39" i="21" s="1"/>
  <c r="AP40" i="21" s="1"/>
  <c r="AP41" i="21" s="1"/>
  <c r="AP42" i="21" s="1"/>
  <c r="AO37" i="21"/>
  <c r="AO38" i="21" s="1"/>
  <c r="AQ36" i="21"/>
  <c r="C36" i="21" s="1"/>
  <c r="K36" i="21" s="1"/>
  <c r="AP30" i="21"/>
  <c r="AP31" i="21" s="1"/>
  <c r="AP32" i="21" s="1"/>
  <c r="AQ29" i="21"/>
  <c r="C29" i="21" s="1"/>
  <c r="K29" i="21" s="1"/>
  <c r="AP23" i="21"/>
  <c r="AP24" i="21" s="1"/>
  <c r="AP25" i="21" s="1"/>
  <c r="AP26" i="21" s="1"/>
  <c r="AP27" i="21" s="1"/>
  <c r="AP28" i="21" s="1"/>
  <c r="AO23" i="21"/>
  <c r="AO24" i="21" s="1"/>
  <c r="AQ22" i="21"/>
  <c r="C22" i="21" s="1"/>
  <c r="K22" i="21" s="1"/>
  <c r="AQ21" i="21"/>
  <c r="AQ20" i="21"/>
  <c r="AQ19" i="21"/>
  <c r="C19" i="21" s="1"/>
  <c r="K19" i="21" s="1"/>
  <c r="AQ18" i="21"/>
  <c r="C18" i="21" s="1"/>
  <c r="K18" i="21" s="1"/>
  <c r="AQ17" i="21"/>
  <c r="C17" i="21" s="1"/>
  <c r="K17" i="21" s="1"/>
  <c r="AQ16" i="21"/>
  <c r="C16" i="21" s="1"/>
  <c r="C120" i="21"/>
  <c r="K120" i="21" s="1"/>
  <c r="C106" i="21"/>
  <c r="K106" i="21" s="1"/>
  <c r="C21" i="21"/>
  <c r="K21" i="21" s="1"/>
  <c r="C20" i="21"/>
  <c r="K20" i="21" s="1"/>
  <c r="AQ66" i="21" l="1"/>
  <c r="C66" i="21" s="1"/>
  <c r="K66" i="21" s="1"/>
  <c r="E134" i="21"/>
  <c r="K16" i="21"/>
  <c r="AQ65" i="21"/>
  <c r="C65" i="21" s="1"/>
  <c r="K65" i="21" s="1"/>
  <c r="AQ23" i="21"/>
  <c r="C23" i="21" s="1"/>
  <c r="K23" i="21" s="1"/>
  <c r="E25" i="21"/>
  <c r="E29" i="21"/>
  <c r="E33" i="21"/>
  <c r="E37" i="21"/>
  <c r="E41" i="21"/>
  <c r="E45" i="21"/>
  <c r="E53" i="21"/>
  <c r="E57" i="21"/>
  <c r="E69" i="21"/>
  <c r="E85" i="21"/>
  <c r="E97" i="21"/>
  <c r="E109" i="21"/>
  <c r="E121" i="21"/>
  <c r="E133" i="21"/>
  <c r="E22" i="21"/>
  <c r="E26" i="21"/>
  <c r="E30" i="21"/>
  <c r="E34" i="21"/>
  <c r="E38" i="21"/>
  <c r="E42" i="21"/>
  <c r="E46" i="21"/>
  <c r="E50" i="21"/>
  <c r="E54" i="21"/>
  <c r="E58" i="21"/>
  <c r="E62" i="21"/>
  <c r="E66" i="21"/>
  <c r="E70" i="21"/>
  <c r="E74" i="21"/>
  <c r="E78" i="21"/>
  <c r="E82" i="21"/>
  <c r="E86" i="21"/>
  <c r="E90" i="21"/>
  <c r="E94" i="21"/>
  <c r="E98" i="21"/>
  <c r="E102" i="21"/>
  <c r="E106" i="21"/>
  <c r="E110" i="21"/>
  <c r="E114" i="21"/>
  <c r="E118" i="21"/>
  <c r="E122" i="21"/>
  <c r="E126" i="21"/>
  <c r="E130" i="21"/>
  <c r="E20" i="21"/>
  <c r="E28" i="21"/>
  <c r="E32" i="21"/>
  <c r="E40" i="21"/>
  <c r="E44" i="21"/>
  <c r="E52" i="21"/>
  <c r="E60" i="21"/>
  <c r="E68" i="21"/>
  <c r="E76" i="21"/>
  <c r="E80" i="21"/>
  <c r="E88" i="21"/>
  <c r="E100" i="21"/>
  <c r="E108" i="21"/>
  <c r="E116" i="21"/>
  <c r="E124" i="21"/>
  <c r="E132" i="21"/>
  <c r="E16" i="21"/>
  <c r="E61" i="21"/>
  <c r="E77" i="21"/>
  <c r="E89" i="21"/>
  <c r="E101" i="21"/>
  <c r="E113" i="21"/>
  <c r="E125" i="21"/>
  <c r="E19" i="21"/>
  <c r="E23" i="21"/>
  <c r="E27" i="21"/>
  <c r="E31" i="21"/>
  <c r="E35" i="21"/>
  <c r="E39" i="21"/>
  <c r="E43" i="21"/>
  <c r="E47" i="21"/>
  <c r="E51" i="21"/>
  <c r="E55" i="21"/>
  <c r="E59" i="21"/>
  <c r="E63" i="21"/>
  <c r="E67" i="21"/>
  <c r="E71" i="21"/>
  <c r="E75" i="21"/>
  <c r="E79" i="21"/>
  <c r="E83" i="21"/>
  <c r="E87" i="21"/>
  <c r="E91" i="21"/>
  <c r="E95" i="21"/>
  <c r="E99" i="21"/>
  <c r="E103" i="21"/>
  <c r="E107" i="21"/>
  <c r="E111" i="21"/>
  <c r="E115" i="21"/>
  <c r="E119" i="21"/>
  <c r="E123" i="21"/>
  <c r="E127" i="21"/>
  <c r="E131" i="21"/>
  <c r="E17" i="21"/>
  <c r="E21" i="21"/>
  <c r="E24" i="21"/>
  <c r="E36" i="21"/>
  <c r="E48" i="21"/>
  <c r="E56" i="21"/>
  <c r="E64" i="21"/>
  <c r="E72" i="21"/>
  <c r="E84" i="21"/>
  <c r="E92" i="21"/>
  <c r="E96" i="21"/>
  <c r="E104" i="21"/>
  <c r="E112" i="21"/>
  <c r="E120" i="21"/>
  <c r="E128" i="21"/>
  <c r="E18" i="21"/>
  <c r="E49" i="21"/>
  <c r="E65" i="21"/>
  <c r="E73" i="21"/>
  <c r="E81" i="21"/>
  <c r="E93" i="21"/>
  <c r="E105" i="21"/>
  <c r="E117" i="21"/>
  <c r="E129" i="21"/>
  <c r="AQ44" i="21"/>
  <c r="C44" i="21" s="1"/>
  <c r="K44" i="21" s="1"/>
  <c r="AO45" i="21"/>
  <c r="AO46" i="21" s="1"/>
  <c r="AO116" i="21"/>
  <c r="AQ115" i="21"/>
  <c r="C115" i="21" s="1"/>
  <c r="K115" i="21" s="1"/>
  <c r="AP129" i="21"/>
  <c r="AP130" i="21" s="1"/>
  <c r="AP131" i="21" s="1"/>
  <c r="AP132" i="21" s="1"/>
  <c r="AP133" i="21" s="1"/>
  <c r="AQ128" i="21"/>
  <c r="C128" i="21" s="1"/>
  <c r="K128" i="21" s="1"/>
  <c r="AO94" i="21"/>
  <c r="AQ93" i="21"/>
  <c r="C93" i="21" s="1"/>
  <c r="K93" i="21" s="1"/>
  <c r="AO122" i="21"/>
  <c r="AQ121" i="21"/>
  <c r="C121" i="21" s="1"/>
  <c r="K121" i="21" s="1"/>
  <c r="AO88" i="21"/>
  <c r="AQ87" i="21"/>
  <c r="C87" i="21" s="1"/>
  <c r="K87" i="21" s="1"/>
  <c r="AQ30" i="21"/>
  <c r="C30" i="21" s="1"/>
  <c r="K30" i="21" s="1"/>
  <c r="AQ37" i="21"/>
  <c r="C37" i="21" s="1"/>
  <c r="K37" i="21" s="1"/>
  <c r="AQ60" i="21"/>
  <c r="C60" i="21" s="1"/>
  <c r="K60" i="21" s="1"/>
  <c r="AO61" i="21"/>
  <c r="AO62" i="21" s="1"/>
  <c r="AQ24" i="21"/>
  <c r="C24" i="21" s="1"/>
  <c r="K24" i="21" s="1"/>
  <c r="AQ38" i="21"/>
  <c r="C38" i="21" s="1"/>
  <c r="K38" i="21" s="1"/>
  <c r="AQ72" i="21"/>
  <c r="C72" i="21" s="1"/>
  <c r="K72" i="21" s="1"/>
  <c r="AQ86" i="21"/>
  <c r="C86" i="21" s="1"/>
  <c r="K86" i="21" s="1"/>
  <c r="AQ100" i="21"/>
  <c r="C100" i="21" s="1"/>
  <c r="K100" i="21" s="1"/>
  <c r="AO25" i="21"/>
  <c r="AP33" i="21"/>
  <c r="AQ32" i="21"/>
  <c r="C32" i="21" s="1"/>
  <c r="K32" i="21" s="1"/>
  <c r="AO74" i="21"/>
  <c r="AQ73" i="21"/>
  <c r="C73" i="21" s="1"/>
  <c r="K73" i="21" s="1"/>
  <c r="AO52" i="21"/>
  <c r="AQ51" i="21"/>
  <c r="C51" i="21" s="1"/>
  <c r="K51" i="21" s="1"/>
  <c r="AO80" i="21"/>
  <c r="AQ79" i="21"/>
  <c r="C79" i="21" s="1"/>
  <c r="K79" i="21" s="1"/>
  <c r="AO102" i="21"/>
  <c r="AQ101" i="21"/>
  <c r="C101" i="21" s="1"/>
  <c r="K101" i="21" s="1"/>
  <c r="AQ31" i="21"/>
  <c r="C31" i="21" s="1"/>
  <c r="K31" i="21" s="1"/>
  <c r="AO39" i="21"/>
  <c r="AQ59" i="21"/>
  <c r="C59" i="21" s="1"/>
  <c r="K59" i="21" s="1"/>
  <c r="AO67" i="21"/>
  <c r="AO108" i="21"/>
  <c r="AQ107" i="21"/>
  <c r="C107" i="21" s="1"/>
  <c r="K107" i="21" s="1"/>
  <c r="AO130" i="21"/>
  <c r="AQ58" i="21"/>
  <c r="C58" i="21" s="1"/>
  <c r="K58" i="21" s="1"/>
  <c r="AQ114" i="21"/>
  <c r="C114" i="21" s="1"/>
  <c r="K114" i="21" s="1"/>
  <c r="AQ45" i="21" l="1"/>
  <c r="C45" i="21" s="1"/>
  <c r="K45" i="21" s="1"/>
  <c r="AQ129" i="21"/>
  <c r="C129" i="21" s="1"/>
  <c r="K129" i="21" s="1"/>
  <c r="AQ61" i="21"/>
  <c r="C61" i="21" s="1"/>
  <c r="K61" i="21" s="1"/>
  <c r="AQ94" i="21"/>
  <c r="C94" i="21" s="1"/>
  <c r="K94" i="21" s="1"/>
  <c r="AO95" i="21"/>
  <c r="AQ116" i="21"/>
  <c r="C116" i="21" s="1"/>
  <c r="K116" i="21" s="1"/>
  <c r="AO117" i="21"/>
  <c r="AQ122" i="21"/>
  <c r="C122" i="21" s="1"/>
  <c r="K122" i="21" s="1"/>
  <c r="AO123" i="21"/>
  <c r="AQ88" i="21"/>
  <c r="C88" i="21" s="1"/>
  <c r="K88" i="21" s="1"/>
  <c r="AO89" i="21"/>
  <c r="AO103" i="21"/>
  <c r="AQ102" i="21"/>
  <c r="C102" i="21" s="1"/>
  <c r="K102" i="21" s="1"/>
  <c r="AO40" i="21"/>
  <c r="AQ39" i="21"/>
  <c r="C39" i="21" s="1"/>
  <c r="K39" i="21" s="1"/>
  <c r="AO109" i="21"/>
  <c r="AQ108" i="21"/>
  <c r="C108" i="21" s="1"/>
  <c r="K108" i="21" s="1"/>
  <c r="AO63" i="21"/>
  <c r="AQ63" i="21" s="1"/>
  <c r="C63" i="21" s="1"/>
  <c r="K63" i="21" s="1"/>
  <c r="AQ62" i="21"/>
  <c r="C62" i="21" s="1"/>
  <c r="K62" i="21" s="1"/>
  <c r="AO81" i="21"/>
  <c r="AQ80" i="21"/>
  <c r="C80" i="21" s="1"/>
  <c r="K80" i="21" s="1"/>
  <c r="AO75" i="21"/>
  <c r="AQ74" i="21"/>
  <c r="C74" i="21" s="1"/>
  <c r="K74" i="21" s="1"/>
  <c r="AP34" i="21"/>
  <c r="AQ33" i="21"/>
  <c r="C33" i="21" s="1"/>
  <c r="K33" i="21" s="1"/>
  <c r="AO131" i="21"/>
  <c r="AQ130" i="21"/>
  <c r="C130" i="21" s="1"/>
  <c r="K130" i="21" s="1"/>
  <c r="AO53" i="21"/>
  <c r="AQ52" i="21"/>
  <c r="C52" i="21" s="1"/>
  <c r="K52" i="21" s="1"/>
  <c r="AO47" i="21"/>
  <c r="AQ46" i="21"/>
  <c r="C46" i="21" s="1"/>
  <c r="K46" i="21" s="1"/>
  <c r="AO68" i="21"/>
  <c r="AQ67" i="21"/>
  <c r="C67" i="21" s="1"/>
  <c r="K67" i="21" s="1"/>
  <c r="AO26" i="21"/>
  <c r="AQ25" i="21"/>
  <c r="C25" i="21" s="1"/>
  <c r="K25" i="21" s="1"/>
  <c r="AO96" i="21" l="1"/>
  <c r="AQ95" i="21"/>
  <c r="C95" i="21" s="1"/>
  <c r="K95" i="21" s="1"/>
  <c r="AQ117" i="21"/>
  <c r="C117" i="21" s="1"/>
  <c r="K117" i="21" s="1"/>
  <c r="AO118" i="21"/>
  <c r="AO90" i="21"/>
  <c r="AQ89" i="21"/>
  <c r="C89" i="21" s="1"/>
  <c r="K89" i="21" s="1"/>
  <c r="AQ123" i="21"/>
  <c r="C123" i="21" s="1"/>
  <c r="K123" i="21" s="1"/>
  <c r="AO124" i="21"/>
  <c r="AO27" i="21"/>
  <c r="AQ26" i="21"/>
  <c r="C26" i="21" s="1"/>
  <c r="K26" i="21" s="1"/>
  <c r="AP35" i="21"/>
  <c r="AQ35" i="21" s="1"/>
  <c r="C35" i="21" s="1"/>
  <c r="K35" i="21" s="1"/>
  <c r="AQ34" i="21"/>
  <c r="C34" i="21" s="1"/>
  <c r="K34" i="21" s="1"/>
  <c r="AO54" i="21"/>
  <c r="AQ53" i="21"/>
  <c r="C53" i="21" s="1"/>
  <c r="K53" i="21" s="1"/>
  <c r="AO132" i="21"/>
  <c r="AQ131" i="21"/>
  <c r="C131" i="21" s="1"/>
  <c r="K131" i="21" s="1"/>
  <c r="AO41" i="21"/>
  <c r="AQ40" i="21"/>
  <c r="C40" i="21" s="1"/>
  <c r="K40" i="21" s="1"/>
  <c r="AO69" i="21"/>
  <c r="AQ68" i="21"/>
  <c r="C68" i="21" s="1"/>
  <c r="K68" i="21" s="1"/>
  <c r="AO76" i="21"/>
  <c r="AQ75" i="21"/>
  <c r="C75" i="21" s="1"/>
  <c r="K75" i="21" s="1"/>
  <c r="AO82" i="21"/>
  <c r="AQ81" i="21"/>
  <c r="C81" i="21" s="1"/>
  <c r="K81" i="21" s="1"/>
  <c r="AO110" i="21"/>
  <c r="AQ109" i="21"/>
  <c r="C109" i="21" s="1"/>
  <c r="K109" i="21" s="1"/>
  <c r="AO104" i="21"/>
  <c r="AQ103" i="21"/>
  <c r="C103" i="21" s="1"/>
  <c r="K103" i="21" s="1"/>
  <c r="AO48" i="21"/>
  <c r="AQ47" i="21"/>
  <c r="C47" i="21" s="1"/>
  <c r="K47" i="21" s="1"/>
  <c r="AQ124" i="21" l="1"/>
  <c r="C124" i="21" s="1"/>
  <c r="K124" i="21" s="1"/>
  <c r="AO125" i="21"/>
  <c r="AO97" i="21"/>
  <c r="AQ96" i="21"/>
  <c r="C96" i="21" s="1"/>
  <c r="K96" i="21" s="1"/>
  <c r="AQ90" i="21"/>
  <c r="C90" i="21" s="1"/>
  <c r="K90" i="21" s="1"/>
  <c r="AO91" i="21"/>
  <c r="AQ91" i="21" s="1"/>
  <c r="C91" i="21" s="1"/>
  <c r="K91" i="21" s="1"/>
  <c r="AQ118" i="21"/>
  <c r="C118" i="21" s="1"/>
  <c r="K118" i="21" s="1"/>
  <c r="AO119" i="21"/>
  <c r="AQ119" i="21" s="1"/>
  <c r="C119" i="21" s="1"/>
  <c r="K119" i="21" s="1"/>
  <c r="AQ48" i="21"/>
  <c r="C48" i="21" s="1"/>
  <c r="K48" i="21" s="1"/>
  <c r="AO49" i="21"/>
  <c r="AQ49" i="21" s="1"/>
  <c r="C49" i="21" s="1"/>
  <c r="K49" i="21" s="1"/>
  <c r="AQ110" i="21"/>
  <c r="C110" i="21" s="1"/>
  <c r="K110" i="21" s="1"/>
  <c r="AO111" i="21"/>
  <c r="AQ76" i="21"/>
  <c r="C76" i="21" s="1"/>
  <c r="K76" i="21" s="1"/>
  <c r="AO77" i="21"/>
  <c r="AQ77" i="21" s="1"/>
  <c r="C77" i="21" s="1"/>
  <c r="K77" i="21" s="1"/>
  <c r="AO42" i="21"/>
  <c r="AQ42" i="21" s="1"/>
  <c r="C42" i="21" s="1"/>
  <c r="K42" i="21" s="1"/>
  <c r="AQ41" i="21"/>
  <c r="C41" i="21" s="1"/>
  <c r="K41" i="21" s="1"/>
  <c r="AP137" i="21"/>
  <c r="AO70" i="21"/>
  <c r="AQ70" i="21" s="1"/>
  <c r="C70" i="21" s="1"/>
  <c r="K70" i="21" s="1"/>
  <c r="AQ69" i="21"/>
  <c r="C69" i="21" s="1"/>
  <c r="K69" i="21" s="1"/>
  <c r="AQ54" i="21"/>
  <c r="C54" i="21" s="1"/>
  <c r="K54" i="21" s="1"/>
  <c r="AO55" i="21"/>
  <c r="AQ104" i="21"/>
  <c r="C104" i="21" s="1"/>
  <c r="K104" i="21" s="1"/>
  <c r="AO105" i="21"/>
  <c r="AQ105" i="21" s="1"/>
  <c r="C105" i="21" s="1"/>
  <c r="K105" i="21" s="1"/>
  <c r="AQ82" i="21"/>
  <c r="C82" i="21" s="1"/>
  <c r="K82" i="21" s="1"/>
  <c r="AO83" i="21"/>
  <c r="AQ132" i="21"/>
  <c r="C132" i="21" s="1"/>
  <c r="K132" i="21" s="1"/>
  <c r="AO133" i="21"/>
  <c r="AQ133" i="21" s="1"/>
  <c r="C133" i="21" s="1"/>
  <c r="K133" i="21" s="1"/>
  <c r="AO28" i="21"/>
  <c r="AQ28" i="21" s="1"/>
  <c r="C28" i="21" s="1"/>
  <c r="K28" i="21" s="1"/>
  <c r="AQ27" i="21"/>
  <c r="AM137" i="21"/>
  <c r="AO98" i="21" l="1"/>
  <c r="AQ98" i="21" s="1"/>
  <c r="C98" i="21" s="1"/>
  <c r="K98" i="21" s="1"/>
  <c r="AQ97" i="21"/>
  <c r="C97" i="21" s="1"/>
  <c r="K97" i="21" s="1"/>
  <c r="AO126" i="21"/>
  <c r="AQ126" i="21" s="1"/>
  <c r="C126" i="21" s="1"/>
  <c r="K126" i="21" s="1"/>
  <c r="AQ125" i="21"/>
  <c r="C125" i="21" s="1"/>
  <c r="K125" i="21" s="1"/>
  <c r="C27" i="21"/>
  <c r="AO84" i="21"/>
  <c r="AQ84" i="21" s="1"/>
  <c r="C84" i="21" s="1"/>
  <c r="K84" i="21" s="1"/>
  <c r="AQ83" i="21"/>
  <c r="C83" i="21" s="1"/>
  <c r="K83" i="21" s="1"/>
  <c r="AO56" i="21"/>
  <c r="AQ56" i="21" s="1"/>
  <c r="C56" i="21" s="1"/>
  <c r="K56" i="21" s="1"/>
  <c r="AQ55" i="21"/>
  <c r="C55" i="21" s="1"/>
  <c r="K55" i="21" s="1"/>
  <c r="AO112" i="21"/>
  <c r="AQ112" i="21" s="1"/>
  <c r="C112" i="21" s="1"/>
  <c r="K112" i="21" s="1"/>
  <c r="AQ111" i="21"/>
  <c r="C111" i="21" s="1"/>
  <c r="K111" i="21" s="1"/>
  <c r="K27" i="21" l="1"/>
  <c r="K137" i="21" s="1"/>
  <c r="C137" i="21"/>
  <c r="L16" i="21"/>
  <c r="L20" i="21"/>
  <c r="L24" i="21"/>
  <c r="L28" i="21"/>
  <c r="L32" i="21"/>
  <c r="L36" i="21"/>
  <c r="L40" i="21"/>
  <c r="L44" i="21"/>
  <c r="L48" i="21"/>
  <c r="L52" i="21"/>
  <c r="L56" i="21"/>
  <c r="L60" i="21"/>
  <c r="L64" i="21"/>
  <c r="L68" i="21"/>
  <c r="L72" i="21"/>
  <c r="L76" i="21"/>
  <c r="L80" i="21"/>
  <c r="L84" i="21"/>
  <c r="L88" i="21"/>
  <c r="L92" i="21"/>
  <c r="L96" i="21"/>
  <c r="L100" i="21"/>
  <c r="L104" i="21"/>
  <c r="L108" i="21"/>
  <c r="L112" i="21"/>
  <c r="L116" i="21"/>
  <c r="L120" i="21"/>
  <c r="L124" i="21"/>
  <c r="L128" i="21"/>
  <c r="L132" i="21"/>
  <c r="L17" i="21"/>
  <c r="L21" i="21"/>
  <c r="L25" i="21"/>
  <c r="L29" i="21"/>
  <c r="L33" i="21"/>
  <c r="L37" i="21"/>
  <c r="L41" i="21"/>
  <c r="L45" i="21"/>
  <c r="L49" i="21"/>
  <c r="L53" i="21"/>
  <c r="L57" i="21"/>
  <c r="L61" i="21"/>
  <c r="L65" i="21"/>
  <c r="L69" i="21"/>
  <c r="L73" i="21"/>
  <c r="L77" i="21"/>
  <c r="L81" i="21"/>
  <c r="L85" i="21"/>
  <c r="L89" i="21"/>
  <c r="L93" i="21"/>
  <c r="L97" i="21"/>
  <c r="L101" i="21"/>
  <c r="L105" i="21"/>
  <c r="L109" i="21"/>
  <c r="L113" i="21"/>
  <c r="L117" i="21"/>
  <c r="L121" i="21"/>
  <c r="L125" i="21"/>
  <c r="L129" i="21"/>
  <c r="L133" i="21"/>
  <c r="L18" i="21"/>
  <c r="L22" i="21"/>
  <c r="L26" i="21"/>
  <c r="L30" i="21"/>
  <c r="L34" i="21"/>
  <c r="L38" i="21"/>
  <c r="L42" i="21"/>
  <c r="L46" i="21"/>
  <c r="L50" i="21"/>
  <c r="L54" i="21"/>
  <c r="L58" i="21"/>
  <c r="L62" i="21"/>
  <c r="L66" i="21"/>
  <c r="L70" i="21"/>
  <c r="L74" i="21"/>
  <c r="L78" i="21"/>
  <c r="L82" i="21"/>
  <c r="L86" i="21"/>
  <c r="L90" i="21"/>
  <c r="L94" i="21"/>
  <c r="L98" i="21"/>
  <c r="L102" i="21"/>
  <c r="L106" i="21"/>
  <c r="L110" i="21"/>
  <c r="L114" i="21"/>
  <c r="L118" i="21"/>
  <c r="L122" i="21"/>
  <c r="L126" i="21"/>
  <c r="L130" i="21"/>
  <c r="L134" i="21"/>
  <c r="L19" i="21"/>
  <c r="L23" i="21"/>
  <c r="L27" i="21"/>
  <c r="L31" i="21"/>
  <c r="L35" i="21"/>
  <c r="L39" i="21"/>
  <c r="L43" i="21"/>
  <c r="L47" i="21"/>
  <c r="L51" i="21"/>
  <c r="L55" i="21"/>
  <c r="L59" i="21"/>
  <c r="L63" i="21"/>
  <c r="L67" i="21"/>
  <c r="L71" i="21"/>
  <c r="L75" i="21"/>
  <c r="L79" i="21"/>
  <c r="L83" i="21"/>
  <c r="L87" i="21"/>
  <c r="L91" i="21"/>
  <c r="L95" i="21"/>
  <c r="L99" i="21"/>
  <c r="L103" i="21"/>
  <c r="L107" i="21"/>
  <c r="L111" i="21"/>
  <c r="L115" i="21"/>
  <c r="L119" i="21"/>
  <c r="L123" i="21"/>
  <c r="L127" i="21"/>
  <c r="L131" i="21"/>
  <c r="AQ137" i="21"/>
  <c r="AQ138" i="21" l="1"/>
  <c r="AP138" i="21" l="1"/>
  <c r="AM138" i="21"/>
  <c r="D36" i="20" l="1"/>
  <c r="I8" i="21"/>
  <c r="J20" i="20"/>
  <c r="I17" i="20"/>
  <c r="E6" i="20"/>
  <c r="M106" i="21" l="1"/>
  <c r="M92" i="21"/>
  <c r="M113" i="21"/>
  <c r="M134" i="21"/>
  <c r="M127" i="21"/>
  <c r="M30" i="21"/>
  <c r="M60" i="21"/>
  <c r="M38" i="21"/>
  <c r="M19" i="21"/>
  <c r="M23" i="21"/>
  <c r="M121" i="21"/>
  <c r="M32" i="21"/>
  <c r="M21" i="21"/>
  <c r="M45" i="21"/>
  <c r="M87" i="21"/>
  <c r="M85" i="21"/>
  <c r="M120" i="21"/>
  <c r="M16" i="21"/>
  <c r="M17" i="21"/>
  <c r="M29" i="21"/>
  <c r="M43" i="21"/>
  <c r="M51" i="21"/>
  <c r="M57" i="21"/>
  <c r="M36" i="21"/>
  <c r="M20" i="21"/>
  <c r="M71" i="21"/>
  <c r="M93" i="21"/>
  <c r="M99" i="21"/>
  <c r="M100" i="21"/>
  <c r="M18" i="21"/>
  <c r="M64" i="21"/>
  <c r="M65" i="21"/>
  <c r="M44" i="21"/>
  <c r="M50" i="21"/>
  <c r="M128" i="21"/>
  <c r="M78" i="21"/>
  <c r="M24" i="21"/>
  <c r="M22" i="21"/>
  <c r="M66" i="21"/>
  <c r="M101" i="21"/>
  <c r="M114" i="21"/>
  <c r="M73" i="21"/>
  <c r="M86" i="21"/>
  <c r="M58" i="21"/>
  <c r="M72" i="21"/>
  <c r="M61" i="21"/>
  <c r="M59" i="21"/>
  <c r="M129" i="21"/>
  <c r="M37" i="21"/>
  <c r="M79" i="21"/>
  <c r="M107" i="21"/>
  <c r="M31" i="21"/>
  <c r="M115" i="21"/>
  <c r="M108" i="21"/>
  <c r="M46" i="21"/>
  <c r="M62" i="21"/>
  <c r="M102" i="21"/>
  <c r="M130" i="21"/>
  <c r="M122" i="21"/>
  <c r="M52" i="21"/>
  <c r="M63" i="21"/>
  <c r="M33" i="21"/>
  <c r="M88" i="21"/>
  <c r="M94" i="21"/>
  <c r="M80" i="21"/>
  <c r="M39" i="21"/>
  <c r="M67" i="21"/>
  <c r="M25" i="21"/>
  <c r="M116" i="21"/>
  <c r="M74" i="21"/>
  <c r="M109" i="21"/>
  <c r="M75" i="21"/>
  <c r="M68" i="21"/>
  <c r="M34" i="21"/>
  <c r="M103" i="21"/>
  <c r="M81" i="21"/>
  <c r="M131" i="21"/>
  <c r="M117" i="21"/>
  <c r="M53" i="21"/>
  <c r="M35" i="21"/>
  <c r="M26" i="21"/>
  <c r="M40" i="21"/>
  <c r="M47" i="21"/>
  <c r="M89" i="21"/>
  <c r="M123" i="21"/>
  <c r="M95" i="21"/>
  <c r="M77" i="21"/>
  <c r="M133" i="21"/>
  <c r="M82" i="21"/>
  <c r="M90" i="21"/>
  <c r="M28" i="21"/>
  <c r="M42" i="21"/>
  <c r="M118" i="21"/>
  <c r="M91" i="21"/>
  <c r="M110" i="21"/>
  <c r="M41" i="21"/>
  <c r="M70" i="21"/>
  <c r="M76" i="21"/>
  <c r="M104" i="21"/>
  <c r="M69" i="21"/>
  <c r="M48" i="21"/>
  <c r="M105" i="21"/>
  <c r="M132" i="21"/>
  <c r="M49" i="21"/>
  <c r="M54" i="21"/>
  <c r="M124" i="21"/>
  <c r="M96" i="21"/>
  <c r="M119" i="21"/>
  <c r="M126" i="21"/>
  <c r="M55" i="21"/>
  <c r="M84" i="21"/>
  <c r="M97" i="21"/>
  <c r="M83" i="21"/>
  <c r="M112" i="21"/>
  <c r="M125" i="21"/>
  <c r="M98" i="21"/>
  <c r="M27" i="21"/>
  <c r="M111" i="21"/>
  <c r="M56" i="21"/>
  <c r="M137" i="21" l="1"/>
  <c r="M138" i="21" s="1"/>
  <c r="C54" i="14" l="1"/>
  <c r="D25" i="14" l="1"/>
  <c r="D24" i="14"/>
  <c r="D23" i="14"/>
  <c r="D22" i="14"/>
  <c r="D21" i="14"/>
  <c r="D20" i="14"/>
  <c r="D19" i="14"/>
  <c r="D18" i="14"/>
  <c r="S2" i="14" s="1"/>
  <c r="D17" i="14"/>
  <c r="D16" i="14"/>
  <c r="Q2" i="14" s="1"/>
  <c r="D15" i="14"/>
  <c r="P2" i="14" s="1"/>
  <c r="D14" i="14"/>
  <c r="O2" i="14" s="1"/>
  <c r="D13" i="14"/>
  <c r="D12" i="14"/>
  <c r="D11" i="14"/>
  <c r="D10" i="14"/>
  <c r="D9" i="14"/>
  <c r="D8" i="14"/>
  <c r="I2" i="14" s="1"/>
  <c r="D6" i="14"/>
  <c r="D5" i="14"/>
  <c r="G2" i="14" s="1"/>
  <c r="D4" i="14"/>
  <c r="D3" i="14"/>
  <c r="Q3" i="14" s="1"/>
  <c r="U2" i="14"/>
  <c r="U20" i="14" s="1"/>
  <c r="J2" i="14"/>
  <c r="F2" i="14"/>
  <c r="P14" i="14" l="1"/>
  <c r="J24" i="14"/>
  <c r="G21" i="14"/>
  <c r="E2" i="14"/>
  <c r="E6" i="14" s="1"/>
  <c r="Q16" i="14"/>
  <c r="Q4" i="14"/>
  <c r="U12" i="14"/>
  <c r="U23" i="14"/>
  <c r="G9" i="14"/>
  <c r="Q24" i="14"/>
  <c r="F3" i="14"/>
  <c r="G5" i="14"/>
  <c r="J4" i="14"/>
  <c r="Q11" i="14"/>
  <c r="F19" i="14"/>
  <c r="Q22" i="14"/>
  <c r="P6" i="14"/>
  <c r="J9" i="14"/>
  <c r="J15" i="14"/>
  <c r="F16" i="14"/>
  <c r="F20" i="14"/>
  <c r="L2" i="14"/>
  <c r="L6" i="14" s="1"/>
  <c r="W2" i="14"/>
  <c r="W6" i="14" s="1"/>
  <c r="U4" i="14"/>
  <c r="G6" i="14"/>
  <c r="Q6" i="14"/>
  <c r="Q9" i="14"/>
  <c r="F11" i="14"/>
  <c r="F12" i="14"/>
  <c r="G13" i="14"/>
  <c r="U14" i="14"/>
  <c r="J20" i="14"/>
  <c r="F24" i="14"/>
  <c r="H2" i="14"/>
  <c r="H4" i="14" s="1"/>
  <c r="M2" i="14"/>
  <c r="M14" i="14" s="1"/>
  <c r="X2" i="14"/>
  <c r="X22" i="14" s="1"/>
  <c r="F4" i="14"/>
  <c r="H6" i="14"/>
  <c r="U6" i="14"/>
  <c r="F9" i="14"/>
  <c r="J12" i="14"/>
  <c r="U15" i="14"/>
  <c r="Q19" i="14"/>
  <c r="P22" i="14"/>
  <c r="J23" i="14"/>
  <c r="G24" i="14"/>
  <c r="T2" i="14"/>
  <c r="T15" i="14" s="1"/>
  <c r="Y2" i="14"/>
  <c r="Y20" i="14" s="1"/>
  <c r="I24" i="14"/>
  <c r="I16" i="14"/>
  <c r="S24" i="14"/>
  <c r="S22" i="14"/>
  <c r="S16" i="14"/>
  <c r="S14" i="14"/>
  <c r="I4" i="14"/>
  <c r="S4" i="14"/>
  <c r="S8" i="14"/>
  <c r="O8" i="14"/>
  <c r="G8" i="14"/>
  <c r="I8" i="14"/>
  <c r="Q10" i="14"/>
  <c r="I10" i="14"/>
  <c r="U10" i="14"/>
  <c r="P10" i="14"/>
  <c r="J10" i="14"/>
  <c r="S10" i="14"/>
  <c r="I12" i="14"/>
  <c r="S12" i="14"/>
  <c r="I15" i="14"/>
  <c r="I18" i="14"/>
  <c r="U25" i="14"/>
  <c r="Q25" i="14"/>
  <c r="I25" i="14"/>
  <c r="S25" i="14"/>
  <c r="Z2" i="14"/>
  <c r="Z8" i="14" s="1"/>
  <c r="G25" i="14"/>
  <c r="O25" i="14"/>
  <c r="O24" i="14"/>
  <c r="O16" i="14"/>
  <c r="O4" i="14"/>
  <c r="S5" i="14"/>
  <c r="J8" i="14"/>
  <c r="P8" i="14"/>
  <c r="U8" i="14"/>
  <c r="F10" i="14"/>
  <c r="U17" i="14"/>
  <c r="Q17" i="14"/>
  <c r="I17" i="14"/>
  <c r="S17" i="14"/>
  <c r="R2" i="14"/>
  <c r="R22" i="14" s="1"/>
  <c r="G17" i="14"/>
  <c r="O17" i="14"/>
  <c r="S21" i="14"/>
  <c r="S23" i="14"/>
  <c r="O23" i="14"/>
  <c r="G23" i="14"/>
  <c r="Q23" i="14"/>
  <c r="F23" i="14"/>
  <c r="F25" i="14"/>
  <c r="P25" i="14"/>
  <c r="G20" i="14"/>
  <c r="G12" i="14"/>
  <c r="K2" i="14"/>
  <c r="K5" i="14" s="1"/>
  <c r="U24" i="14"/>
  <c r="U16" i="14"/>
  <c r="S3" i="14"/>
  <c r="O3" i="14"/>
  <c r="G3" i="14"/>
  <c r="I3" i="14"/>
  <c r="U5" i="14"/>
  <c r="Q5" i="14"/>
  <c r="I5" i="14"/>
  <c r="J5" i="14"/>
  <c r="O5" i="14"/>
  <c r="S6" i="14"/>
  <c r="F8" i="14"/>
  <c r="Q8" i="14"/>
  <c r="I9" i="14"/>
  <c r="S9" i="14"/>
  <c r="G10" i="14"/>
  <c r="S13" i="14"/>
  <c r="S15" i="14"/>
  <c r="O15" i="14"/>
  <c r="G15" i="14"/>
  <c r="H15" i="14"/>
  <c r="Q15" i="14"/>
  <c r="F15" i="14"/>
  <c r="G16" i="14"/>
  <c r="F17" i="14"/>
  <c r="P17" i="14"/>
  <c r="J18" i="14"/>
  <c r="F18" i="14"/>
  <c r="Q18" i="14"/>
  <c r="G18" i="14"/>
  <c r="U18" i="14"/>
  <c r="P18" i="14"/>
  <c r="O18" i="14"/>
  <c r="O20" i="14"/>
  <c r="G22" i="14"/>
  <c r="P23" i="14"/>
  <c r="J25" i="14"/>
  <c r="Q20" i="14"/>
  <c r="Q12" i="14"/>
  <c r="J3" i="14"/>
  <c r="P3" i="14"/>
  <c r="U3" i="14"/>
  <c r="G4" i="14"/>
  <c r="W4" i="14"/>
  <c r="F5" i="14"/>
  <c r="P5" i="14"/>
  <c r="J6" i="14"/>
  <c r="F6" i="14"/>
  <c r="I6" i="14"/>
  <c r="O6" i="14"/>
  <c r="O9" i="14"/>
  <c r="U9" i="14"/>
  <c r="O10" i="14"/>
  <c r="O12" i="14"/>
  <c r="G14" i="14"/>
  <c r="Q14" i="14"/>
  <c r="P15" i="14"/>
  <c r="J17" i="14"/>
  <c r="S18" i="14"/>
  <c r="I20" i="14"/>
  <c r="S20" i="14"/>
  <c r="U22" i="14"/>
  <c r="I23" i="14"/>
  <c r="W24" i="14"/>
  <c r="S11" i="14"/>
  <c r="O11" i="14"/>
  <c r="G11" i="14"/>
  <c r="I11" i="14"/>
  <c r="U13" i="14"/>
  <c r="Q13" i="14"/>
  <c r="I13" i="14"/>
  <c r="J13" i="14"/>
  <c r="O13" i="14"/>
  <c r="S19" i="14"/>
  <c r="O19" i="14"/>
  <c r="G19" i="14"/>
  <c r="I19" i="14"/>
  <c r="U21" i="14"/>
  <c r="Q21" i="14"/>
  <c r="I21" i="14"/>
  <c r="J21" i="14"/>
  <c r="O21" i="14"/>
  <c r="N2" i="14"/>
  <c r="N8" i="14" s="1"/>
  <c r="V2" i="14"/>
  <c r="P4" i="14"/>
  <c r="P9" i="14"/>
  <c r="J11" i="14"/>
  <c r="P11" i="14"/>
  <c r="U11" i="14"/>
  <c r="F13" i="14"/>
  <c r="P13" i="14"/>
  <c r="J14" i="14"/>
  <c r="F14" i="14"/>
  <c r="I14" i="14"/>
  <c r="O14" i="14"/>
  <c r="J16" i="14"/>
  <c r="J19" i="14"/>
  <c r="P19" i="14"/>
  <c r="U19" i="14"/>
  <c r="F21" i="14"/>
  <c r="P21" i="14"/>
  <c r="J22" i="14"/>
  <c r="F22" i="14"/>
  <c r="I22" i="14"/>
  <c r="O22" i="14"/>
  <c r="P12" i="14"/>
  <c r="P16" i="14"/>
  <c r="H20" i="14"/>
  <c r="P20" i="14"/>
  <c r="P24" i="14"/>
  <c r="E17" i="14" l="1"/>
  <c r="W12" i="14"/>
  <c r="E5" i="14"/>
  <c r="E22" i="14"/>
  <c r="W17" i="14"/>
  <c r="E12" i="14"/>
  <c r="Y17" i="14"/>
  <c r="W20" i="14"/>
  <c r="W18" i="14"/>
  <c r="W15" i="14"/>
  <c r="E16" i="14"/>
  <c r="H14" i="14"/>
  <c r="H25" i="14"/>
  <c r="H24" i="14"/>
  <c r="Z3" i="14"/>
  <c r="E11" i="14"/>
  <c r="E13" i="14"/>
  <c r="E19" i="14"/>
  <c r="W10" i="14"/>
  <c r="T9" i="14"/>
  <c r="E21" i="14"/>
  <c r="T13" i="14"/>
  <c r="E15" i="14"/>
  <c r="E9" i="14"/>
  <c r="E14" i="14"/>
  <c r="W3" i="14"/>
  <c r="E20" i="14"/>
  <c r="E4" i="14"/>
  <c r="E25" i="14"/>
  <c r="E10" i="14"/>
  <c r="W8" i="14"/>
  <c r="M22" i="14"/>
  <c r="E24" i="14"/>
  <c r="H12" i="14"/>
  <c r="T14" i="14"/>
  <c r="T21" i="14"/>
  <c r="H18" i="14"/>
  <c r="H10" i="14"/>
  <c r="E3" i="14"/>
  <c r="E23" i="14"/>
  <c r="E18" i="14"/>
  <c r="L18" i="14"/>
  <c r="M5" i="14"/>
  <c r="W23" i="14"/>
  <c r="H17" i="14"/>
  <c r="M9" i="14"/>
  <c r="E8" i="14"/>
  <c r="H11" i="14"/>
  <c r="W22" i="14"/>
  <c r="L16" i="14"/>
  <c r="R14" i="14"/>
  <c r="L4" i="14"/>
  <c r="L11" i="14"/>
  <c r="R18" i="14"/>
  <c r="Y15" i="14"/>
  <c r="L8" i="14"/>
  <c r="L23" i="14"/>
  <c r="L22" i="14"/>
  <c r="L20" i="14"/>
  <c r="L9" i="14"/>
  <c r="T17" i="14"/>
  <c r="L17" i="14"/>
  <c r="Y16" i="14"/>
  <c r="X13" i="14"/>
  <c r="L24" i="14"/>
  <c r="L12" i="14"/>
  <c r="T4" i="14"/>
  <c r="Y21" i="14"/>
  <c r="T6" i="14"/>
  <c r="L15" i="14"/>
  <c r="T3" i="14"/>
  <c r="X23" i="14"/>
  <c r="X18" i="14"/>
  <c r="X17" i="14"/>
  <c r="L25" i="14"/>
  <c r="X20" i="14"/>
  <c r="L10" i="14"/>
  <c r="X5" i="14"/>
  <c r="X3" i="14"/>
  <c r="X4" i="14"/>
  <c r="X24" i="14"/>
  <c r="X19" i="14"/>
  <c r="X8" i="14"/>
  <c r="X15" i="14"/>
  <c r="X10" i="14"/>
  <c r="X9" i="14"/>
  <c r="X6" i="14"/>
  <c r="X12" i="14"/>
  <c r="M16" i="14"/>
  <c r="X14" i="14"/>
  <c r="W5" i="14"/>
  <c r="H16" i="14"/>
  <c r="Y14" i="14"/>
  <c r="H9" i="14"/>
  <c r="X16" i="14"/>
  <c r="W11" i="14"/>
  <c r="X21" i="14"/>
  <c r="Y3" i="14"/>
  <c r="X25" i="14"/>
  <c r="X11" i="14"/>
  <c r="W9" i="14"/>
  <c r="M21" i="14"/>
  <c r="Y19" i="14"/>
  <c r="Y13" i="14"/>
  <c r="M8" i="14"/>
  <c r="Z6" i="14"/>
  <c r="Y18" i="14"/>
  <c r="M15" i="14"/>
  <c r="Y12" i="14"/>
  <c r="Y9" i="14"/>
  <c r="M17" i="14"/>
  <c r="Y24" i="14"/>
  <c r="Y25" i="14"/>
  <c r="Y8" i="14"/>
  <c r="M12" i="14"/>
  <c r="Y4" i="14"/>
  <c r="H3" i="14"/>
  <c r="H21" i="14"/>
  <c r="H5" i="14"/>
  <c r="H19" i="14"/>
  <c r="T18" i="14"/>
  <c r="T24" i="14"/>
  <c r="T20" i="14"/>
  <c r="T16" i="14"/>
  <c r="T12" i="14"/>
  <c r="Y22" i="14"/>
  <c r="T19" i="14"/>
  <c r="M13" i="14"/>
  <c r="Y11" i="14"/>
  <c r="M24" i="14"/>
  <c r="M19" i="14"/>
  <c r="Y10" i="14"/>
  <c r="H8" i="14"/>
  <c r="M4" i="14"/>
  <c r="H22" i="14"/>
  <c r="M6" i="14"/>
  <c r="Y23" i="14"/>
  <c r="H23" i="14"/>
  <c r="M18" i="14"/>
  <c r="T10" i="14"/>
  <c r="M25" i="14"/>
  <c r="M11" i="14"/>
  <c r="M10" i="14"/>
  <c r="T8" i="14"/>
  <c r="M20" i="14"/>
  <c r="W16" i="14"/>
  <c r="W14" i="14"/>
  <c r="W21" i="14"/>
  <c r="T22" i="14"/>
  <c r="W19" i="14"/>
  <c r="T11" i="14"/>
  <c r="T23" i="14"/>
  <c r="W13" i="14"/>
  <c r="Y6" i="14"/>
  <c r="T25" i="14"/>
  <c r="T5" i="14"/>
  <c r="Y5" i="14"/>
  <c r="M23" i="14"/>
  <c r="M3" i="14"/>
  <c r="W25" i="14"/>
  <c r="L13" i="14"/>
  <c r="L3" i="14"/>
  <c r="L21" i="14"/>
  <c r="L5" i="14"/>
  <c r="L19" i="14"/>
  <c r="L14" i="14"/>
  <c r="H13" i="14"/>
  <c r="V20" i="14"/>
  <c r="V12" i="14"/>
  <c r="V16" i="14"/>
  <c r="V11" i="14"/>
  <c r="V24" i="14"/>
  <c r="V19" i="14"/>
  <c r="V4" i="14"/>
  <c r="V17" i="14"/>
  <c r="V9" i="14"/>
  <c r="V3" i="14"/>
  <c r="V6" i="14"/>
  <c r="V8" i="14"/>
  <c r="K20" i="14"/>
  <c r="K12" i="14"/>
  <c r="K22" i="14"/>
  <c r="K16" i="14"/>
  <c r="K24" i="14"/>
  <c r="K4" i="14"/>
  <c r="K17" i="14"/>
  <c r="K14" i="14"/>
  <c r="K9" i="14"/>
  <c r="K6" i="14"/>
  <c r="K23" i="14"/>
  <c r="R20" i="14"/>
  <c r="R12" i="14"/>
  <c r="R4" i="14"/>
  <c r="R16" i="14"/>
  <c r="R11" i="14"/>
  <c r="R24" i="14"/>
  <c r="R19" i="14"/>
  <c r="R13" i="14"/>
  <c r="R9" i="14"/>
  <c r="R3" i="14"/>
  <c r="R21" i="14"/>
  <c r="R5" i="14"/>
  <c r="V10" i="14"/>
  <c r="V22" i="14"/>
  <c r="K21" i="14"/>
  <c r="V14" i="14"/>
  <c r="K13" i="14"/>
  <c r="N24" i="14"/>
  <c r="N16" i="14"/>
  <c r="N21" i="14"/>
  <c r="N12" i="14"/>
  <c r="N9" i="14"/>
  <c r="N20" i="14"/>
  <c r="N5" i="14"/>
  <c r="N13" i="14"/>
  <c r="N4" i="14"/>
  <c r="R8" i="14"/>
  <c r="V18" i="14"/>
  <c r="K15" i="14"/>
  <c r="R23" i="14"/>
  <c r="K10" i="14"/>
  <c r="Z24" i="14"/>
  <c r="Z16" i="14"/>
  <c r="Z12" i="14"/>
  <c r="Z9" i="14"/>
  <c r="Z20" i="14"/>
  <c r="Z4" i="14"/>
  <c r="Z10" i="14"/>
  <c r="Z22" i="14"/>
  <c r="Z14" i="14"/>
  <c r="K19" i="14"/>
  <c r="K11" i="14"/>
  <c r="V25" i="14"/>
  <c r="Z15" i="14"/>
  <c r="N6" i="14"/>
  <c r="V5" i="14"/>
  <c r="Z23" i="14"/>
  <c r="K18" i="14"/>
  <c r="Z18" i="14"/>
  <c r="R15" i="14"/>
  <c r="N10" i="14"/>
  <c r="K3" i="14"/>
  <c r="N23" i="14"/>
  <c r="V23" i="14"/>
  <c r="Z17" i="14"/>
  <c r="R17" i="14"/>
  <c r="N17" i="14"/>
  <c r="N22" i="14"/>
  <c r="V21" i="14"/>
  <c r="Z19" i="14"/>
  <c r="N14" i="14"/>
  <c r="V13" i="14"/>
  <c r="Z11" i="14"/>
  <c r="Z21" i="14"/>
  <c r="N19" i="14"/>
  <c r="Z13" i="14"/>
  <c r="N11" i="14"/>
  <c r="K25" i="14"/>
  <c r="R6" i="14"/>
  <c r="N18" i="14"/>
  <c r="N15" i="14"/>
  <c r="V15" i="14"/>
  <c r="Z5" i="14"/>
  <c r="N3" i="14"/>
  <c r="Z25" i="14"/>
  <c r="R25" i="14"/>
  <c r="N25" i="14"/>
  <c r="R10" i="14"/>
  <c r="K8" i="14"/>
  <c r="AF41" i="21" l="1"/>
  <c r="AF61" i="21"/>
  <c r="AF56" i="21"/>
  <c r="AF31" i="21"/>
  <c r="AF52" i="21"/>
  <c r="AF44" i="21"/>
  <c r="AF47" i="21"/>
  <c r="AF71" i="21"/>
  <c r="AF29" i="21"/>
  <c r="AF26" i="21"/>
  <c r="AF63" i="21"/>
  <c r="AF54" i="21"/>
  <c r="AF55" i="21"/>
  <c r="AF17" i="21"/>
  <c r="AF18" i="21"/>
  <c r="AF50" i="21"/>
  <c r="AF36" i="21"/>
  <c r="AF24" i="21"/>
  <c r="AF66" i="21"/>
  <c r="AF23" i="21"/>
  <c r="AF30" i="21"/>
  <c r="AF46" i="21"/>
  <c r="AF34" i="21"/>
  <c r="AF67" i="21"/>
  <c r="AF59" i="21"/>
  <c r="AF21" i="21"/>
  <c r="AF70" i="21"/>
  <c r="AF69" i="21"/>
  <c r="AF20" i="21"/>
  <c r="AF19" i="21"/>
  <c r="AF38" i="21"/>
  <c r="AF60" i="21"/>
  <c r="AF45" i="21"/>
  <c r="AF33" i="21"/>
  <c r="AF37" i="21"/>
  <c r="AF27" i="21"/>
  <c r="AF51" i="21"/>
  <c r="AF68" i="21"/>
  <c r="AF40" i="21"/>
  <c r="AF65" i="21"/>
  <c r="AF58" i="21"/>
  <c r="AF42" i="21"/>
  <c r="AF62" i="21"/>
  <c r="AF57" i="21"/>
  <c r="AF48" i="21"/>
  <c r="AF25" i="21"/>
  <c r="AF43" i="21"/>
  <c r="AF35" i="21"/>
  <c r="AF64" i="21"/>
  <c r="AF28" i="21"/>
  <c r="AF22" i="21"/>
  <c r="AF39" i="21"/>
  <c r="AF32" i="21"/>
  <c r="AF49" i="21"/>
  <c r="AF53" i="21"/>
  <c r="P80" i="21"/>
  <c r="P109" i="21"/>
  <c r="AF16" i="21"/>
  <c r="P84" i="21"/>
  <c r="P125" i="21"/>
  <c r="P112" i="21"/>
  <c r="P76" i="21"/>
  <c r="P116" i="21"/>
  <c r="P133" i="21"/>
  <c r="P126" i="21"/>
  <c r="P123" i="21"/>
  <c r="P75" i="21"/>
  <c r="P110" i="21"/>
  <c r="P42" i="21" l="1"/>
  <c r="P16" i="21"/>
  <c r="P114" i="21"/>
  <c r="P73" i="21"/>
  <c r="P78" i="21"/>
  <c r="P86" i="21"/>
  <c r="P127" i="21"/>
  <c r="P32" i="21"/>
  <c r="P22" i="21"/>
  <c r="P72" i="21"/>
  <c r="P45" i="21"/>
  <c r="P88" i="21"/>
  <c r="P18" i="21"/>
  <c r="P103" i="21"/>
  <c r="P85" i="21"/>
  <c r="P87" i="21"/>
  <c r="P68" i="21"/>
  <c r="P31" i="21"/>
  <c r="P61" i="21"/>
  <c r="P128" i="21"/>
  <c r="P23" i="21"/>
  <c r="P96" i="21"/>
  <c r="P19" i="21"/>
  <c r="P62" i="21"/>
  <c r="P24" i="21"/>
  <c r="P101" i="21"/>
  <c r="P27" i="21"/>
  <c r="P90" i="21"/>
  <c r="P120" i="21"/>
  <c r="P49" i="21"/>
  <c r="P30" i="21"/>
  <c r="P33" i="21"/>
  <c r="P48" i="21"/>
  <c r="P100" i="21"/>
  <c r="P115" i="21"/>
  <c r="P124" i="21"/>
  <c r="P82" i="21"/>
  <c r="AF137" i="21"/>
  <c r="AF138" i="21" s="1"/>
  <c r="P35" i="21"/>
  <c r="P122" i="21"/>
  <c r="P38" i="21"/>
  <c r="P21" i="21"/>
  <c r="P58" i="21"/>
  <c r="P93" i="21"/>
  <c r="P51" i="21"/>
  <c r="P57" i="21"/>
  <c r="P69" i="21"/>
  <c r="P64" i="21"/>
  <c r="P53" i="21"/>
  <c r="P89" i="21"/>
  <c r="P98" i="21"/>
  <c r="P17" i="21"/>
  <c r="P113" i="21"/>
  <c r="P118" i="21"/>
  <c r="P66" i="21"/>
  <c r="P40" i="21"/>
  <c r="P46" i="21"/>
  <c r="P95" i="21"/>
  <c r="P97" i="21"/>
  <c r="P74" i="21"/>
  <c r="P56" i="21"/>
  <c r="P121" i="21"/>
  <c r="P107" i="21"/>
  <c r="P36" i="21"/>
  <c r="P28" i="21"/>
  <c r="P63" i="21"/>
  <c r="P102" i="21"/>
  <c r="P44" i="21"/>
  <c r="P29" i="21"/>
  <c r="P34" i="21"/>
  <c r="P52" i="21"/>
  <c r="P59" i="21"/>
  <c r="P60" i="21"/>
  <c r="P132" i="21"/>
  <c r="P47" i="21"/>
  <c r="P50" i="21"/>
  <c r="P65" i="21"/>
  <c r="P54" i="21"/>
  <c r="P25" i="21"/>
  <c r="P20" i="21"/>
  <c r="P83" i="21"/>
  <c r="P106" i="21"/>
  <c r="P111" i="21"/>
  <c r="P99" i="21"/>
  <c r="P70" i="21"/>
  <c r="P129" i="21"/>
  <c r="P92" i="21"/>
  <c r="P134" i="21"/>
  <c r="P119" i="21"/>
  <c r="P117" i="21"/>
  <c r="P81" i="21"/>
  <c r="P79" i="21"/>
  <c r="P37" i="21"/>
  <c r="P43" i="21"/>
  <c r="P71" i="21"/>
  <c r="P108" i="21"/>
  <c r="P91" i="21"/>
  <c r="P55" i="21"/>
  <c r="P94" i="21"/>
  <c r="P39" i="21"/>
  <c r="P77" i="21"/>
  <c r="P105" i="21"/>
  <c r="P26" i="21"/>
  <c r="P104" i="21"/>
  <c r="P130" i="21"/>
  <c r="P67" i="21"/>
  <c r="P41" i="21"/>
  <c r="P131" i="21"/>
  <c r="P137" i="21" l="1"/>
  <c r="P138" i="21" s="1"/>
  <c r="D20" i="20" l="1"/>
  <c r="F25" i="20" s="1"/>
  <c r="H24" i="20" s="1"/>
  <c r="I24" i="20" l="1"/>
  <c r="M26" i="20"/>
  <c r="G10" i="21"/>
  <c r="F19" i="20"/>
  <c r="I15" i="20" s="1"/>
  <c r="D37" i="20"/>
  <c r="I7" i="21"/>
  <c r="M20" i="20" l="1"/>
  <c r="E22" i="20"/>
  <c r="F26" i="20"/>
  <c r="J26" i="20" s="1"/>
  <c r="J28" i="20" s="1"/>
  <c r="F21" i="20"/>
  <c r="G36" i="14" l="1"/>
  <c r="G37" i="14"/>
  <c r="E52" i="14" l="1"/>
  <c r="J13" i="20" l="1"/>
  <c r="J19" i="20"/>
  <c r="M17" i="20" l="1"/>
  <c r="F16" i="21" l="1"/>
  <c r="Q16" i="21" s="1"/>
  <c r="Z16" i="21" s="1"/>
  <c r="F17" i="21"/>
  <c r="F18" i="21"/>
  <c r="Q18" i="21" s="1"/>
  <c r="Z18" i="21" s="1"/>
  <c r="F19" i="21"/>
  <c r="Q19" i="21" s="1"/>
  <c r="Z19" i="21" s="1"/>
  <c r="F20" i="21"/>
  <c r="Q20" i="21" s="1"/>
  <c r="Z20" i="21" s="1"/>
  <c r="F21" i="21"/>
  <c r="Q21" i="21" s="1"/>
  <c r="Z21" i="21" s="1"/>
  <c r="F22" i="21"/>
  <c r="Q22" i="21" s="1"/>
  <c r="Z22" i="21" s="1"/>
  <c r="F23" i="21"/>
  <c r="Q23" i="21" s="1"/>
  <c r="Z23" i="21" s="1"/>
  <c r="F24" i="21"/>
  <c r="Q24" i="21" s="1"/>
  <c r="Z24" i="21" s="1"/>
  <c r="F25" i="21"/>
  <c r="Q25" i="21" s="1"/>
  <c r="Z25" i="21" s="1"/>
  <c r="F26" i="21"/>
  <c r="Q26" i="21" s="1"/>
  <c r="Z26" i="21" s="1"/>
  <c r="F27" i="21"/>
  <c r="Q27" i="21" s="1"/>
  <c r="Z27" i="21" s="1"/>
  <c r="F28" i="21"/>
  <c r="Q28" i="21" s="1"/>
  <c r="Z28" i="21" s="1"/>
  <c r="F29" i="21"/>
  <c r="F30" i="21"/>
  <c r="F31" i="21"/>
  <c r="Q31" i="21" s="1"/>
  <c r="Z31" i="21" s="1"/>
  <c r="F32" i="21"/>
  <c r="Q32" i="21" s="1"/>
  <c r="Z32" i="21" s="1"/>
  <c r="F33" i="21"/>
  <c r="F34" i="21"/>
  <c r="Q34" i="21" s="1"/>
  <c r="Z34" i="21" s="1"/>
  <c r="F35" i="21"/>
  <c r="Q35" i="21" s="1"/>
  <c r="Z35" i="21" s="1"/>
  <c r="F36" i="21"/>
  <c r="Q36" i="21" s="1"/>
  <c r="Z36" i="21" s="1"/>
  <c r="F37" i="21"/>
  <c r="Q37" i="21" s="1"/>
  <c r="Z37" i="21" s="1"/>
  <c r="F38" i="21"/>
  <c r="Q38" i="21" s="1"/>
  <c r="Z38" i="21" s="1"/>
  <c r="F39" i="21"/>
  <c r="Q39" i="21" s="1"/>
  <c r="Z39" i="21" s="1"/>
  <c r="F40" i="21"/>
  <c r="F41" i="21"/>
  <c r="Q41" i="21" s="1"/>
  <c r="Z41" i="21" s="1"/>
  <c r="F42" i="21"/>
  <c r="F43" i="21"/>
  <c r="F44" i="21"/>
  <c r="Q44" i="21" s="1"/>
  <c r="Z44" i="21" s="1"/>
  <c r="F45" i="21"/>
  <c r="Q45" i="21" s="1"/>
  <c r="Z45" i="21" s="1"/>
  <c r="F46" i="21"/>
  <c r="Q46" i="21" s="1"/>
  <c r="Z46" i="21" s="1"/>
  <c r="F47" i="21"/>
  <c r="F48" i="21"/>
  <c r="F49" i="21"/>
  <c r="Q49" i="21" s="1"/>
  <c r="Z49" i="21" s="1"/>
  <c r="F50" i="21"/>
  <c r="Q50" i="21" s="1"/>
  <c r="Z50" i="21" s="1"/>
  <c r="F51" i="21"/>
  <c r="Q51" i="21" s="1"/>
  <c r="Z51" i="21" s="1"/>
  <c r="F52" i="21"/>
  <c r="Q52" i="21" s="1"/>
  <c r="Z52" i="21" s="1"/>
  <c r="F53" i="21"/>
  <c r="Q53" i="21" s="1"/>
  <c r="Z53" i="21" s="1"/>
  <c r="F54" i="21"/>
  <c r="Q54" i="21" s="1"/>
  <c r="Z54" i="21" s="1"/>
  <c r="F55" i="21"/>
  <c r="Q55" i="21" s="1"/>
  <c r="Z55" i="21" s="1"/>
  <c r="F56" i="21"/>
  <c r="Q56" i="21" s="1"/>
  <c r="Z56" i="21" s="1"/>
  <c r="F57" i="21"/>
  <c r="Q57" i="21" s="1"/>
  <c r="Z57" i="21" s="1"/>
  <c r="F58" i="21"/>
  <c r="F59" i="21"/>
  <c r="Q59" i="21" s="1"/>
  <c r="Z59" i="21" s="1"/>
  <c r="F60" i="21"/>
  <c r="Q60" i="21" s="1"/>
  <c r="Z60" i="21" s="1"/>
  <c r="F61" i="21"/>
  <c r="Q61" i="21" s="1"/>
  <c r="Z61" i="21" s="1"/>
  <c r="F62" i="21"/>
  <c r="Q62" i="21" s="1"/>
  <c r="Z62" i="21" s="1"/>
  <c r="F63" i="21"/>
  <c r="Q63" i="21" s="1"/>
  <c r="Z63" i="21" s="1"/>
  <c r="F64" i="21"/>
  <c r="Q64" i="21" s="1"/>
  <c r="Z64" i="21" s="1"/>
  <c r="F65" i="21"/>
  <c r="Q65" i="21" s="1"/>
  <c r="Z65" i="21" s="1"/>
  <c r="F66" i="21"/>
  <c r="Q66" i="21" s="1"/>
  <c r="Z66" i="21" s="1"/>
  <c r="F67" i="21"/>
  <c r="Q67" i="21" s="1"/>
  <c r="Z67" i="21" s="1"/>
  <c r="F68" i="21"/>
  <c r="Q68" i="21" s="1"/>
  <c r="Z68" i="21" s="1"/>
  <c r="F69" i="21"/>
  <c r="Q69" i="21" s="1"/>
  <c r="Z69" i="21" s="1"/>
  <c r="F70" i="21"/>
  <c r="Q70" i="21" s="1"/>
  <c r="Z70" i="21" s="1"/>
  <c r="F71" i="21"/>
  <c r="Q71" i="21" s="1"/>
  <c r="Z71" i="21" s="1"/>
  <c r="F72" i="21"/>
  <c r="Q72" i="21" s="1"/>
  <c r="Z72" i="21" s="1"/>
  <c r="F73" i="21"/>
  <c r="Q73" i="21" s="1"/>
  <c r="Z73" i="21" s="1"/>
  <c r="F74" i="21"/>
  <c r="Q74" i="21" s="1"/>
  <c r="Z74" i="21" s="1"/>
  <c r="F75" i="21"/>
  <c r="Q75" i="21" s="1"/>
  <c r="Z75" i="21" s="1"/>
  <c r="F76" i="21"/>
  <c r="Q76" i="21" s="1"/>
  <c r="Z76" i="21" s="1"/>
  <c r="F77" i="21"/>
  <c r="Q77" i="21" s="1"/>
  <c r="Z77" i="21" s="1"/>
  <c r="F78" i="21"/>
  <c r="Q78" i="21" s="1"/>
  <c r="Z78" i="21" s="1"/>
  <c r="F79" i="21"/>
  <c r="Q79" i="21" s="1"/>
  <c r="Z79" i="21" s="1"/>
  <c r="F80" i="21"/>
  <c r="Q80" i="21" s="1"/>
  <c r="Z80" i="21" s="1"/>
  <c r="F81" i="21"/>
  <c r="Q81" i="21" s="1"/>
  <c r="Z81" i="21" s="1"/>
  <c r="F82" i="21"/>
  <c r="Q82" i="21" s="1"/>
  <c r="Z82" i="21" s="1"/>
  <c r="F83" i="21"/>
  <c r="Q83" i="21" s="1"/>
  <c r="Z83" i="21" s="1"/>
  <c r="F84" i="21"/>
  <c r="Q84" i="21" s="1"/>
  <c r="Z84" i="21" s="1"/>
  <c r="F85" i="21"/>
  <c r="Q85" i="21" s="1"/>
  <c r="Z85" i="21" s="1"/>
  <c r="F86" i="21"/>
  <c r="Q86" i="21" s="1"/>
  <c r="Z86" i="21" s="1"/>
  <c r="F87" i="21"/>
  <c r="Q87" i="21" s="1"/>
  <c r="Z87" i="21" s="1"/>
  <c r="F88" i="21"/>
  <c r="Q88" i="21" s="1"/>
  <c r="Z88" i="21" s="1"/>
  <c r="F89" i="21"/>
  <c r="Q89" i="21" s="1"/>
  <c r="Z89" i="21" s="1"/>
  <c r="F90" i="21"/>
  <c r="Q90" i="21" s="1"/>
  <c r="Z90" i="21" s="1"/>
  <c r="F91" i="21"/>
  <c r="Q91" i="21" s="1"/>
  <c r="Z91" i="21" s="1"/>
  <c r="F92" i="21"/>
  <c r="Q92" i="21" s="1"/>
  <c r="Z92" i="21" s="1"/>
  <c r="F93" i="21"/>
  <c r="Q93" i="21" s="1"/>
  <c r="Z93" i="21" s="1"/>
  <c r="F94" i="21"/>
  <c r="Q94" i="21" s="1"/>
  <c r="Z94" i="21" s="1"/>
  <c r="F95" i="21"/>
  <c r="Q95" i="21" s="1"/>
  <c r="Z95" i="21" s="1"/>
  <c r="F96" i="21"/>
  <c r="Q96" i="21" s="1"/>
  <c r="Z96" i="21" s="1"/>
  <c r="F97" i="21"/>
  <c r="Q97" i="21" s="1"/>
  <c r="Z97" i="21" s="1"/>
  <c r="F98" i="21"/>
  <c r="Q98" i="21" s="1"/>
  <c r="Z98" i="21" s="1"/>
  <c r="F99" i="21"/>
  <c r="Q99" i="21" s="1"/>
  <c r="Z99" i="21" s="1"/>
  <c r="F100" i="21"/>
  <c r="Q100" i="21" s="1"/>
  <c r="Z100" i="21" s="1"/>
  <c r="F101" i="21"/>
  <c r="Q101" i="21" s="1"/>
  <c r="Z101" i="21" s="1"/>
  <c r="F102" i="21"/>
  <c r="Q102" i="21" s="1"/>
  <c r="Z102" i="21" s="1"/>
  <c r="F103" i="21"/>
  <c r="Q103" i="21" s="1"/>
  <c r="Z103" i="21" s="1"/>
  <c r="F104" i="21"/>
  <c r="Q104" i="21" s="1"/>
  <c r="Z104" i="21" s="1"/>
  <c r="F105" i="21"/>
  <c r="Q105" i="21" s="1"/>
  <c r="Z105" i="21" s="1"/>
  <c r="F106" i="21"/>
  <c r="Q106" i="21" s="1"/>
  <c r="Z106" i="21" s="1"/>
  <c r="F107" i="21"/>
  <c r="Q107" i="21" s="1"/>
  <c r="Z107" i="21" s="1"/>
  <c r="F108" i="21"/>
  <c r="Q108" i="21" s="1"/>
  <c r="Z108" i="21" s="1"/>
  <c r="F109" i="21"/>
  <c r="Q109" i="21" s="1"/>
  <c r="Z109" i="21" s="1"/>
  <c r="F110" i="21"/>
  <c r="Q110" i="21" s="1"/>
  <c r="Z110" i="21" s="1"/>
  <c r="F111" i="21"/>
  <c r="Q111" i="21" s="1"/>
  <c r="Z111" i="21" s="1"/>
  <c r="F112" i="21"/>
  <c r="Q112" i="21" s="1"/>
  <c r="Z112" i="21" s="1"/>
  <c r="F113" i="21"/>
  <c r="Q113" i="21" s="1"/>
  <c r="Z113" i="21" s="1"/>
  <c r="F114" i="21"/>
  <c r="Q114" i="21" s="1"/>
  <c r="Z114" i="21" s="1"/>
  <c r="F115" i="21"/>
  <c r="Q115" i="21" s="1"/>
  <c r="Z115" i="21" s="1"/>
  <c r="F116" i="21"/>
  <c r="Q116" i="21" s="1"/>
  <c r="Z116" i="21" s="1"/>
  <c r="F117" i="21"/>
  <c r="Q117" i="21" s="1"/>
  <c r="Z117" i="21" s="1"/>
  <c r="F118" i="21"/>
  <c r="Q118" i="21" s="1"/>
  <c r="Z118" i="21" s="1"/>
  <c r="F119" i="21"/>
  <c r="Q119" i="21" s="1"/>
  <c r="Z119" i="21" s="1"/>
  <c r="F120" i="21"/>
  <c r="Q120" i="21" s="1"/>
  <c r="Z120" i="21" s="1"/>
  <c r="F121" i="21"/>
  <c r="Q121" i="21" s="1"/>
  <c r="Z121" i="21" s="1"/>
  <c r="F122" i="21"/>
  <c r="Q122" i="21" s="1"/>
  <c r="Z122" i="21" s="1"/>
  <c r="F123" i="21"/>
  <c r="F124" i="21"/>
  <c r="Q124" i="21" s="1"/>
  <c r="Z124" i="21" s="1"/>
  <c r="F125" i="21"/>
  <c r="Q125" i="21" s="1"/>
  <c r="Z125" i="21" s="1"/>
  <c r="F126" i="21"/>
  <c r="Q126" i="21" s="1"/>
  <c r="Z126" i="21" s="1"/>
  <c r="F127" i="21"/>
  <c r="Q127" i="21" s="1"/>
  <c r="Z127" i="21" s="1"/>
  <c r="F128" i="21"/>
  <c r="Q128" i="21" s="1"/>
  <c r="Z128" i="21" s="1"/>
  <c r="F129" i="21"/>
  <c r="Q129" i="21" s="1"/>
  <c r="Z129" i="21" s="1"/>
  <c r="F130" i="21"/>
  <c r="Q130" i="21" s="1"/>
  <c r="Z130" i="21" s="1"/>
  <c r="F131" i="21"/>
  <c r="Q131" i="21" s="1"/>
  <c r="Z131" i="21" s="1"/>
  <c r="F132" i="21"/>
  <c r="Q132" i="21" s="1"/>
  <c r="Z132" i="21" s="1"/>
  <c r="F133" i="21"/>
  <c r="Q133" i="21" s="1"/>
  <c r="Z133" i="21" s="1"/>
  <c r="F134" i="21"/>
  <c r="Q134" i="21" s="1"/>
  <c r="Z134" i="21" s="1"/>
  <c r="H12" i="20"/>
  <c r="H10" i="20" s="1"/>
  <c r="H14" i="20" s="1"/>
  <c r="J11" i="20" s="1"/>
  <c r="Q48" i="21" l="1"/>
  <c r="Z48" i="21" s="1"/>
  <c r="Q42" i="21"/>
  <c r="Z42" i="21" s="1"/>
  <c r="Q123" i="21"/>
  <c r="Z123" i="21" s="1"/>
  <c r="Q47" i="21"/>
  <c r="Z47" i="21" s="1"/>
  <c r="Q30" i="21"/>
  <c r="Z30" i="21" s="1"/>
  <c r="J16" i="20"/>
  <c r="I21" i="20" s="1"/>
  <c r="L27" i="20" s="1"/>
  <c r="H15" i="20"/>
  <c r="I6" i="21" s="1"/>
  <c r="D8" i="20"/>
  <c r="J5" i="21" s="1"/>
  <c r="D18" i="21" s="1"/>
  <c r="I18" i="21" s="1"/>
  <c r="F14" i="20"/>
  <c r="Q33" i="21"/>
  <c r="Z33" i="21" s="1"/>
  <c r="Q17" i="21"/>
  <c r="Z17" i="21" s="1"/>
  <c r="F137" i="21"/>
  <c r="Q29" i="21"/>
  <c r="Z29" i="21" s="1"/>
  <c r="Q40" i="21"/>
  <c r="Z40" i="21" s="1"/>
  <c r="Q43" i="21"/>
  <c r="Z43" i="21" s="1"/>
  <c r="I5" i="21"/>
  <c r="Q58" i="21"/>
  <c r="Z58" i="21" s="1"/>
  <c r="D19" i="21" l="1"/>
  <c r="G19" i="21" s="1"/>
  <c r="S19" i="21" s="1"/>
  <c r="D26" i="21"/>
  <c r="AE26" i="21" s="1"/>
  <c r="AG26" i="21" s="1"/>
  <c r="D57" i="21"/>
  <c r="AE57" i="21" s="1"/>
  <c r="AG57" i="21" s="1"/>
  <c r="D99" i="21"/>
  <c r="I99" i="21" s="1"/>
  <c r="D83" i="21"/>
  <c r="G83" i="21" s="1"/>
  <c r="H83" i="21" s="1"/>
  <c r="D50" i="21"/>
  <c r="I50" i="21" s="1"/>
  <c r="D21" i="21"/>
  <c r="AE21" i="21" s="1"/>
  <c r="AG21" i="21" s="1"/>
  <c r="D126" i="21"/>
  <c r="I126" i="21" s="1"/>
  <c r="D89" i="21"/>
  <c r="I89" i="21" s="1"/>
  <c r="D98" i="21"/>
  <c r="I98" i="21" s="1"/>
  <c r="D92" i="21"/>
  <c r="I92" i="21" s="1"/>
  <c r="D105" i="21"/>
  <c r="I105" i="21" s="1"/>
  <c r="D40" i="21"/>
  <c r="I40" i="21" s="1"/>
  <c r="D27" i="21"/>
  <c r="AH27" i="21" s="1"/>
  <c r="AK27" i="21" s="1"/>
  <c r="AL27" i="21" s="1"/>
  <c r="D71" i="21"/>
  <c r="I71" i="21" s="1"/>
  <c r="D37" i="21"/>
  <c r="I37" i="21" s="1"/>
  <c r="D122" i="21"/>
  <c r="G122" i="21" s="1"/>
  <c r="D32" i="21"/>
  <c r="I32" i="21" s="1"/>
  <c r="D38" i="21"/>
  <c r="I38" i="21" s="1"/>
  <c r="D102" i="21"/>
  <c r="G102" i="21" s="1"/>
  <c r="H102" i="21" s="1"/>
  <c r="V102" i="21" s="1"/>
  <c r="D48" i="21"/>
  <c r="I48" i="21" s="1"/>
  <c r="D64" i="21"/>
  <c r="AH64" i="21" s="1"/>
  <c r="D90" i="21"/>
  <c r="I90" i="21" s="1"/>
  <c r="D118" i="21"/>
  <c r="I118" i="21" s="1"/>
  <c r="G18" i="21"/>
  <c r="S18" i="21" s="1"/>
  <c r="D34" i="21"/>
  <c r="AE34" i="21" s="1"/>
  <c r="AG34" i="21" s="1"/>
  <c r="D53" i="21"/>
  <c r="AE53" i="21" s="1"/>
  <c r="AG53" i="21" s="1"/>
  <c r="D23" i="21"/>
  <c r="O23" i="21" s="1"/>
  <c r="D56" i="21"/>
  <c r="I56" i="21" s="1"/>
  <c r="D100" i="21"/>
  <c r="I100" i="21" s="1"/>
  <c r="D62" i="21"/>
  <c r="AH62" i="21" s="1"/>
  <c r="D113" i="21"/>
  <c r="G113" i="21" s="1"/>
  <c r="H113" i="21" s="1"/>
  <c r="V113" i="21" s="1"/>
  <c r="D116" i="21"/>
  <c r="I116" i="21" s="1"/>
  <c r="D80" i="21"/>
  <c r="I80" i="21" s="1"/>
  <c r="D42" i="21"/>
  <c r="I42" i="21" s="1"/>
  <c r="D121" i="21"/>
  <c r="I121" i="21" s="1"/>
  <c r="D86" i="21"/>
  <c r="I86" i="21" s="1"/>
  <c r="D127" i="21"/>
  <c r="I127" i="21" s="1"/>
  <c r="D54" i="21"/>
  <c r="AH54" i="21" s="1"/>
  <c r="AK54" i="21" s="1"/>
  <c r="AL54" i="21" s="1"/>
  <c r="D84" i="21"/>
  <c r="I84" i="21" s="1"/>
  <c r="D49" i="21"/>
  <c r="I49" i="21" s="1"/>
  <c r="D133" i="21"/>
  <c r="I133" i="21" s="1"/>
  <c r="D128" i="21"/>
  <c r="I128" i="21" s="1"/>
  <c r="D55" i="21"/>
  <c r="I55" i="21" s="1"/>
  <c r="D28" i="21"/>
  <c r="AH28" i="21" s="1"/>
  <c r="D70" i="21"/>
  <c r="AH70" i="21" s="1"/>
  <c r="D110" i="21"/>
  <c r="I110" i="21" s="1"/>
  <c r="D24" i="21"/>
  <c r="G24" i="21" s="1"/>
  <c r="S24" i="21" s="1"/>
  <c r="D68" i="21"/>
  <c r="AE68" i="21" s="1"/>
  <c r="AG68" i="21" s="1"/>
  <c r="D59" i="21"/>
  <c r="I59" i="21" s="1"/>
  <c r="D67" i="21"/>
  <c r="G67" i="21" s="1"/>
  <c r="R67" i="21" s="1"/>
  <c r="D75" i="21"/>
  <c r="I75" i="21" s="1"/>
  <c r="D112" i="21"/>
  <c r="I112" i="21" s="1"/>
  <c r="D77" i="21"/>
  <c r="I77" i="21" s="1"/>
  <c r="D123" i="21"/>
  <c r="I123" i="21" s="1"/>
  <c r="D17" i="21"/>
  <c r="T17" i="21" s="1"/>
  <c r="D31" i="21"/>
  <c r="AE31" i="21" s="1"/>
  <c r="AG31" i="21" s="1"/>
  <c r="D74" i="21"/>
  <c r="I74" i="21" s="1"/>
  <c r="D72" i="21"/>
  <c r="G72" i="21" s="1"/>
  <c r="R72" i="21" s="1"/>
  <c r="D93" i="21"/>
  <c r="I93" i="21" s="1"/>
  <c r="D94" i="21"/>
  <c r="I94" i="21" s="1"/>
  <c r="D39" i="21"/>
  <c r="AE39" i="21" s="1"/>
  <c r="AG39" i="21" s="1"/>
  <c r="D96" i="21"/>
  <c r="I96" i="21" s="1"/>
  <c r="AH18" i="21"/>
  <c r="AK18" i="21" s="1"/>
  <c r="AL18" i="21" s="1"/>
  <c r="D106" i="21"/>
  <c r="I106" i="21" s="1"/>
  <c r="D107" i="21"/>
  <c r="G107" i="21" s="1"/>
  <c r="R107" i="21" s="1"/>
  <c r="D69" i="21"/>
  <c r="I69" i="21" s="1"/>
  <c r="D65" i="21"/>
  <c r="AE65" i="21" s="1"/>
  <c r="AG65" i="21" s="1"/>
  <c r="D16" i="21"/>
  <c r="AH16" i="21" s="1"/>
  <c r="AK16" i="21" s="1"/>
  <c r="AL16" i="21" s="1"/>
  <c r="D45" i="21"/>
  <c r="I45" i="21" s="1"/>
  <c r="D85" i="21"/>
  <c r="I85" i="21" s="1"/>
  <c r="D111" i="21"/>
  <c r="G111" i="21" s="1"/>
  <c r="R111" i="21" s="1"/>
  <c r="D119" i="21"/>
  <c r="I119" i="21" s="1"/>
  <c r="D120" i="21"/>
  <c r="I120" i="21" s="1"/>
  <c r="D82" i="21"/>
  <c r="I82" i="21" s="1"/>
  <c r="D129" i="21"/>
  <c r="I129" i="21" s="1"/>
  <c r="D78" i="21"/>
  <c r="I78" i="21" s="1"/>
  <c r="D91" i="21"/>
  <c r="I91" i="21" s="1"/>
  <c r="D132" i="21"/>
  <c r="N132" i="21" s="1"/>
  <c r="D20" i="21"/>
  <c r="AH20" i="21" s="1"/>
  <c r="AK20" i="21" s="1"/>
  <c r="AL20" i="21" s="1"/>
  <c r="D88" i="21"/>
  <c r="I88" i="21" s="1"/>
  <c r="D117" i="21"/>
  <c r="I117" i="21" s="1"/>
  <c r="D29" i="21"/>
  <c r="AE29" i="21" s="1"/>
  <c r="AG29" i="21" s="1"/>
  <c r="D47" i="21"/>
  <c r="AH47" i="21" s="1"/>
  <c r="AK47" i="21" s="1"/>
  <c r="AL47" i="21" s="1"/>
  <c r="D97" i="21"/>
  <c r="I97" i="21" s="1"/>
  <c r="D44" i="21"/>
  <c r="I44" i="21" s="1"/>
  <c r="D46" i="21"/>
  <c r="I46" i="21" s="1"/>
  <c r="D63" i="21"/>
  <c r="AH63" i="21" s="1"/>
  <c r="AK63" i="21" s="1"/>
  <c r="AL63" i="21" s="1"/>
  <c r="D101" i="21"/>
  <c r="G101" i="21" s="1"/>
  <c r="H101" i="21" s="1"/>
  <c r="V101" i="21" s="1"/>
  <c r="D104" i="21"/>
  <c r="I104" i="21" s="1"/>
  <c r="D130" i="21"/>
  <c r="I130" i="21" s="1"/>
  <c r="D35" i="21"/>
  <c r="G35" i="21" s="1"/>
  <c r="H35" i="21" s="1"/>
  <c r="D25" i="21"/>
  <c r="AE25" i="21" s="1"/>
  <c r="AG25" i="21" s="1"/>
  <c r="D103" i="21"/>
  <c r="I103" i="21" s="1"/>
  <c r="D52" i="21"/>
  <c r="AE52" i="21" s="1"/>
  <c r="AG52" i="21" s="1"/>
  <c r="D61" i="21"/>
  <c r="AE61" i="21" s="1"/>
  <c r="AG61" i="21" s="1"/>
  <c r="D76" i="21"/>
  <c r="I76" i="21" s="1"/>
  <c r="D114" i="21"/>
  <c r="I114" i="21" s="1"/>
  <c r="AE18" i="21"/>
  <c r="AG18" i="21" s="1"/>
  <c r="D131" i="21"/>
  <c r="O131" i="21" s="1"/>
  <c r="D124" i="21"/>
  <c r="I124" i="21" s="1"/>
  <c r="D51" i="21"/>
  <c r="AH51" i="21" s="1"/>
  <c r="AK51" i="21" s="1"/>
  <c r="AL51" i="21" s="1"/>
  <c r="D22" i="21"/>
  <c r="T22" i="21" s="1"/>
  <c r="D41" i="21"/>
  <c r="O41" i="21" s="1"/>
  <c r="D109" i="21"/>
  <c r="T109" i="21" s="1"/>
  <c r="D66" i="21"/>
  <c r="I66" i="21" s="1"/>
  <c r="D81" i="21"/>
  <c r="G81" i="21" s="1"/>
  <c r="H81" i="21" s="1"/>
  <c r="V81" i="21" s="1"/>
  <c r="D95" i="21"/>
  <c r="I95" i="21" s="1"/>
  <c r="D134" i="21"/>
  <c r="G134" i="21" s="1"/>
  <c r="S134" i="21" s="1"/>
  <c r="D60" i="21"/>
  <c r="O60" i="21" s="1"/>
  <c r="D36" i="21"/>
  <c r="T36" i="21" s="1"/>
  <c r="D58" i="21"/>
  <c r="AE58" i="21" s="1"/>
  <c r="AG58" i="21" s="1"/>
  <c r="D43" i="21"/>
  <c r="I43" i="21" s="1"/>
  <c r="D33" i="21"/>
  <c r="AE33" i="21" s="1"/>
  <c r="AG33" i="21" s="1"/>
  <c r="D115" i="21"/>
  <c r="N115" i="21" s="1"/>
  <c r="D79" i="21"/>
  <c r="I79" i="21" s="1"/>
  <c r="D87" i="21"/>
  <c r="I87" i="21" s="1"/>
  <c r="D108" i="21"/>
  <c r="G108" i="21" s="1"/>
  <c r="S108" i="21" s="1"/>
  <c r="D30" i="21"/>
  <c r="T30" i="21" s="1"/>
  <c r="D73" i="21"/>
  <c r="I73" i="21" s="1"/>
  <c r="D125" i="21"/>
  <c r="T125" i="21" s="1"/>
  <c r="I83" i="21"/>
  <c r="AH50" i="21"/>
  <c r="AK50" i="21" s="1"/>
  <c r="AL50" i="21" s="1"/>
  <c r="G54" i="21"/>
  <c r="H54" i="21" s="1"/>
  <c r="G99" i="21"/>
  <c r="S99" i="21" s="1"/>
  <c r="AE50" i="21"/>
  <c r="AG50" i="21" s="1"/>
  <c r="AE71" i="21"/>
  <c r="AG71" i="21" s="1"/>
  <c r="G71" i="21"/>
  <c r="S71" i="21" s="1"/>
  <c r="I57" i="21"/>
  <c r="AH57" i="21"/>
  <c r="AK57" i="21" s="1"/>
  <c r="AL57" i="21" s="1"/>
  <c r="G57" i="21"/>
  <c r="R57" i="21" s="1"/>
  <c r="AH71" i="21"/>
  <c r="AK71" i="21" s="1"/>
  <c r="AL71" i="21" s="1"/>
  <c r="G130" i="21"/>
  <c r="H130" i="21" s="1"/>
  <c r="V130" i="21" s="1"/>
  <c r="G124" i="21"/>
  <c r="H124" i="21" s="1"/>
  <c r="V124" i="21" s="1"/>
  <c r="AE44" i="21"/>
  <c r="AG44" i="21" s="1"/>
  <c r="I102" i="21"/>
  <c r="G50" i="21"/>
  <c r="S50" i="21" s="1"/>
  <c r="AH48" i="21"/>
  <c r="AK48" i="21" s="1"/>
  <c r="AL48" i="21" s="1"/>
  <c r="AE70" i="21"/>
  <c r="AG70" i="21" s="1"/>
  <c r="I70" i="21"/>
  <c r="I122" i="21"/>
  <c r="G59" i="21"/>
  <c r="H59" i="21" s="1"/>
  <c r="G70" i="21"/>
  <c r="R70" i="21" s="1"/>
  <c r="I28" i="21"/>
  <c r="AH37" i="21"/>
  <c r="AK37" i="21" s="1"/>
  <c r="AL37" i="21" s="1"/>
  <c r="G104" i="21"/>
  <c r="S104" i="21" s="1"/>
  <c r="I113" i="21"/>
  <c r="I111" i="21"/>
  <c r="AH59" i="21"/>
  <c r="AK59" i="21" s="1"/>
  <c r="AL59" i="21" s="1"/>
  <c r="G62" i="21"/>
  <c r="H62" i="21" s="1"/>
  <c r="V62" i="21" s="1"/>
  <c r="AE59" i="21"/>
  <c r="AG59" i="21" s="1"/>
  <c r="G110" i="21"/>
  <c r="H110" i="21" s="1"/>
  <c r="V110" i="21" s="1"/>
  <c r="AE62" i="21"/>
  <c r="AG62" i="21" s="1"/>
  <c r="G37" i="21"/>
  <c r="H37" i="21" s="1"/>
  <c r="G128" i="21"/>
  <c r="S128" i="21" s="1"/>
  <c r="G116" i="21"/>
  <c r="R116" i="21" s="1"/>
  <c r="AE28" i="21"/>
  <c r="AG28" i="21" s="1"/>
  <c r="AE63" i="21"/>
  <c r="AG63" i="21" s="1"/>
  <c r="G39" i="21"/>
  <c r="H39" i="21" s="1"/>
  <c r="AE37" i="21"/>
  <c r="AG37" i="21" s="1"/>
  <c r="I72" i="21"/>
  <c r="G56" i="21"/>
  <c r="H56" i="21" s="1"/>
  <c r="I39" i="21"/>
  <c r="AH39" i="21"/>
  <c r="AK39" i="21" s="1"/>
  <c r="AL39" i="21" s="1"/>
  <c r="G66" i="21"/>
  <c r="S66" i="21" s="1"/>
  <c r="G28" i="21"/>
  <c r="H28" i="21" s="1"/>
  <c r="V28" i="21" s="1"/>
  <c r="G129" i="21"/>
  <c r="R129" i="21" s="1"/>
  <c r="G100" i="21"/>
  <c r="R100" i="21" s="1"/>
  <c r="G120" i="21"/>
  <c r="H120" i="21" s="1"/>
  <c r="V120" i="21" s="1"/>
  <c r="I62" i="21"/>
  <c r="G121" i="21"/>
  <c r="H121" i="21" s="1"/>
  <c r="V121" i="21" s="1"/>
  <c r="AE56" i="21"/>
  <c r="AG56" i="21" s="1"/>
  <c r="G126" i="21"/>
  <c r="H126" i="21" s="1"/>
  <c r="V126" i="21" s="1"/>
  <c r="AH56" i="21"/>
  <c r="AK56" i="21" s="1"/>
  <c r="AL56" i="21" s="1"/>
  <c r="G91" i="21"/>
  <c r="S91" i="21" s="1"/>
  <c r="AE48" i="21"/>
  <c r="AG48" i="21" s="1"/>
  <c r="G85" i="21"/>
  <c r="H85" i="21" s="1"/>
  <c r="V85" i="21" s="1"/>
  <c r="G103" i="21"/>
  <c r="H103" i="21" s="1"/>
  <c r="V103" i="21" s="1"/>
  <c r="G97" i="21"/>
  <c r="H97" i="21" s="1"/>
  <c r="V97" i="21" s="1"/>
  <c r="R19" i="21"/>
  <c r="I19" i="21"/>
  <c r="I26" i="21"/>
  <c r="G80" i="21"/>
  <c r="H80" i="21" s="1"/>
  <c r="I33" i="21"/>
  <c r="R83" i="21"/>
  <c r="AC83" i="21" s="1"/>
  <c r="H19" i="21"/>
  <c r="S83" i="21"/>
  <c r="AH19" i="21"/>
  <c r="AK19" i="21" s="1"/>
  <c r="AL19" i="21" s="1"/>
  <c r="V83" i="21"/>
  <c r="AH24" i="21"/>
  <c r="AK24" i="21" s="1"/>
  <c r="AL24" i="21" s="1"/>
  <c r="AH31" i="21"/>
  <c r="AK31" i="21" s="1"/>
  <c r="AL31" i="21" s="1"/>
  <c r="AE24" i="21"/>
  <c r="AG24" i="21" s="1"/>
  <c r="G31" i="21"/>
  <c r="R31" i="21" s="1"/>
  <c r="AH26" i="21"/>
  <c r="AK26" i="21" s="1"/>
  <c r="AL26" i="21" s="1"/>
  <c r="H24" i="21"/>
  <c r="I31" i="21"/>
  <c r="AH38" i="21"/>
  <c r="AK38" i="21" s="1"/>
  <c r="AL38" i="21" s="1"/>
  <c r="AH32" i="21"/>
  <c r="AK32" i="21" s="1"/>
  <c r="AL32" i="21" s="1"/>
  <c r="G32" i="21"/>
  <c r="H32" i="21" s="1"/>
  <c r="G38" i="21"/>
  <c r="H38" i="21" s="1"/>
  <c r="AH43" i="21"/>
  <c r="AK43" i="21" s="1"/>
  <c r="AL43" i="21" s="1"/>
  <c r="AE32" i="21"/>
  <c r="AG32" i="21" s="1"/>
  <c r="AE38" i="21"/>
  <c r="AG38" i="21" s="1"/>
  <c r="I24" i="21"/>
  <c r="AH55" i="21"/>
  <c r="AK55" i="21" s="1"/>
  <c r="AL55" i="21" s="1"/>
  <c r="AE19" i="21"/>
  <c r="AG19" i="21" s="1"/>
  <c r="G55" i="21"/>
  <c r="R55" i="21" s="1"/>
  <c r="G26" i="21"/>
  <c r="S26" i="21" s="1"/>
  <c r="R24" i="21"/>
  <c r="I35" i="21"/>
  <c r="AE35" i="21"/>
  <c r="AG35" i="21" s="1"/>
  <c r="AH41" i="21"/>
  <c r="AK41" i="21" s="1"/>
  <c r="AL41" i="21" s="1"/>
  <c r="I41" i="21"/>
  <c r="G41" i="21"/>
  <c r="H41" i="21" s="1"/>
  <c r="AE41" i="21"/>
  <c r="AG41" i="21" s="1"/>
  <c r="G43" i="21"/>
  <c r="R43" i="21" s="1"/>
  <c r="AE43" i="21"/>
  <c r="AG43" i="21" s="1"/>
  <c r="AE55" i="21"/>
  <c r="AG55" i="21" s="1"/>
  <c r="AH35" i="21"/>
  <c r="AK35" i="21" s="1"/>
  <c r="AL35" i="21" s="1"/>
  <c r="R108" i="21"/>
  <c r="H16" i="20"/>
  <c r="G28" i="20"/>
  <c r="K29" i="20" s="1"/>
  <c r="S35" i="21"/>
  <c r="S113" i="21"/>
  <c r="R113" i="21"/>
  <c r="Z138" i="21"/>
  <c r="R122" i="21"/>
  <c r="S122" i="21"/>
  <c r="H122" i="21"/>
  <c r="AI18" i="21"/>
  <c r="AJ18" i="21" s="1"/>
  <c r="AI22" i="21"/>
  <c r="AI39" i="21"/>
  <c r="AI43" i="21"/>
  <c r="AI47" i="21"/>
  <c r="AI51" i="21"/>
  <c r="AI55" i="21"/>
  <c r="AI59" i="21"/>
  <c r="AI63" i="21"/>
  <c r="AI67" i="21"/>
  <c r="AI35" i="21"/>
  <c r="AK28" i="21"/>
  <c r="AL28" i="21" s="1"/>
  <c r="AI28" i="21"/>
  <c r="AJ28" i="21" s="1"/>
  <c r="AI32" i="21"/>
  <c r="AI69" i="21"/>
  <c r="AI30" i="21"/>
  <c r="AI46" i="21"/>
  <c r="AI36" i="21"/>
  <c r="AI56" i="21"/>
  <c r="AI61" i="21"/>
  <c r="AI16" i="21"/>
  <c r="AI21" i="21"/>
  <c r="AI26" i="21"/>
  <c r="AI31" i="21"/>
  <c r="AI37" i="21"/>
  <c r="AI42" i="21"/>
  <c r="AI66" i="21"/>
  <c r="AI71" i="21"/>
  <c r="AI17" i="21"/>
  <c r="AI38" i="21"/>
  <c r="AI52" i="21"/>
  <c r="AI57" i="21"/>
  <c r="AI27" i="21"/>
  <c r="AI62" i="21"/>
  <c r="AJ62" i="21" s="1"/>
  <c r="AI48" i="21"/>
  <c r="AI53" i="21"/>
  <c r="AI19" i="21"/>
  <c r="AI24" i="21"/>
  <c r="AI29" i="21"/>
  <c r="AI34" i="21"/>
  <c r="AI40" i="21"/>
  <c r="AI45" i="21"/>
  <c r="AI64" i="21"/>
  <c r="AJ64" i="21" s="1"/>
  <c r="AK64" i="21"/>
  <c r="AL64" i="21" s="1"/>
  <c r="AK70" i="21"/>
  <c r="AL70" i="21" s="1"/>
  <c r="AI50" i="21"/>
  <c r="D13" i="21"/>
  <c r="AI49" i="21"/>
  <c r="AI58" i="21"/>
  <c r="AI65" i="21"/>
  <c r="AI41" i="21"/>
  <c r="AI23" i="21"/>
  <c r="AK62" i="21"/>
  <c r="AL62" i="21" s="1"/>
  <c r="AI54" i="21"/>
  <c r="AI33" i="21"/>
  <c r="AI25" i="21"/>
  <c r="AI60" i="21"/>
  <c r="AI68" i="21"/>
  <c r="AI44" i="21"/>
  <c r="AI70" i="21"/>
  <c r="AJ70" i="21" s="1"/>
  <c r="AI20" i="21"/>
  <c r="N87" i="21"/>
  <c r="N99" i="21"/>
  <c r="N104" i="21"/>
  <c r="N116" i="21"/>
  <c r="N128" i="21"/>
  <c r="T113" i="21"/>
  <c r="T119" i="21"/>
  <c r="N85" i="21"/>
  <c r="N97" i="21"/>
  <c r="N109" i="21"/>
  <c r="N121" i="21"/>
  <c r="N102" i="21"/>
  <c r="N126" i="21"/>
  <c r="T102" i="21"/>
  <c r="T108" i="21"/>
  <c r="T126" i="21"/>
  <c r="N129" i="21"/>
  <c r="N100" i="21"/>
  <c r="N131" i="21"/>
  <c r="O113" i="21"/>
  <c r="T39" i="21"/>
  <c r="T75" i="21"/>
  <c r="N41" i="21"/>
  <c r="N108" i="21"/>
  <c r="T104" i="21"/>
  <c r="O102" i="21"/>
  <c r="O108" i="21"/>
  <c r="O120" i="21"/>
  <c r="O126" i="21"/>
  <c r="T97" i="21"/>
  <c r="T106" i="21"/>
  <c r="T128" i="21"/>
  <c r="O86" i="21"/>
  <c r="O92" i="21"/>
  <c r="O110" i="21"/>
  <c r="O116" i="21"/>
  <c r="O122" i="21"/>
  <c r="O128" i="21"/>
  <c r="T91" i="21"/>
  <c r="T110" i="21"/>
  <c r="O129" i="21"/>
  <c r="T38" i="21"/>
  <c r="N73" i="21"/>
  <c r="O67" i="21"/>
  <c r="T129" i="21"/>
  <c r="O99" i="21"/>
  <c r="T26" i="21"/>
  <c r="N35" i="21"/>
  <c r="O28" i="21"/>
  <c r="O55" i="21"/>
  <c r="O68" i="21"/>
  <c r="O80" i="21"/>
  <c r="O121" i="21"/>
  <c r="O130" i="21"/>
  <c r="N91" i="21"/>
  <c r="T99" i="21"/>
  <c r="T18" i="21"/>
  <c r="T31" i="21"/>
  <c r="T57" i="21"/>
  <c r="T70" i="21"/>
  <c r="T83" i="21"/>
  <c r="N26" i="21"/>
  <c r="N39" i="21"/>
  <c r="N66" i="21"/>
  <c r="N79" i="21"/>
  <c r="O59" i="21"/>
  <c r="T24" i="21"/>
  <c r="T43" i="21"/>
  <c r="N43" i="21"/>
  <c r="N59" i="21"/>
  <c r="O39" i="21"/>
  <c r="N83" i="21"/>
  <c r="O97" i="21"/>
  <c r="T28" i="21"/>
  <c r="T80" i="21"/>
  <c r="N62" i="21"/>
  <c r="N80" i="21"/>
  <c r="O24" i="21"/>
  <c r="O43" i="21"/>
  <c r="T121" i="21"/>
  <c r="O115" i="21"/>
  <c r="T62" i="21"/>
  <c r="N28" i="21"/>
  <c r="T48" i="21"/>
  <c r="N67" i="21"/>
  <c r="O63" i="21"/>
  <c r="N113" i="21"/>
  <c r="T122" i="21"/>
  <c r="O85" i="21"/>
  <c r="O100" i="21"/>
  <c r="T64" i="21"/>
  <c r="N64" i="21"/>
  <c r="O26" i="21"/>
  <c r="O62" i="21"/>
  <c r="N31" i="21"/>
  <c r="T32" i="21"/>
  <c r="T100" i="21"/>
  <c r="T127" i="21"/>
  <c r="T68" i="21"/>
  <c r="N50" i="21"/>
  <c r="N68" i="21"/>
  <c r="O31" i="21"/>
  <c r="N110" i="21"/>
  <c r="O93" i="21"/>
  <c r="T37" i="21"/>
  <c r="T56" i="21"/>
  <c r="T73" i="21"/>
  <c r="N38" i="21"/>
  <c r="N56" i="21"/>
  <c r="O19" i="21"/>
  <c r="O71" i="21"/>
  <c r="T87" i="21"/>
  <c r="T116" i="21"/>
  <c r="T41" i="21"/>
  <c r="N57" i="21"/>
  <c r="O37" i="21"/>
  <c r="O56" i="21"/>
  <c r="O73" i="21"/>
  <c r="O83" i="21"/>
  <c r="O57" i="21"/>
  <c r="N55" i="21"/>
  <c r="O35" i="21"/>
  <c r="O111" i="21"/>
  <c r="O66" i="21"/>
  <c r="O18" i="21"/>
  <c r="O38" i="21"/>
  <c r="N18" i="21"/>
  <c r="T55" i="21"/>
  <c r="N19" i="21"/>
  <c r="N70" i="21"/>
  <c r="O50" i="21"/>
  <c r="T85" i="21"/>
  <c r="N24" i="21"/>
  <c r="N71" i="21"/>
  <c r="T50" i="21"/>
  <c r="N32" i="21"/>
  <c r="N122" i="21"/>
  <c r="O64" i="21"/>
  <c r="T59" i="21"/>
  <c r="N37" i="21"/>
  <c r="O74" i="21"/>
  <c r="N51" i="21"/>
  <c r="T19" i="21"/>
  <c r="T71" i="21"/>
  <c r="O91" i="21"/>
  <c r="O32" i="21"/>
  <c r="O70" i="21"/>
  <c r="Q137" i="21"/>
  <c r="Q138" i="21" s="1"/>
  <c r="Q139" i="21" s="1"/>
  <c r="S102" i="21"/>
  <c r="R102" i="21"/>
  <c r="T25" i="21" l="1"/>
  <c r="I20" i="21"/>
  <c r="R81" i="21"/>
  <c r="O20" i="21"/>
  <c r="O109" i="21"/>
  <c r="S81" i="21"/>
  <c r="G20" i="21"/>
  <c r="H20" i="21" s="1"/>
  <c r="V20" i="21" s="1"/>
  <c r="T84" i="21"/>
  <c r="N90" i="21"/>
  <c r="T66" i="21"/>
  <c r="N29" i="21"/>
  <c r="R35" i="21"/>
  <c r="AD35" i="21" s="1"/>
  <c r="AH66" i="21"/>
  <c r="AK66" i="21" s="1"/>
  <c r="AL66" i="21" s="1"/>
  <c r="I108" i="21"/>
  <c r="V35" i="21"/>
  <c r="O118" i="21"/>
  <c r="G69" i="21"/>
  <c r="H69" i="21" s="1"/>
  <c r="V69" i="21" s="1"/>
  <c r="O25" i="21"/>
  <c r="T92" i="21"/>
  <c r="R134" i="21"/>
  <c r="O13" i="21"/>
  <c r="O78" i="21"/>
  <c r="O75" i="21"/>
  <c r="N127" i="21"/>
  <c r="G88" i="21"/>
  <c r="S88" i="21" s="1"/>
  <c r="G42" i="21"/>
  <c r="H42" i="21" s="1"/>
  <c r="V42" i="21" s="1"/>
  <c r="O96" i="21"/>
  <c r="I53" i="21"/>
  <c r="G48" i="21"/>
  <c r="H48" i="21" s="1"/>
  <c r="AJ54" i="21"/>
  <c r="G84" i="21"/>
  <c r="H84" i="21" s="1"/>
  <c r="V84" i="21" s="1"/>
  <c r="G77" i="21"/>
  <c r="R77" i="21" s="1"/>
  <c r="N20" i="21"/>
  <c r="O90" i="21"/>
  <c r="O21" i="21"/>
  <c r="AH29" i="21"/>
  <c r="AK29" i="21" s="1"/>
  <c r="AL29" i="21" s="1"/>
  <c r="G92" i="21"/>
  <c r="R92" i="21" s="1"/>
  <c r="I16" i="21"/>
  <c r="T16" i="21" s="1"/>
  <c r="W81" i="21"/>
  <c r="N52" i="21"/>
  <c r="O105" i="21"/>
  <c r="N42" i="21"/>
  <c r="T133" i="21"/>
  <c r="N81" i="21"/>
  <c r="N78" i="21"/>
  <c r="T95" i="21"/>
  <c r="T21" i="21"/>
  <c r="O88" i="21"/>
  <c r="T89" i="21"/>
  <c r="N75" i="21"/>
  <c r="O76" i="21"/>
  <c r="G90" i="21"/>
  <c r="H90" i="21" s="1"/>
  <c r="V90" i="21" s="1"/>
  <c r="AE66" i="21"/>
  <c r="AG66" i="21" s="1"/>
  <c r="T35" i="21"/>
  <c r="N130" i="21"/>
  <c r="O104" i="21"/>
  <c r="S111" i="21"/>
  <c r="H108" i="21"/>
  <c r="V108" i="21" s="1"/>
  <c r="G64" i="21"/>
  <c r="S64" i="21" s="1"/>
  <c r="AE67" i="21"/>
  <c r="AG67" i="21" s="1"/>
  <c r="AH30" i="21"/>
  <c r="AK30" i="21" s="1"/>
  <c r="AL30" i="21" s="1"/>
  <c r="N17" i="21"/>
  <c r="T76" i="21"/>
  <c r="T23" i="21"/>
  <c r="AH23" i="21"/>
  <c r="AK23" i="21" s="1"/>
  <c r="AL23" i="21" s="1"/>
  <c r="AE45" i="21"/>
  <c r="AG45" i="21" s="1"/>
  <c r="T42" i="21"/>
  <c r="O106" i="21"/>
  <c r="N134" i="21"/>
  <c r="N135" i="21" s="1"/>
  <c r="N30" i="21"/>
  <c r="O42" i="21"/>
  <c r="O40" i="21"/>
  <c r="N95" i="21"/>
  <c r="N125" i="21"/>
  <c r="O53" i="21"/>
  <c r="T112" i="21"/>
  <c r="N123" i="21"/>
  <c r="AE23" i="21"/>
  <c r="AG23" i="21" s="1"/>
  <c r="AH21" i="21"/>
  <c r="AK21" i="21" s="1"/>
  <c r="AL21" i="21" s="1"/>
  <c r="AH25" i="21"/>
  <c r="AK25" i="21" s="1"/>
  <c r="AL25" i="21" s="1"/>
  <c r="G118" i="21"/>
  <c r="H118" i="21" s="1"/>
  <c r="V118" i="21" s="1"/>
  <c r="AE30" i="21"/>
  <c r="AG30" i="21" s="1"/>
  <c r="G53" i="21"/>
  <c r="H53" i="21" s="1"/>
  <c r="V53" i="21" s="1"/>
  <c r="AE27" i="21"/>
  <c r="AG27" i="21" s="1"/>
  <c r="I107" i="21"/>
  <c r="I29" i="21"/>
  <c r="N40" i="21"/>
  <c r="O45" i="21"/>
  <c r="T117" i="21"/>
  <c r="N69" i="21"/>
  <c r="N23" i="21"/>
  <c r="AH65" i="21"/>
  <c r="AK65" i="21" s="1"/>
  <c r="AL65" i="21" s="1"/>
  <c r="O81" i="21"/>
  <c r="Y81" i="21" s="1"/>
  <c r="I25" i="21"/>
  <c r="G98" i="21"/>
  <c r="S98" i="21" s="1"/>
  <c r="AH53" i="21"/>
  <c r="AK53" i="21" s="1"/>
  <c r="AL53" i="21" s="1"/>
  <c r="I81" i="21"/>
  <c r="G105" i="21"/>
  <c r="H105" i="21" s="1"/>
  <c r="V105" i="21" s="1"/>
  <c r="N36" i="21"/>
  <c r="N14" i="21"/>
  <c r="N54" i="21"/>
  <c r="N103" i="21"/>
  <c r="O30" i="21"/>
  <c r="T47" i="21"/>
  <c r="T45" i="21"/>
  <c r="T77" i="21"/>
  <c r="N48" i="21"/>
  <c r="N89" i="21"/>
  <c r="O29" i="21"/>
  <c r="N112" i="21"/>
  <c r="T132" i="21"/>
  <c r="G17" i="21"/>
  <c r="H17" i="21" s="1"/>
  <c r="G86" i="21"/>
  <c r="S86" i="21" s="1"/>
  <c r="G27" i="21"/>
  <c r="H27" i="21" s="1"/>
  <c r="V27" i="21" s="1"/>
  <c r="G73" i="21"/>
  <c r="H73" i="21" s="1"/>
  <c r="V73" i="21" s="1"/>
  <c r="O14" i="21"/>
  <c r="AH49" i="21"/>
  <c r="AK49" i="21" s="1"/>
  <c r="AL49" i="21" s="1"/>
  <c r="G76" i="21"/>
  <c r="H76" i="21" s="1"/>
  <c r="V76" i="21" s="1"/>
  <c r="I47" i="21"/>
  <c r="I61" i="21"/>
  <c r="T123" i="21"/>
  <c r="N76" i="21"/>
  <c r="T81" i="21"/>
  <c r="N98" i="21"/>
  <c r="T54" i="21"/>
  <c r="O132" i="21"/>
  <c r="AJ20" i="21"/>
  <c r="AH17" i="21"/>
  <c r="AK17" i="21" s="1"/>
  <c r="AL17" i="21" s="1"/>
  <c r="G21" i="21"/>
  <c r="H21" i="21" s="1"/>
  <c r="V21" i="21" s="1"/>
  <c r="H134" i="21"/>
  <c r="V134" i="21" s="1"/>
  <c r="AE49" i="21"/>
  <c r="AG49" i="21" s="1"/>
  <c r="I58" i="21"/>
  <c r="I68" i="21"/>
  <c r="O49" i="21"/>
  <c r="G23" i="21"/>
  <c r="S23" i="21" s="1"/>
  <c r="AE40" i="21"/>
  <c r="AG40" i="21" s="1"/>
  <c r="O34" i="21"/>
  <c r="T61" i="21"/>
  <c r="O27" i="21"/>
  <c r="N49" i="21"/>
  <c r="N96" i="21"/>
  <c r="N77" i="21"/>
  <c r="O125" i="21"/>
  <c r="AE17" i="21"/>
  <c r="AG17" i="21" s="1"/>
  <c r="H18" i="21"/>
  <c r="H67" i="21"/>
  <c r="V67" i="21" s="1"/>
  <c r="G29" i="21"/>
  <c r="H29" i="21" s="1"/>
  <c r="V29" i="21" s="1"/>
  <c r="G127" i="21"/>
  <c r="H127" i="21" s="1"/>
  <c r="V127" i="21" s="1"/>
  <c r="AH34" i="21"/>
  <c r="AK34" i="21" s="1"/>
  <c r="AL34" i="21" s="1"/>
  <c r="G89" i="21"/>
  <c r="H89" i="21" s="1"/>
  <c r="V89" i="21" s="1"/>
  <c r="I36" i="21"/>
  <c r="O77" i="21"/>
  <c r="G133" i="21"/>
  <c r="H133" i="21" s="1"/>
  <c r="V133" i="21" s="1"/>
  <c r="N27" i="21"/>
  <c r="N92" i="21"/>
  <c r="N25" i="21"/>
  <c r="N105" i="21"/>
  <c r="T29" i="21"/>
  <c r="T130" i="21"/>
  <c r="O127" i="21"/>
  <c r="AJ27" i="21"/>
  <c r="I17" i="21"/>
  <c r="I21" i="21"/>
  <c r="S67" i="21"/>
  <c r="X67" i="21" s="1"/>
  <c r="G68" i="21"/>
  <c r="H68" i="21" s="1"/>
  <c r="V68" i="21" s="1"/>
  <c r="G34" i="21"/>
  <c r="H34" i="21" s="1"/>
  <c r="V34" i="21" s="1"/>
  <c r="G78" i="21"/>
  <c r="S78" i="21" s="1"/>
  <c r="G123" i="21"/>
  <c r="R123" i="21" s="1"/>
  <c r="AH61" i="21"/>
  <c r="AK61" i="21" s="1"/>
  <c r="AL61" i="21" s="1"/>
  <c r="G36" i="21"/>
  <c r="H36" i="21" s="1"/>
  <c r="V36" i="21" s="1"/>
  <c r="AH42" i="21"/>
  <c r="AK42" i="21" s="1"/>
  <c r="AL42" i="21" s="1"/>
  <c r="T49" i="21"/>
  <c r="T27" i="21"/>
  <c r="O54" i="21"/>
  <c r="N133" i="21"/>
  <c r="I23" i="21"/>
  <c r="T103" i="21"/>
  <c r="T86" i="21"/>
  <c r="N16" i="21"/>
  <c r="T67" i="21"/>
  <c r="O48" i="21"/>
  <c r="G25" i="21"/>
  <c r="R25" i="21" s="1"/>
  <c r="AH68" i="21"/>
  <c r="AK68" i="21" s="1"/>
  <c r="AL68" i="21" s="1"/>
  <c r="AH69" i="21"/>
  <c r="AK69" i="21" s="1"/>
  <c r="AL69" i="21" s="1"/>
  <c r="I134" i="21"/>
  <c r="AE54" i="21"/>
  <c r="AG54" i="21" s="1"/>
  <c r="I27" i="21"/>
  <c r="N114" i="21"/>
  <c r="O84" i="21"/>
  <c r="AH40" i="21"/>
  <c r="AK40" i="21" s="1"/>
  <c r="AL40" i="21" s="1"/>
  <c r="I54" i="21"/>
  <c r="G40" i="21"/>
  <c r="S40" i="21" s="1"/>
  <c r="G112" i="21"/>
  <c r="R112" i="21" s="1"/>
  <c r="N84" i="21"/>
  <c r="O134" i="21"/>
  <c r="T20" i="21"/>
  <c r="N60" i="21"/>
  <c r="O17" i="21"/>
  <c r="O52" i="21"/>
  <c r="N34" i="21"/>
  <c r="AE16" i="21"/>
  <c r="AG16" i="21" s="1"/>
  <c r="T34" i="21"/>
  <c r="O36" i="21"/>
  <c r="N86" i="21"/>
  <c r="O123" i="21"/>
  <c r="T53" i="21"/>
  <c r="N21" i="21"/>
  <c r="N65" i="21"/>
  <c r="G16" i="21"/>
  <c r="H16" i="21" s="1"/>
  <c r="V16" i="21" s="1"/>
  <c r="O16" i="21"/>
  <c r="O133" i="21"/>
  <c r="T98" i="21"/>
  <c r="N118" i="21"/>
  <c r="T118" i="21"/>
  <c r="O103" i="21"/>
  <c r="T40" i="21"/>
  <c r="T78" i="21"/>
  <c r="O114" i="21"/>
  <c r="N53" i="21"/>
  <c r="O107" i="21"/>
  <c r="T96" i="21"/>
  <c r="AJ50" i="21"/>
  <c r="R18" i="21"/>
  <c r="T105" i="21"/>
  <c r="N107" i="21"/>
  <c r="N106" i="21"/>
  <c r="O98" i="21"/>
  <c r="O89" i="21"/>
  <c r="T90" i="21"/>
  <c r="T107" i="21"/>
  <c r="G49" i="21"/>
  <c r="S49" i="21" s="1"/>
  <c r="AH33" i="21"/>
  <c r="AK33" i="21" s="1"/>
  <c r="AL33" i="21" s="1"/>
  <c r="AE64" i="21"/>
  <c r="AG64" i="21" s="1"/>
  <c r="I34" i="21"/>
  <c r="I64" i="21"/>
  <c r="G96" i="21"/>
  <c r="R96" i="21" s="1"/>
  <c r="I67" i="21"/>
  <c r="AH67" i="21"/>
  <c r="AK67" i="21" s="1"/>
  <c r="AL67" i="21" s="1"/>
  <c r="G106" i="21"/>
  <c r="S106" i="21" s="1"/>
  <c r="AE42" i="21"/>
  <c r="AG42" i="21" s="1"/>
  <c r="N46" i="21"/>
  <c r="O61" i="21"/>
  <c r="T60" i="21"/>
  <c r="T101" i="21"/>
  <c r="H72" i="21"/>
  <c r="AC72" i="21" s="1"/>
  <c r="Y24" i="21"/>
  <c r="G45" i="21"/>
  <c r="H45" i="21" s="1"/>
  <c r="V45" i="21" s="1"/>
  <c r="G60" i="21"/>
  <c r="H60" i="21" s="1"/>
  <c r="V60" i="21" s="1"/>
  <c r="G63" i="21"/>
  <c r="R63" i="21" s="1"/>
  <c r="O87" i="21"/>
  <c r="N94" i="21"/>
  <c r="O44" i="21"/>
  <c r="T111" i="21"/>
  <c r="W83" i="21"/>
  <c r="I63" i="21"/>
  <c r="G61" i="21"/>
  <c r="H61" i="21" s="1"/>
  <c r="V61" i="21" s="1"/>
  <c r="G117" i="21"/>
  <c r="R117" i="21" s="1"/>
  <c r="G94" i="21"/>
  <c r="R94" i="21" s="1"/>
  <c r="O69" i="21"/>
  <c r="O94" i="21"/>
  <c r="N72" i="21"/>
  <c r="W72" i="21" s="1"/>
  <c r="O82" i="21"/>
  <c r="T82" i="21"/>
  <c r="T33" i="21"/>
  <c r="N47" i="21"/>
  <c r="N88" i="21"/>
  <c r="N117" i="21"/>
  <c r="G47" i="21"/>
  <c r="S47" i="21" s="1"/>
  <c r="G33" i="21"/>
  <c r="H33" i="21" s="1"/>
  <c r="G114" i="21"/>
  <c r="H114" i="21" s="1"/>
  <c r="V114" i="21" s="1"/>
  <c r="AH52" i="21"/>
  <c r="AK52" i="21" s="1"/>
  <c r="AL52" i="21" s="1"/>
  <c r="G82" i="21"/>
  <c r="H82" i="21" s="1"/>
  <c r="AE36" i="21"/>
  <c r="AG36" i="21" s="1"/>
  <c r="AH36" i="21"/>
  <c r="AK36" i="21" s="1"/>
  <c r="AL36" i="21" s="1"/>
  <c r="G51" i="21"/>
  <c r="H51" i="21" s="1"/>
  <c r="V51" i="21" s="1"/>
  <c r="N101" i="21"/>
  <c r="N82" i="21"/>
  <c r="T79" i="21"/>
  <c r="I115" i="21"/>
  <c r="G115" i="21"/>
  <c r="AE60" i="21"/>
  <c r="AG60" i="21" s="1"/>
  <c r="I60" i="21"/>
  <c r="T74" i="21"/>
  <c r="N63" i="21"/>
  <c r="T124" i="21"/>
  <c r="T93" i="21"/>
  <c r="N93" i="21"/>
  <c r="Y19" i="21"/>
  <c r="T58" i="21"/>
  <c r="T44" i="21"/>
  <c r="T115" i="21"/>
  <c r="T63" i="21"/>
  <c r="I22" i="21"/>
  <c r="H111" i="21"/>
  <c r="V111" i="21" s="1"/>
  <c r="AH58" i="21"/>
  <c r="AK58" i="21" s="1"/>
  <c r="AL58" i="21" s="1"/>
  <c r="Y83" i="21"/>
  <c r="G46" i="21"/>
  <c r="S46" i="21" s="1"/>
  <c r="I52" i="21"/>
  <c r="G119" i="21"/>
  <c r="T69" i="21"/>
  <c r="N58" i="21"/>
  <c r="O47" i="21"/>
  <c r="O58" i="21"/>
  <c r="O72" i="21"/>
  <c r="T94" i="21"/>
  <c r="T65" i="21"/>
  <c r="N120" i="21"/>
  <c r="T51" i="21"/>
  <c r="O101" i="21"/>
  <c r="AJ51" i="21"/>
  <c r="AD81" i="21"/>
  <c r="AH22" i="21"/>
  <c r="AK22" i="21" s="1"/>
  <c r="AL22" i="21" s="1"/>
  <c r="X83" i="21"/>
  <c r="AE69" i="21"/>
  <c r="AG69" i="21" s="1"/>
  <c r="G87" i="21"/>
  <c r="H87" i="21" s="1"/>
  <c r="V87" i="21" s="1"/>
  <c r="I65" i="21"/>
  <c r="AH44" i="21"/>
  <c r="AK44" i="21" s="1"/>
  <c r="AL44" i="21" s="1"/>
  <c r="I125" i="21"/>
  <c r="G125" i="21"/>
  <c r="I132" i="21"/>
  <c r="G132" i="21"/>
  <c r="O51" i="21"/>
  <c r="I131" i="21"/>
  <c r="G131" i="21"/>
  <c r="X81" i="21"/>
  <c r="N44" i="21"/>
  <c r="N74" i="21"/>
  <c r="T52" i="21"/>
  <c r="O65" i="21"/>
  <c r="O95" i="21"/>
  <c r="T120" i="21"/>
  <c r="AJ47" i="21"/>
  <c r="G22" i="21"/>
  <c r="S22" i="21" s="1"/>
  <c r="AH45" i="21"/>
  <c r="AK45" i="21" s="1"/>
  <c r="AL45" i="21" s="1"/>
  <c r="AD83" i="21"/>
  <c r="H107" i="21"/>
  <c r="V107" i="21" s="1"/>
  <c r="AE20" i="21"/>
  <c r="AG20" i="21" s="1"/>
  <c r="AE51" i="21"/>
  <c r="AG51" i="21" s="1"/>
  <c r="AH46" i="21"/>
  <c r="AK46" i="21" s="1"/>
  <c r="AL46" i="21" s="1"/>
  <c r="AC81" i="21"/>
  <c r="T72" i="21"/>
  <c r="S101" i="21"/>
  <c r="O22" i="21"/>
  <c r="N33" i="21"/>
  <c r="O124" i="21"/>
  <c r="O46" i="21"/>
  <c r="N61" i="21"/>
  <c r="N119" i="21"/>
  <c r="T114" i="21"/>
  <c r="N111" i="21"/>
  <c r="AE22" i="21"/>
  <c r="AG22" i="21" s="1"/>
  <c r="AE47" i="21"/>
  <c r="AG47" i="21" s="1"/>
  <c r="G95" i="21"/>
  <c r="H95" i="21" s="1"/>
  <c r="G52" i="21"/>
  <c r="S52" i="21" s="1"/>
  <c r="G79" i="21"/>
  <c r="R79" i="21" s="1"/>
  <c r="I101" i="21"/>
  <c r="G93" i="21"/>
  <c r="H93" i="21" s="1"/>
  <c r="V93" i="21" s="1"/>
  <c r="AH60" i="21"/>
  <c r="AK60" i="21" s="1"/>
  <c r="AL60" i="21" s="1"/>
  <c r="G75" i="21"/>
  <c r="H75" i="21" s="1"/>
  <c r="I30" i="21"/>
  <c r="G30" i="21"/>
  <c r="I109" i="21"/>
  <c r="G109" i="21"/>
  <c r="N22" i="21"/>
  <c r="S72" i="21"/>
  <c r="I51" i="21"/>
  <c r="O119" i="21"/>
  <c r="AJ63" i="21"/>
  <c r="G74" i="21"/>
  <c r="H74" i="21" s="1"/>
  <c r="N45" i="21"/>
  <c r="T88" i="21"/>
  <c r="N124" i="21"/>
  <c r="R101" i="21"/>
  <c r="AD101" i="21" s="1"/>
  <c r="O117" i="21"/>
  <c r="T46" i="21"/>
  <c r="O33" i="21"/>
  <c r="O112" i="21"/>
  <c r="O79" i="21"/>
  <c r="T134" i="21"/>
  <c r="T131" i="21"/>
  <c r="G58" i="21"/>
  <c r="S58" i="21" s="1"/>
  <c r="S107" i="21"/>
  <c r="AE46" i="21"/>
  <c r="AG46" i="21" s="1"/>
  <c r="G65" i="21"/>
  <c r="H65" i="21" s="1"/>
  <c r="G44" i="21"/>
  <c r="H44" i="21" s="1"/>
  <c r="V54" i="21"/>
  <c r="S54" i="21"/>
  <c r="R54" i="21"/>
  <c r="AC54" i="21" s="1"/>
  <c r="R99" i="21"/>
  <c r="H99" i="21"/>
  <c r="V99" i="21" s="1"/>
  <c r="S116" i="21"/>
  <c r="H71" i="21"/>
  <c r="R71" i="21"/>
  <c r="AJ57" i="21"/>
  <c r="H57" i="21"/>
  <c r="S57" i="21"/>
  <c r="R130" i="21"/>
  <c r="S94" i="21"/>
  <c r="R124" i="21"/>
  <c r="AD124" i="21" s="1"/>
  <c r="S130" i="21"/>
  <c r="S124" i="21"/>
  <c r="AJ71" i="21"/>
  <c r="H50" i="21"/>
  <c r="S73" i="21"/>
  <c r="R50" i="21"/>
  <c r="AJ48" i="21"/>
  <c r="AJ30" i="21"/>
  <c r="V39" i="21"/>
  <c r="R39" i="21"/>
  <c r="AC39" i="21" s="1"/>
  <c r="S39" i="21"/>
  <c r="H64" i="21"/>
  <c r="S59" i="21"/>
  <c r="S70" i="21"/>
  <c r="H70" i="21"/>
  <c r="AD70" i="21" s="1"/>
  <c r="V59" i="21"/>
  <c r="R59" i="21"/>
  <c r="AJ59" i="21"/>
  <c r="S77" i="21"/>
  <c r="AJ56" i="21"/>
  <c r="H104" i="21"/>
  <c r="V37" i="21"/>
  <c r="S20" i="21"/>
  <c r="AJ35" i="21"/>
  <c r="H100" i="21"/>
  <c r="V100" i="21" s="1"/>
  <c r="H128" i="21"/>
  <c r="V128" i="21" s="1"/>
  <c r="S33" i="21"/>
  <c r="AJ37" i="21"/>
  <c r="V56" i="21"/>
  <c r="S100" i="21"/>
  <c r="R110" i="21"/>
  <c r="R104" i="21"/>
  <c r="R91" i="21"/>
  <c r="S110" i="21"/>
  <c r="R120" i="21"/>
  <c r="S120" i="21"/>
  <c r="R128" i="21"/>
  <c r="S34" i="21"/>
  <c r="AJ39" i="21"/>
  <c r="R66" i="21"/>
  <c r="H66" i="21"/>
  <c r="R64" i="21"/>
  <c r="H116" i="21"/>
  <c r="V116" i="21" s="1"/>
  <c r="R85" i="21"/>
  <c r="AD85" i="21" s="1"/>
  <c r="S85" i="21"/>
  <c r="S62" i="21"/>
  <c r="S69" i="21"/>
  <c r="R62" i="21"/>
  <c r="AC62" i="21" s="1"/>
  <c r="R69" i="21"/>
  <c r="X69" i="21" s="1"/>
  <c r="AJ66" i="21"/>
  <c r="AJ61" i="21"/>
  <c r="H77" i="21"/>
  <c r="AC77" i="21" s="1"/>
  <c r="S37" i="21"/>
  <c r="H91" i="21"/>
  <c r="V91" i="21" s="1"/>
  <c r="R37" i="21"/>
  <c r="AC37" i="21" s="1"/>
  <c r="S28" i="21"/>
  <c r="R103" i="21"/>
  <c r="AC103" i="21" s="1"/>
  <c r="R28" i="21"/>
  <c r="H129" i="21"/>
  <c r="V129" i="21" s="1"/>
  <c r="S129" i="21"/>
  <c r="R126" i="21"/>
  <c r="S126" i="21"/>
  <c r="R127" i="21"/>
  <c r="S127" i="21"/>
  <c r="R56" i="21"/>
  <c r="AD56" i="21" s="1"/>
  <c r="R84" i="21"/>
  <c r="AC84" i="21" s="1"/>
  <c r="R121" i="21"/>
  <c r="S56" i="21"/>
  <c r="X56" i="21" s="1"/>
  <c r="AJ53" i="21"/>
  <c r="S84" i="21"/>
  <c r="X84" i="21" s="1"/>
  <c r="S121" i="21"/>
  <c r="AJ32" i="21"/>
  <c r="R32" i="21"/>
  <c r="AD32" i="21" s="1"/>
  <c r="S80" i="21"/>
  <c r="X19" i="21"/>
  <c r="H58" i="21"/>
  <c r="S97" i="21"/>
  <c r="R97" i="21"/>
  <c r="AJ68" i="21"/>
  <c r="AJ31" i="21"/>
  <c r="R80" i="21"/>
  <c r="AD80" i="21" s="1"/>
  <c r="S103" i="21"/>
  <c r="V80" i="21"/>
  <c r="X24" i="21"/>
  <c r="AJ43" i="21"/>
  <c r="AC24" i="21"/>
  <c r="W24" i="21"/>
  <c r="AD19" i="21"/>
  <c r="AD108" i="21"/>
  <c r="AD24" i="21"/>
  <c r="V19" i="21"/>
  <c r="AC19" i="21"/>
  <c r="W19" i="21"/>
  <c r="AJ19" i="21"/>
  <c r="S38" i="21"/>
  <c r="AJ55" i="21"/>
  <c r="R38" i="21"/>
  <c r="X38" i="21" s="1"/>
  <c r="AJ26" i="21"/>
  <c r="AJ24" i="21"/>
  <c r="AJ45" i="21"/>
  <c r="H26" i="21"/>
  <c r="R26" i="21"/>
  <c r="H31" i="21"/>
  <c r="S31" i="21"/>
  <c r="H55" i="21"/>
  <c r="V24" i="21"/>
  <c r="S32" i="21"/>
  <c r="R47" i="21"/>
  <c r="H47" i="21"/>
  <c r="H43" i="21"/>
  <c r="AD43" i="21" s="1"/>
  <c r="AJ38" i="21"/>
  <c r="V32" i="21"/>
  <c r="S29" i="21"/>
  <c r="S55" i="21"/>
  <c r="AJ41" i="21"/>
  <c r="V41" i="21"/>
  <c r="AD111" i="21"/>
  <c r="S41" i="21"/>
  <c r="R41" i="21"/>
  <c r="Y41" i="21" s="1"/>
  <c r="S43" i="21"/>
  <c r="X102" i="21"/>
  <c r="AD102" i="21"/>
  <c r="AD113" i="21"/>
  <c r="Y102" i="21"/>
  <c r="W102" i="21"/>
  <c r="AC102" i="21"/>
  <c r="AJ22" i="21"/>
  <c r="V38" i="21"/>
  <c r="W108" i="21"/>
  <c r="Y108" i="21"/>
  <c r="X108" i="21"/>
  <c r="AJ16" i="21"/>
  <c r="AI137" i="21"/>
  <c r="AI138" i="21" s="1"/>
  <c r="W122" i="21"/>
  <c r="V122" i="21"/>
  <c r="X122" i="21"/>
  <c r="Y122" i="21"/>
  <c r="AC122" i="21"/>
  <c r="AD122" i="21"/>
  <c r="Y113" i="21"/>
  <c r="AC113" i="21"/>
  <c r="X113" i="21"/>
  <c r="W113" i="21"/>
  <c r="R20" i="21" l="1"/>
  <c r="AC20" i="21" s="1"/>
  <c r="S42" i="21"/>
  <c r="S76" i="21"/>
  <c r="R40" i="21"/>
  <c r="H92" i="21"/>
  <c r="W35" i="21"/>
  <c r="Y35" i="21"/>
  <c r="AC35" i="21"/>
  <c r="S45" i="21"/>
  <c r="AJ65" i="21"/>
  <c r="X35" i="21"/>
  <c r="H46" i="21"/>
  <c r="V46" i="21" s="1"/>
  <c r="X97" i="21"/>
  <c r="H78" i="21"/>
  <c r="W78" i="21" s="1"/>
  <c r="R89" i="21"/>
  <c r="Y72" i="21"/>
  <c r="AD67" i="21"/>
  <c r="AC108" i="21"/>
  <c r="AC67" i="21"/>
  <c r="AC89" i="21"/>
  <c r="X39" i="21"/>
  <c r="AD92" i="21"/>
  <c r="Y130" i="21"/>
  <c r="W69" i="21"/>
  <c r="AD41" i="21"/>
  <c r="X41" i="21"/>
  <c r="AD103" i="21"/>
  <c r="N136" i="21"/>
  <c r="R17" i="21"/>
  <c r="AC17" i="21" s="1"/>
  <c r="AC101" i="21"/>
  <c r="Y67" i="21"/>
  <c r="H40" i="21"/>
  <c r="AC40" i="21" s="1"/>
  <c r="S96" i="21"/>
  <c r="R118" i="21"/>
  <c r="Y118" i="21" s="1"/>
  <c r="R42" i="21"/>
  <c r="AC42" i="21" s="1"/>
  <c r="Y124" i="21"/>
  <c r="S63" i="21"/>
  <c r="W84" i="21"/>
  <c r="S133" i="21"/>
  <c r="S53" i="21"/>
  <c r="Y50" i="21"/>
  <c r="S65" i="21"/>
  <c r="AJ23" i="21"/>
  <c r="S89" i="21"/>
  <c r="W89" i="21" s="1"/>
  <c r="AD18" i="21"/>
  <c r="S60" i="21"/>
  <c r="W67" i="21"/>
  <c r="S17" i="21"/>
  <c r="AD97" i="21"/>
  <c r="R48" i="21"/>
  <c r="AC48" i="21" s="1"/>
  <c r="R60" i="21"/>
  <c r="AC60" i="21" s="1"/>
  <c r="W103" i="21"/>
  <c r="W101" i="21"/>
  <c r="R98" i="21"/>
  <c r="R34" i="21"/>
  <c r="AD34" i="21" s="1"/>
  <c r="R51" i="21"/>
  <c r="AC51" i="21" s="1"/>
  <c r="H96" i="21"/>
  <c r="V96" i="21" s="1"/>
  <c r="H94" i="21"/>
  <c r="V94" i="21" s="1"/>
  <c r="H112" i="21"/>
  <c r="V112" i="21" s="1"/>
  <c r="W54" i="21"/>
  <c r="V48" i="21"/>
  <c r="R53" i="21"/>
  <c r="AD53" i="21" s="1"/>
  <c r="S112" i="21"/>
  <c r="X112" i="21" s="1"/>
  <c r="S16" i="21"/>
  <c r="R29" i="21"/>
  <c r="R16" i="21"/>
  <c r="AC16" i="21" s="1"/>
  <c r="S114" i="21"/>
  <c r="S118" i="21"/>
  <c r="R74" i="21"/>
  <c r="AJ25" i="21"/>
  <c r="AC32" i="21"/>
  <c r="AJ21" i="21"/>
  <c r="S92" i="21"/>
  <c r="W92" i="21" s="1"/>
  <c r="W107" i="21"/>
  <c r="R78" i="21"/>
  <c r="AC38" i="21"/>
  <c r="Y85" i="21"/>
  <c r="W85" i="21"/>
  <c r="H88" i="21"/>
  <c r="V88" i="21" s="1"/>
  <c r="R65" i="21"/>
  <c r="W65" i="21" s="1"/>
  <c r="W28" i="21"/>
  <c r="W71" i="21"/>
  <c r="S68" i="21"/>
  <c r="AJ33" i="21"/>
  <c r="S74" i="21"/>
  <c r="H23" i="21"/>
  <c r="H49" i="21"/>
  <c r="V49" i="21" s="1"/>
  <c r="R90" i="21"/>
  <c r="AD90" i="21" s="1"/>
  <c r="S79" i="21"/>
  <c r="R88" i="21"/>
  <c r="H98" i="21"/>
  <c r="V98" i="21" s="1"/>
  <c r="R23" i="21"/>
  <c r="X23" i="21" s="1"/>
  <c r="R49" i="21"/>
  <c r="Y49" i="21" s="1"/>
  <c r="H25" i="21"/>
  <c r="V25" i="21" s="1"/>
  <c r="AJ29" i="21"/>
  <c r="R68" i="21"/>
  <c r="R114" i="21"/>
  <c r="AC114" i="21" s="1"/>
  <c r="R133" i="21"/>
  <c r="AD69" i="21"/>
  <c r="S90" i="21"/>
  <c r="AJ34" i="21"/>
  <c r="S48" i="21"/>
  <c r="Y62" i="21"/>
  <c r="R76" i="21"/>
  <c r="Y76" i="21" s="1"/>
  <c r="AC85" i="21"/>
  <c r="X85" i="21"/>
  <c r="Y110" i="21"/>
  <c r="Y59" i="21"/>
  <c r="AJ67" i="21"/>
  <c r="AD39" i="21"/>
  <c r="AD20" i="21"/>
  <c r="Y111" i="21"/>
  <c r="X134" i="21"/>
  <c r="AC97" i="21"/>
  <c r="V65" i="21"/>
  <c r="AD134" i="21"/>
  <c r="AD112" i="21"/>
  <c r="Y97" i="21"/>
  <c r="X37" i="21"/>
  <c r="R105" i="21"/>
  <c r="AD105" i="21" s="1"/>
  <c r="S27" i="21"/>
  <c r="V18" i="21"/>
  <c r="W97" i="21"/>
  <c r="AJ69" i="21"/>
  <c r="Y39" i="21"/>
  <c r="S105" i="21"/>
  <c r="W39" i="21"/>
  <c r="S44" i="21"/>
  <c r="AG137" i="21"/>
  <c r="AG138" i="21" s="1"/>
  <c r="AD60" i="21"/>
  <c r="S36" i="21"/>
  <c r="R86" i="21"/>
  <c r="X18" i="21"/>
  <c r="R21" i="21"/>
  <c r="X32" i="21"/>
  <c r="S25" i="21"/>
  <c r="X68" i="21"/>
  <c r="H123" i="21"/>
  <c r="V123" i="21" s="1"/>
  <c r="W62" i="21"/>
  <c r="R52" i="21"/>
  <c r="X59" i="21"/>
  <c r="AJ44" i="21"/>
  <c r="R36" i="21"/>
  <c r="AC36" i="21" s="1"/>
  <c r="T137" i="21"/>
  <c r="T138" i="21" s="1"/>
  <c r="V74" i="21"/>
  <c r="AJ17" i="21"/>
  <c r="AC18" i="21"/>
  <c r="AC111" i="21"/>
  <c r="AJ49" i="21"/>
  <c r="Y28" i="21"/>
  <c r="H63" i="21"/>
  <c r="AD63" i="21" s="1"/>
  <c r="AD62" i="21"/>
  <c r="H86" i="21"/>
  <c r="V86" i="21" s="1"/>
  <c r="S87" i="21"/>
  <c r="S75" i="21"/>
  <c r="AJ42" i="21"/>
  <c r="R106" i="21"/>
  <c r="X26" i="21"/>
  <c r="Y84" i="21"/>
  <c r="W18" i="21"/>
  <c r="H79" i="21"/>
  <c r="AD79" i="21" s="1"/>
  <c r="S123" i="21"/>
  <c r="Y134" i="21"/>
  <c r="Y18" i="21"/>
  <c r="X54" i="21"/>
  <c r="AJ36" i="21"/>
  <c r="R75" i="21"/>
  <c r="AD75" i="21" s="1"/>
  <c r="N137" i="21"/>
  <c r="N138" i="21" s="1"/>
  <c r="O137" i="21"/>
  <c r="O138" i="21" s="1"/>
  <c r="H17" i="20" s="1"/>
  <c r="E9" i="20" s="1"/>
  <c r="W134" i="21"/>
  <c r="X103" i="21"/>
  <c r="R27" i="21"/>
  <c r="AD27" i="21" s="1"/>
  <c r="Y71" i="21"/>
  <c r="S21" i="21"/>
  <c r="W112" i="21"/>
  <c r="AD89" i="21"/>
  <c r="Y55" i="21"/>
  <c r="R58" i="21"/>
  <c r="AC58" i="21" s="1"/>
  <c r="W126" i="21"/>
  <c r="AJ46" i="21"/>
  <c r="R95" i="21"/>
  <c r="AD95" i="21" s="1"/>
  <c r="R73" i="21"/>
  <c r="AD73" i="21" s="1"/>
  <c r="H106" i="21"/>
  <c r="V106" i="21" s="1"/>
  <c r="AC134" i="21"/>
  <c r="AC112" i="21"/>
  <c r="W41" i="21"/>
  <c r="W90" i="21"/>
  <c r="AD28" i="21"/>
  <c r="Y34" i="21"/>
  <c r="R46" i="21"/>
  <c r="AJ52" i="21"/>
  <c r="W59" i="21"/>
  <c r="AJ40" i="21"/>
  <c r="S117" i="21"/>
  <c r="S51" i="21"/>
  <c r="AL137" i="21"/>
  <c r="AL138" i="21" s="1"/>
  <c r="S30" i="21"/>
  <c r="H30" i="21"/>
  <c r="R30" i="21"/>
  <c r="R119" i="21"/>
  <c r="S119" i="21"/>
  <c r="W124" i="21"/>
  <c r="X107" i="21"/>
  <c r="Y56" i="21"/>
  <c r="AC127" i="21"/>
  <c r="W37" i="21"/>
  <c r="W56" i="21"/>
  <c r="Y69" i="21"/>
  <c r="AC124" i="21"/>
  <c r="Y107" i="21"/>
  <c r="W111" i="21"/>
  <c r="AC41" i="21"/>
  <c r="W32" i="21"/>
  <c r="Y80" i="21"/>
  <c r="W121" i="21"/>
  <c r="X62" i="21"/>
  <c r="S82" i="21"/>
  <c r="H117" i="21"/>
  <c r="V117" i="21" s="1"/>
  <c r="R44" i="21"/>
  <c r="AC44" i="21" s="1"/>
  <c r="H132" i="21"/>
  <c r="S132" i="21"/>
  <c r="R132" i="21"/>
  <c r="X124" i="21"/>
  <c r="AC99" i="21"/>
  <c r="AD99" i="21"/>
  <c r="Y32" i="21"/>
  <c r="AJ58" i="21"/>
  <c r="X20" i="21"/>
  <c r="AC28" i="21"/>
  <c r="AD42" i="21"/>
  <c r="Y101" i="21"/>
  <c r="Y103" i="21"/>
  <c r="X99" i="21"/>
  <c r="W130" i="21"/>
  <c r="W80" i="21"/>
  <c r="AD37" i="21"/>
  <c r="AD48" i="21"/>
  <c r="X48" i="21"/>
  <c r="R87" i="21"/>
  <c r="AD87" i="21" s="1"/>
  <c r="AD84" i="21"/>
  <c r="X80" i="21"/>
  <c r="AC80" i="21"/>
  <c r="AC59" i="21"/>
  <c r="AD59" i="21"/>
  <c r="AC130" i="21"/>
  <c r="X101" i="21"/>
  <c r="W20" i="21"/>
  <c r="X130" i="21"/>
  <c r="R22" i="21"/>
  <c r="AC53" i="21"/>
  <c r="AD64" i="21"/>
  <c r="R61" i="21"/>
  <c r="R82" i="21"/>
  <c r="Y37" i="21"/>
  <c r="H125" i="21"/>
  <c r="R125" i="21"/>
  <c r="S125" i="21"/>
  <c r="Y20" i="21"/>
  <c r="AD38" i="21"/>
  <c r="W31" i="21"/>
  <c r="X28" i="21"/>
  <c r="V95" i="21"/>
  <c r="W38" i="21"/>
  <c r="H22" i="21"/>
  <c r="V22" i="21" s="1"/>
  <c r="V72" i="21"/>
  <c r="R45" i="21"/>
  <c r="W45" i="21" s="1"/>
  <c r="X45" i="21"/>
  <c r="V82" i="21"/>
  <c r="V33" i="21"/>
  <c r="AJ60" i="21"/>
  <c r="S95" i="21"/>
  <c r="Y54" i="21"/>
  <c r="H115" i="21"/>
  <c r="R115" i="21"/>
  <c r="S115" i="21"/>
  <c r="W57" i="21"/>
  <c r="AC69" i="21"/>
  <c r="Y38" i="21"/>
  <c r="W99" i="21"/>
  <c r="AD130" i="21"/>
  <c r="X72" i="21"/>
  <c r="H52" i="21"/>
  <c r="V52" i="21" s="1"/>
  <c r="R33" i="21"/>
  <c r="AD33" i="21" s="1"/>
  <c r="S93" i="21"/>
  <c r="AD54" i="21"/>
  <c r="H109" i="21"/>
  <c r="S109" i="21"/>
  <c r="R109" i="21"/>
  <c r="H131" i="21"/>
  <c r="S131" i="21"/>
  <c r="R131" i="21"/>
  <c r="AD107" i="21"/>
  <c r="H119" i="21"/>
  <c r="W66" i="21"/>
  <c r="X111" i="21"/>
  <c r="AC107" i="21"/>
  <c r="Y99" i="21"/>
  <c r="AD72" i="21"/>
  <c r="AC56" i="21"/>
  <c r="S61" i="21"/>
  <c r="X120" i="21"/>
  <c r="Y104" i="21"/>
  <c r="R93" i="21"/>
  <c r="AD93" i="21" s="1"/>
  <c r="V75" i="21"/>
  <c r="V44" i="21"/>
  <c r="V71" i="21"/>
  <c r="AC71" i="21"/>
  <c r="X57" i="21"/>
  <c r="AD57" i="21"/>
  <c r="Y57" i="21"/>
  <c r="AC57" i="21"/>
  <c r="V57" i="21"/>
  <c r="X71" i="21"/>
  <c r="AD71" i="21"/>
  <c r="W50" i="21"/>
  <c r="AC50" i="21"/>
  <c r="V50" i="21"/>
  <c r="AD50" i="21"/>
  <c r="X50" i="21"/>
  <c r="X64" i="21"/>
  <c r="V64" i="21"/>
  <c r="Y64" i="21"/>
  <c r="AC64" i="21"/>
  <c r="W110" i="21"/>
  <c r="X110" i="21"/>
  <c r="AC110" i="21"/>
  <c r="X70" i="21"/>
  <c r="AC70" i="21"/>
  <c r="W70" i="21"/>
  <c r="W64" i="21"/>
  <c r="Y70" i="21"/>
  <c r="AD110" i="21"/>
  <c r="V70" i="21"/>
  <c r="AC104" i="21"/>
  <c r="W104" i="21"/>
  <c r="W120" i="21"/>
  <c r="X128" i="21"/>
  <c r="W100" i="21"/>
  <c r="AC100" i="21"/>
  <c r="AD100" i="21"/>
  <c r="W128" i="21"/>
  <c r="AC128" i="21"/>
  <c r="AC92" i="21"/>
  <c r="Y92" i="21"/>
  <c r="Y100" i="21"/>
  <c r="AD128" i="21"/>
  <c r="X100" i="21"/>
  <c r="V92" i="21"/>
  <c r="Y128" i="21"/>
  <c r="X104" i="21"/>
  <c r="V104" i="21"/>
  <c r="AC66" i="21"/>
  <c r="X116" i="21"/>
  <c r="AD104" i="21"/>
  <c r="X66" i="21"/>
  <c r="Y66" i="21"/>
  <c r="V66" i="21"/>
  <c r="AD66" i="21"/>
  <c r="X121" i="21"/>
  <c r="AD120" i="21"/>
  <c r="Y120" i="21"/>
  <c r="Y129" i="21"/>
  <c r="AC120" i="21"/>
  <c r="W129" i="21"/>
  <c r="AC116" i="21"/>
  <c r="Y127" i="21"/>
  <c r="AD116" i="21"/>
  <c r="X129" i="21"/>
  <c r="AD121" i="21"/>
  <c r="X77" i="21"/>
  <c r="X127" i="21"/>
  <c r="W77" i="21"/>
  <c r="AC121" i="21"/>
  <c r="Y77" i="21"/>
  <c r="Y121" i="21"/>
  <c r="AD77" i="21"/>
  <c r="Y116" i="21"/>
  <c r="V77" i="21"/>
  <c r="W127" i="21"/>
  <c r="AD129" i="21"/>
  <c r="AD127" i="21"/>
  <c r="AC129" i="21"/>
  <c r="W116" i="21"/>
  <c r="AC26" i="21"/>
  <c r="AD26" i="21"/>
  <c r="AC91" i="21"/>
  <c r="W26" i="21"/>
  <c r="W91" i="21"/>
  <c r="X91" i="21"/>
  <c r="V58" i="21"/>
  <c r="AD91" i="21"/>
  <c r="Y91" i="21"/>
  <c r="X43" i="21"/>
  <c r="Y126" i="21"/>
  <c r="X126" i="21"/>
  <c r="AD126" i="21"/>
  <c r="AC126" i="21"/>
  <c r="W43" i="21"/>
  <c r="Y26" i="21"/>
  <c r="V26" i="21"/>
  <c r="AC43" i="21"/>
  <c r="AD31" i="21"/>
  <c r="V31" i="21"/>
  <c r="V43" i="21"/>
  <c r="Y43" i="21"/>
  <c r="Y31" i="21"/>
  <c r="V55" i="21"/>
  <c r="W55" i="21"/>
  <c r="AC55" i="21"/>
  <c r="AD55" i="21"/>
  <c r="X31" i="21"/>
  <c r="X55" i="21"/>
  <c r="AC31" i="21"/>
  <c r="W47" i="21"/>
  <c r="AD47" i="21"/>
  <c r="V47" i="21"/>
  <c r="X47" i="21"/>
  <c r="AC47" i="21"/>
  <c r="Y47" i="21"/>
  <c r="V23" i="21"/>
  <c r="AD17" i="21"/>
  <c r="V17" i="21"/>
  <c r="W17" i="21"/>
  <c r="X17" i="21"/>
  <c r="Y48" i="21" l="1"/>
  <c r="AD45" i="21"/>
  <c r="W42" i="21"/>
  <c r="Y90" i="21"/>
  <c r="AD88" i="21"/>
  <c r="W60" i="21"/>
  <c r="W133" i="21"/>
  <c r="X78" i="21"/>
  <c r="Y16" i="21"/>
  <c r="Y53" i="21"/>
  <c r="AD36" i="21"/>
  <c r="AC90" i="21"/>
  <c r="X34" i="21"/>
  <c r="V78" i="21"/>
  <c r="Y68" i="21"/>
  <c r="AD76" i="21"/>
  <c r="Y78" i="21"/>
  <c r="W34" i="21"/>
  <c r="W123" i="21"/>
  <c r="W53" i="21"/>
  <c r="W46" i="21"/>
  <c r="X36" i="21"/>
  <c r="AC79" i="21"/>
  <c r="V79" i="21"/>
  <c r="Y106" i="21"/>
  <c r="Y79" i="21"/>
  <c r="W25" i="21"/>
  <c r="X40" i="21"/>
  <c r="AC63" i="21"/>
  <c r="W106" i="21"/>
  <c r="X63" i="21"/>
  <c r="X123" i="21"/>
  <c r="W88" i="21"/>
  <c r="AC123" i="21"/>
  <c r="AD123" i="21"/>
  <c r="Y123" i="21"/>
  <c r="AD40" i="21"/>
  <c r="W40" i="21"/>
  <c r="X49" i="21"/>
  <c r="Y27" i="21"/>
  <c r="W74" i="21"/>
  <c r="X53" i="21"/>
  <c r="AC68" i="21"/>
  <c r="AD133" i="21"/>
  <c r="Y60" i="21"/>
  <c r="AC118" i="21"/>
  <c r="AC133" i="21"/>
  <c r="AD114" i="21"/>
  <c r="W68" i="21"/>
  <c r="W51" i="21"/>
  <c r="X133" i="21"/>
  <c r="AD74" i="21"/>
  <c r="AD68" i="21"/>
  <c r="Y133" i="21"/>
  <c r="X114" i="21"/>
  <c r="Y114" i="21"/>
  <c r="AC27" i="21"/>
  <c r="Y89" i="21"/>
  <c r="AC49" i="21"/>
  <c r="Y17" i="21"/>
  <c r="X58" i="21"/>
  <c r="AD16" i="21"/>
  <c r="AD137" i="21" s="1"/>
  <c r="AD138" i="21" s="1"/>
  <c r="AC34" i="21"/>
  <c r="W76" i="21"/>
  <c r="AC76" i="21"/>
  <c r="AD29" i="21"/>
  <c r="Y29" i="21"/>
  <c r="W29" i="21"/>
  <c r="AC25" i="21"/>
  <c r="X79" i="21"/>
  <c r="W118" i="21"/>
  <c r="X118" i="21"/>
  <c r="AD98" i="21"/>
  <c r="X60" i="21"/>
  <c r="Y112" i="21"/>
  <c r="AC29" i="21"/>
  <c r="AC65" i="21"/>
  <c r="AD118" i="21"/>
  <c r="W96" i="21"/>
  <c r="W114" i="21"/>
  <c r="W79" i="21"/>
  <c r="AC88" i="21"/>
  <c r="Y63" i="21"/>
  <c r="X92" i="21"/>
  <c r="AD23" i="21"/>
  <c r="Y25" i="21"/>
  <c r="Y40" i="21"/>
  <c r="AC78" i="21"/>
  <c r="Y96" i="21"/>
  <c r="X46" i="21"/>
  <c r="X98" i="21"/>
  <c r="W16" i="21"/>
  <c r="AD46" i="21"/>
  <c r="X65" i="21"/>
  <c r="X90" i="21"/>
  <c r="X25" i="21"/>
  <c r="X42" i="21"/>
  <c r="Y45" i="21"/>
  <c r="AD25" i="21"/>
  <c r="X21" i="21"/>
  <c r="W49" i="21"/>
  <c r="X74" i="21"/>
  <c r="AD49" i="21"/>
  <c r="Y46" i="21"/>
  <c r="Y51" i="21"/>
  <c r="X89" i="21"/>
  <c r="Y23" i="21"/>
  <c r="X96" i="21"/>
  <c r="Y94" i="21"/>
  <c r="AD21" i="21"/>
  <c r="X27" i="21"/>
  <c r="AC74" i="21"/>
  <c r="X88" i="21"/>
  <c r="X29" i="21"/>
  <c r="AC23" i="21"/>
  <c r="AD94" i="21"/>
  <c r="Y42" i="21"/>
  <c r="AC86" i="21"/>
  <c r="W98" i="21"/>
  <c r="AD51" i="21"/>
  <c r="AJ137" i="21"/>
  <c r="AJ138" i="21" s="1"/>
  <c r="AC46" i="21"/>
  <c r="AC98" i="21"/>
  <c r="W94" i="21"/>
  <c r="Y65" i="21"/>
  <c r="AD78" i="21"/>
  <c r="AD65" i="21"/>
  <c r="W48" i="21"/>
  <c r="AD22" i="21"/>
  <c r="W23" i="21"/>
  <c r="X94" i="21"/>
  <c r="AC96" i="21"/>
  <c r="Y88" i="21"/>
  <c r="V40" i="21"/>
  <c r="AD96" i="21"/>
  <c r="W63" i="21"/>
  <c r="V63" i="21"/>
  <c r="Y86" i="21"/>
  <c r="Y98" i="21"/>
  <c r="AC94" i="21"/>
  <c r="X16" i="21"/>
  <c r="Y74" i="21"/>
  <c r="X76" i="21"/>
  <c r="X61" i="21"/>
  <c r="W58" i="21"/>
  <c r="AC95" i="21"/>
  <c r="AD58" i="21"/>
  <c r="X117" i="21"/>
  <c r="AC106" i="21"/>
  <c r="W105" i="21"/>
  <c r="X73" i="21"/>
  <c r="Y22" i="21"/>
  <c r="AC75" i="21"/>
  <c r="W73" i="21"/>
  <c r="X106" i="21"/>
  <c r="X105" i="21"/>
  <c r="X86" i="21"/>
  <c r="W117" i="21"/>
  <c r="AD52" i="21"/>
  <c r="W21" i="21"/>
  <c r="AC105" i="21"/>
  <c r="AD106" i="21"/>
  <c r="W86" i="21"/>
  <c r="Y105" i="21"/>
  <c r="W36" i="21"/>
  <c r="S137" i="21"/>
  <c r="S138" i="21" s="1"/>
  <c r="Y95" i="21"/>
  <c r="AC73" i="21"/>
  <c r="AC21" i="21"/>
  <c r="R137" i="21"/>
  <c r="R138" i="21" s="1"/>
  <c r="Y73" i="21"/>
  <c r="W27" i="21"/>
  <c r="X75" i="21"/>
  <c r="AD86" i="21"/>
  <c r="Y58" i="21"/>
  <c r="W75" i="21"/>
  <c r="X51" i="21"/>
  <c r="Y44" i="21"/>
  <c r="Y75" i="21"/>
  <c r="AC87" i="21"/>
  <c r="AC117" i="21"/>
  <c r="Y82" i="21"/>
  <c r="Y21" i="21"/>
  <c r="AC93" i="21"/>
  <c r="Y36" i="21"/>
  <c r="AC82" i="21"/>
  <c r="W93" i="21"/>
  <c r="V132" i="21"/>
  <c r="AD132" i="21"/>
  <c r="AC132" i="21"/>
  <c r="Y132" i="21"/>
  <c r="X132" i="21"/>
  <c r="W132" i="21"/>
  <c r="V119" i="21"/>
  <c r="AD119" i="21"/>
  <c r="X119" i="21"/>
  <c r="Y119" i="21"/>
  <c r="W119" i="21"/>
  <c r="AC119" i="21"/>
  <c r="X33" i="21"/>
  <c r="AC45" i="21"/>
  <c r="AC52" i="21"/>
  <c r="X87" i="21"/>
  <c r="W82" i="21"/>
  <c r="V30" i="21"/>
  <c r="Y30" i="21"/>
  <c r="W30" i="21"/>
  <c r="AD30" i="21"/>
  <c r="X30" i="21"/>
  <c r="AC30" i="21"/>
  <c r="W52" i="21"/>
  <c r="V131" i="21"/>
  <c r="Y131" i="21"/>
  <c r="AD131" i="21"/>
  <c r="AC131" i="21"/>
  <c r="X131" i="21"/>
  <c r="W131" i="21"/>
  <c r="V125" i="21"/>
  <c r="AD125" i="21"/>
  <c r="W125" i="21"/>
  <c r="AC125" i="21"/>
  <c r="X125" i="21"/>
  <c r="Y125" i="21"/>
  <c r="W44" i="21"/>
  <c r="AD82" i="21"/>
  <c r="Y61" i="21"/>
  <c r="AC61" i="21"/>
  <c r="X22" i="21"/>
  <c r="X52" i="21"/>
  <c r="Y93" i="21"/>
  <c r="W61" i="21"/>
  <c r="Y87" i="21"/>
  <c r="W87" i="21"/>
  <c r="V115" i="21"/>
  <c r="AC115" i="21"/>
  <c r="X115" i="21"/>
  <c r="W115" i="21"/>
  <c r="Y115" i="21"/>
  <c r="AD115" i="21"/>
  <c r="W22" i="21"/>
  <c r="Y52" i="21"/>
  <c r="AD117" i="21"/>
  <c r="W95" i="21"/>
  <c r="X95" i="21"/>
  <c r="Y33" i="21"/>
  <c r="AC33" i="21"/>
  <c r="AD44" i="21"/>
  <c r="X44" i="21"/>
  <c r="AC22" i="21"/>
  <c r="Y117" i="21"/>
  <c r="V109" i="21"/>
  <c r="AC109" i="21"/>
  <c r="Y109" i="21"/>
  <c r="W109" i="21"/>
  <c r="X109" i="21"/>
  <c r="AD109" i="21"/>
  <c r="AD61" i="21"/>
  <c r="X93" i="21"/>
  <c r="W33" i="21"/>
  <c r="X82" i="21"/>
  <c r="X137" i="21" l="1"/>
  <c r="X138" i="21" s="1"/>
  <c r="W137" i="21"/>
  <c r="W138" i="21" s="1"/>
  <c r="H25" i="20"/>
  <c r="Q27" i="20" s="1"/>
  <c r="AC137" i="21"/>
  <c r="AC138" i="21" s="1"/>
  <c r="I10" i="21" s="1"/>
  <c r="AR61" i="21" s="1"/>
  <c r="U61" i="21" s="1"/>
  <c r="Y137" i="21"/>
  <c r="Y138" i="21" s="1"/>
  <c r="V137" i="21"/>
  <c r="V138" i="21" s="1"/>
  <c r="AR64" i="21" l="1"/>
  <c r="U64" i="21" s="1"/>
  <c r="AR44" i="21"/>
  <c r="U44" i="21" s="1"/>
  <c r="AR43" i="21"/>
  <c r="U43" i="21" s="1"/>
  <c r="AR63" i="21"/>
  <c r="U63" i="21" s="1"/>
  <c r="AR29" i="21"/>
  <c r="U29" i="21" s="1"/>
  <c r="AR69" i="21"/>
  <c r="U69" i="21" s="1"/>
  <c r="AS37" i="21"/>
  <c r="AR70" i="21"/>
  <c r="U70" i="21" s="1"/>
  <c r="AR60" i="21"/>
  <c r="U60" i="21" s="1"/>
  <c r="AR67" i="21"/>
  <c r="U67" i="21" s="1"/>
  <c r="AS38" i="21"/>
  <c r="AR16" i="21"/>
  <c r="AR137" i="21" s="1"/>
  <c r="AR138" i="21" s="1"/>
  <c r="AR45" i="21"/>
  <c r="U45" i="21" s="1"/>
  <c r="AR30" i="21"/>
  <c r="U30" i="21" s="1"/>
  <c r="AR58" i="21"/>
  <c r="U58" i="21" s="1"/>
  <c r="AR27" i="21"/>
  <c r="U27" i="21" s="1"/>
  <c r="AR51" i="21"/>
  <c r="U51" i="21" s="1"/>
  <c r="AR48" i="21"/>
  <c r="U48" i="21" s="1"/>
  <c r="AR36" i="21"/>
  <c r="U36" i="21" s="1"/>
  <c r="AR38" i="21"/>
  <c r="U38" i="21" s="1"/>
  <c r="AR24" i="21"/>
  <c r="U24" i="21" s="1"/>
  <c r="AR33" i="21"/>
  <c r="U33" i="21" s="1"/>
  <c r="AR68" i="21"/>
  <c r="U68" i="21" s="1"/>
  <c r="AR34" i="21"/>
  <c r="U34" i="21" s="1"/>
  <c r="AR17" i="21"/>
  <c r="AR40" i="21"/>
  <c r="U40" i="21" s="1"/>
  <c r="AR66" i="21"/>
  <c r="U66" i="21" s="1"/>
  <c r="AR18" i="21"/>
  <c r="AR19" i="21"/>
  <c r="AR42" i="21"/>
  <c r="U42" i="21" s="1"/>
  <c r="AR59" i="21"/>
  <c r="U59" i="21" s="1"/>
  <c r="AR32" i="21"/>
  <c r="U32" i="21" s="1"/>
  <c r="AR35" i="21"/>
  <c r="U35" i="21" s="1"/>
  <c r="AR20" i="21"/>
  <c r="U20" i="21" s="1"/>
  <c r="AR23" i="21"/>
  <c r="U23" i="21" s="1"/>
  <c r="AR56" i="21"/>
  <c r="U56" i="21" s="1"/>
  <c r="AR41" i="21"/>
  <c r="U41" i="21" s="1"/>
  <c r="AR65" i="21"/>
  <c r="U65" i="21" s="1"/>
  <c r="AR22" i="21"/>
  <c r="U22" i="21" s="1"/>
  <c r="AR53" i="21"/>
  <c r="U53" i="21" s="1"/>
  <c r="AR52" i="21"/>
  <c r="U52" i="21" s="1"/>
  <c r="AR49" i="21"/>
  <c r="U49" i="21" s="1"/>
  <c r="AR21" i="21"/>
  <c r="U21" i="21" s="1"/>
  <c r="AR62" i="21"/>
  <c r="U62" i="21" s="1"/>
  <c r="AR26" i="21"/>
  <c r="U26" i="21" s="1"/>
  <c r="AR57" i="21"/>
  <c r="U57" i="21" s="1"/>
  <c r="AR25" i="21"/>
  <c r="U25" i="21" s="1"/>
  <c r="AR55" i="21"/>
  <c r="U55" i="21" s="1"/>
  <c r="AR50" i="21"/>
  <c r="U50" i="21" s="1"/>
  <c r="AR39" i="21"/>
  <c r="U39" i="21" s="1"/>
  <c r="U16" i="21"/>
  <c r="U137" i="21" s="1"/>
  <c r="U138" i="21" s="1"/>
  <c r="AR28" i="21"/>
  <c r="U28" i="21" s="1"/>
  <c r="U18" i="21"/>
  <c r="AR54" i="21"/>
  <c r="U54" i="21" s="1"/>
  <c r="AR37" i="21"/>
  <c r="U37" i="21" s="1"/>
  <c r="AR46" i="21"/>
  <c r="U46" i="21" s="1"/>
  <c r="AR71" i="21"/>
  <c r="U71" i="21" s="1"/>
  <c r="AR47" i="21"/>
  <c r="U47" i="21" s="1"/>
  <c r="U17" i="21"/>
  <c r="U19" i="21"/>
  <c r="AR31" i="21"/>
  <c r="U31"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Vermeij, Izak</author>
  </authors>
  <commentList>
    <comment ref="H19" authorId="0" shapeId="0" xr:uid="{DD082A20-A52E-4258-B1FA-7BBB70BB3067}">
      <text>
        <r>
          <rPr>
            <sz val="12"/>
            <color indexed="81"/>
            <rFont val="Calibri"/>
            <family val="2"/>
          </rPr>
          <t>Vanwege leklucht zal de gerealiseerde reductie maximaal 95% zijn.</t>
        </r>
        <r>
          <rPr>
            <sz val="9"/>
            <color indexed="81"/>
            <rFont val="Tahoma"/>
            <family val="2"/>
          </rPr>
          <t xml:space="preserve">
</t>
        </r>
      </text>
    </comment>
    <comment ref="H24" authorId="0" shapeId="0" xr:uid="{851490FC-3F87-4346-BEB6-CEB5D5D16FB5}">
      <text>
        <r>
          <rPr>
            <sz val="12"/>
            <color indexed="81"/>
            <rFont val="Calibri"/>
            <family val="2"/>
          </rPr>
          <t xml:space="preserve">Vanwege leklucht zal de gerealiseerde reductie bij stoffilter maximaal 95% zijn en wordt 99% niet gerealiseerd.
</t>
        </r>
        <r>
          <rPr>
            <sz val="9"/>
            <color indexed="81"/>
            <rFont val="Tahoma"/>
            <family val="2"/>
          </rPr>
          <t xml:space="preserve">
</t>
        </r>
      </text>
    </comment>
    <comment ref="L24" authorId="0" shapeId="0" xr:uid="{F2AE5127-4A89-40B7-92D0-E58A89C8F6A7}">
      <text>
        <r>
          <rPr>
            <sz val="12"/>
            <color indexed="81"/>
            <rFont val="Calibri"/>
            <family val="2"/>
          </rPr>
          <t>Hier staat reductiepercentage van techniek zelf. Door de combinatie met andere technieken, zal het hieronder vermelde gerealiseerde percentage lager uitvallen.</t>
        </r>
      </text>
    </comment>
    <comment ref="L27" authorId="0" shapeId="0" xr:uid="{D367AE8E-A19B-4B56-8D67-46D7DCDDF143}">
      <text>
        <r>
          <rPr>
            <sz val="12"/>
            <color indexed="81"/>
            <rFont val="Calibri"/>
            <family val="2"/>
          </rPr>
          <t xml:space="preserve">Dit reductiepercentage is gebaseerd op het deel van de lucht dat door de overige techniek gaat en wordt beinvloed door de voorgaande technieken.
Enkele regels hierboven staat het reductiepercentage van de techniek 'an sich'.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Vermeij, Izak</author>
  </authors>
  <commentList>
    <comment ref="I5" authorId="0" shapeId="0" xr:uid="{02DABA41-C143-46A7-B4F9-611F0F367EC8}">
      <text>
        <r>
          <rPr>
            <b/>
            <sz val="9"/>
            <color indexed="81"/>
            <rFont val="Tahoma"/>
            <family val="2"/>
          </rPr>
          <t>Vermeij, Izak:
van 1,369 1,3696 gemaakt ivm naar boven afronden reductiepercentage</t>
        </r>
        <r>
          <rPr>
            <sz val="9"/>
            <color indexed="81"/>
            <rFont val="Tahoma"/>
            <family val="2"/>
          </rPr>
          <t xml:space="preserve">
</t>
        </r>
      </text>
    </comment>
  </commentList>
</comments>
</file>

<file path=xl/sharedStrings.xml><?xml version="1.0" encoding="utf-8"?>
<sst xmlns="http://schemas.openxmlformats.org/spreadsheetml/2006/main" count="346" uniqueCount="217">
  <si>
    <t>datum</t>
  </si>
  <si>
    <t>Debiet</t>
  </si>
  <si>
    <t>Lft</t>
  </si>
  <si>
    <t>Wk</t>
  </si>
  <si>
    <t>gew br</t>
  </si>
  <si>
    <t>gew wit</t>
  </si>
  <si>
    <t>gem gew</t>
  </si>
  <si>
    <t>WW</t>
  </si>
  <si>
    <t>PM10 concentratie (mg/m3)</t>
  </si>
  <si>
    <t>Verwijderingsrendement warmtewisselaar:</t>
  </si>
  <si>
    <t>Debiet hoofdventilatie (m3/dier/uur)</t>
  </si>
  <si>
    <t>Maximale debiet door warmtewisselaar:</t>
  </si>
  <si>
    <t>m3/dier/uur</t>
  </si>
  <si>
    <t>Totale gemiddelde reductiepercentage op stalniveau:</t>
  </si>
  <si>
    <t>Debiet door WWlaar (m3/dier/uur)</t>
  </si>
  <si>
    <t>Eventueel reductie op PM10 concentratie in de stal:</t>
  </si>
  <si>
    <t>Berekening reductie PM10 op stalniveau leghennen</t>
  </si>
  <si>
    <t>Maximale debiet door droogtunnel</t>
  </si>
  <si>
    <t>Verwijderingsrendement droogtunnel</t>
  </si>
  <si>
    <t>PM10 conc. na droogtunnel (mg/m3)</t>
  </si>
  <si>
    <t>PM10 conc. na wwlaar (mg/m3)</t>
  </si>
  <si>
    <t>droogt. en wwlaar serie geschakeld (lucht eerst door droogt.)</t>
  </si>
  <si>
    <t>droogt. en wwlaar parallel geschakeld (wwlaar als basis voor ventilatie, daarna droogt.)</t>
  </si>
  <si>
    <t>Debiet door droogtunnel (m3/dier/ uur)</t>
  </si>
  <si>
    <t>Debiet door WWlaar (m3/dier/ uur)</t>
  </si>
  <si>
    <t>Debiet hoofd-ventilatie (m3/dier/uur)</t>
  </si>
  <si>
    <t>PM10 emissie zonder reductie (gr/d/jaar)</t>
  </si>
  <si>
    <t>PM10 emissie na droogtunnel (gr/d/jaar)</t>
  </si>
  <si>
    <t>PM10 emissie uit wwlaar (gr/d/jaar)</t>
  </si>
  <si>
    <t>PM10 emissie hoofddebiet (gr/d/jaar)</t>
  </si>
  <si>
    <t>Totale PM10 emissie (gr/d/jaar)</t>
  </si>
  <si>
    <t>maximale ventilatiebehoefte</t>
  </si>
  <si>
    <t>platendroger: 80% verwijdering</t>
  </si>
  <si>
    <t>bandendroger: 45% verwijdering</t>
  </si>
  <si>
    <t>bij toepassen filters: 99% verwijdering</t>
  </si>
  <si>
    <t>standaard: 80% verwijdering</t>
  </si>
  <si>
    <t>ionisatiefilter</t>
  </si>
  <si>
    <t xml:space="preserve"> </t>
  </si>
  <si>
    <t>A</t>
  </si>
  <si>
    <t>B</t>
  </si>
  <si>
    <t>C</t>
  </si>
  <si>
    <t>D</t>
  </si>
  <si>
    <t>E</t>
  </si>
  <si>
    <t>G</t>
  </si>
  <si>
    <t>H</t>
  </si>
  <si>
    <t>I</t>
  </si>
  <si>
    <t>J</t>
  </si>
  <si>
    <t>L</t>
  </si>
  <si>
    <t>serie alles
voetnoot 2</t>
  </si>
  <si>
    <t>F</t>
  </si>
  <si>
    <t>K</t>
  </si>
  <si>
    <t>M</t>
  </si>
  <si>
    <t>N</t>
  </si>
  <si>
    <t>O</t>
  </si>
  <si>
    <t>P</t>
  </si>
  <si>
    <t>Q</t>
  </si>
  <si>
    <t>R</t>
  </si>
  <si>
    <t>S</t>
  </si>
  <si>
    <t>T</t>
  </si>
  <si>
    <t>U</t>
  </si>
  <si>
    <t>V</t>
  </si>
  <si>
    <t>W</t>
  </si>
  <si>
    <t>X</t>
  </si>
  <si>
    <t>Y</t>
  </si>
  <si>
    <t>bio wasser 60%</t>
  </si>
  <si>
    <t>bio wasser 75%</t>
  </si>
  <si>
    <t>biofilter</t>
  </si>
  <si>
    <t>oliefilm</t>
  </si>
  <si>
    <t>negatieve ionisatie</t>
  </si>
  <si>
    <t>water wasser</t>
  </si>
  <si>
    <t>droogfilter</t>
  </si>
  <si>
    <t>oliefim</t>
  </si>
  <si>
    <t>strooiselschuif</t>
  </si>
  <si>
    <t>percentages berekend door 1 x (1-%)x(1-%)</t>
  </si>
  <si>
    <t>rood</t>
  </si>
  <si>
    <t>afwijkend</t>
  </si>
  <si>
    <t>paars</t>
  </si>
  <si>
    <t xml:space="preserve"> 1% afwijkend</t>
  </si>
  <si>
    <t>blauw</t>
  </si>
  <si>
    <t>kan niet gecombineerd</t>
  </si>
  <si>
    <t>chemische wasser</t>
  </si>
  <si>
    <t>warmtewisselaar zonder stof 31%</t>
  </si>
  <si>
    <t>warmtewisselaar met stof 31%</t>
  </si>
  <si>
    <t>warmtewisselaar zonder stof 13%</t>
  </si>
  <si>
    <t>warmtewisselaar met stof 13%</t>
  </si>
  <si>
    <t>warmtewisselaar zonder stof 37%</t>
  </si>
  <si>
    <t>warmtewisselaar met stof 37%</t>
  </si>
  <si>
    <t>warmtewisselaar zonder stof 50%</t>
  </si>
  <si>
    <t>warmtewisselaar met stof 50%</t>
  </si>
  <si>
    <r>
      <t>m</t>
    </r>
    <r>
      <rPr>
        <vertAlign val="superscript"/>
        <sz val="12"/>
        <color theme="1"/>
        <rFont val="Calibri"/>
        <family val="2"/>
        <scheme val="minor"/>
      </rPr>
      <t>3</t>
    </r>
  </si>
  <si>
    <t>Overzicht maximale waarden rekenmodel reducties fijnstof</t>
  </si>
  <si>
    <t>waarden in m3/dier/uur</t>
  </si>
  <si>
    <t>Maximale ventilatie:</t>
  </si>
  <si>
    <t>Opfok leghennen</t>
  </si>
  <si>
    <t>Leghennen</t>
  </si>
  <si>
    <t>Opfok vleeskuikenouderdieren</t>
  </si>
  <si>
    <t>Vleeskuikenouderdieren</t>
  </si>
  <si>
    <t>Vleeskuikens</t>
  </si>
  <si>
    <t>Vleeskalkoenen hennen</t>
  </si>
  <si>
    <t>Vleeskalkoenen hanen</t>
  </si>
  <si>
    <t>Vleeseenden</t>
  </si>
  <si>
    <t>Debiet door droogtunnel</t>
  </si>
  <si>
    <t>rekenwaarde</t>
  </si>
  <si>
    <t>in overzicht</t>
  </si>
  <si>
    <t>bandendroger (30%)</t>
  </si>
  <si>
    <t>Deze waarden staan (nog) niet genoemd in de beschrijvingen.</t>
  </si>
  <si>
    <t>platendroger (55%)</t>
  </si>
  <si>
    <t>Debiet door warmtewisselaar</t>
  </si>
  <si>
    <t>ZONDER FILTERS</t>
  </si>
  <si>
    <t>Reductiepercentage op stalniveau:</t>
  </si>
  <si>
    <t>MET FILTERS</t>
  </si>
  <si>
    <t>Staltechniek</t>
  </si>
  <si>
    <t>GEEN DROOGTUNNEL</t>
  </si>
  <si>
    <t>DROOGTUNNEL (PLATEN) 55%</t>
  </si>
  <si>
    <t>DROOGTUNNEL (BANDEN) 30%</t>
  </si>
  <si>
    <t>OLIEFILM</t>
  </si>
  <si>
    <t>JA</t>
  </si>
  <si>
    <t>NEE</t>
  </si>
  <si>
    <t>BIO WASSER 60%</t>
  </si>
  <si>
    <t>BIO WASSER 75%</t>
  </si>
  <si>
    <t>BIOFILTER</t>
  </si>
  <si>
    <t>DROOGFILTERWAND</t>
  </si>
  <si>
    <t>IONISATIEFILTER</t>
  </si>
  <si>
    <t>WARMTEWISSELAAR 31%</t>
  </si>
  <si>
    <t>WARMTEWISSELAAR 13%</t>
  </si>
  <si>
    <t>WARMTEWISSELAAR 37%</t>
  </si>
  <si>
    <t>WARMTEWISSELAAR 50%</t>
  </si>
  <si>
    <t>ZONDER STOFFILTER</t>
  </si>
  <si>
    <t>MET STOFFILTER</t>
  </si>
  <si>
    <t>GEEN STALTECHNIEK</t>
  </si>
  <si>
    <r>
      <t>Max. ventilatiedebiet m</t>
    </r>
    <r>
      <rPr>
        <vertAlign val="superscript"/>
        <sz val="12"/>
        <color theme="0"/>
        <rFont val="Calibri"/>
        <family val="2"/>
        <scheme val="minor"/>
      </rPr>
      <t>3</t>
    </r>
    <r>
      <rPr>
        <sz val="12"/>
        <color theme="0"/>
        <rFont val="Calibri"/>
        <family val="2"/>
        <scheme val="minor"/>
      </rPr>
      <t>/d/uur</t>
    </r>
  </si>
  <si>
    <t>GEEN TECHNIEK</t>
  </si>
  <si>
    <t>̌</t>
  </si>
  <si>
    <t>WATERLUCHTWASSYSTEEM</t>
  </si>
  <si>
    <t>ALLE VENTILATIELUCHT</t>
  </si>
  <si>
    <t>DEEL VENTILATIELUCHT</t>
  </si>
  <si>
    <r>
      <t>Kies ALLE VENTILATIELUCHT ivm vereiste NH</t>
    </r>
    <r>
      <rPr>
        <vertAlign val="subscript"/>
        <sz val="12"/>
        <color theme="0"/>
        <rFont val="Calibri"/>
        <family val="2"/>
        <scheme val="minor"/>
      </rPr>
      <t xml:space="preserve">3 </t>
    </r>
    <r>
      <rPr>
        <sz val="12"/>
        <color theme="0"/>
        <rFont val="Calibri"/>
        <family val="2"/>
        <scheme val="minor"/>
      </rPr>
      <t>reductie</t>
    </r>
  </si>
  <si>
    <t>75% VENTILATIE</t>
  </si>
  <si>
    <t>50% VENTILATIE</t>
  </si>
  <si>
    <t>25% VENTILATIE</t>
  </si>
  <si>
    <t>PARALLEL GESCHAKELD MET WARMTEWISSELAAR</t>
  </si>
  <si>
    <t>SERIE GESCHAKELD MET WARMTEWISSELAAR</t>
  </si>
  <si>
    <t>Overige technieken</t>
  </si>
  <si>
    <t>Maximale ventilatie in de stal</t>
  </si>
  <si>
    <t>naam</t>
  </si>
  <si>
    <t>adres</t>
  </si>
  <si>
    <r>
      <t>m</t>
    </r>
    <r>
      <rPr>
        <b/>
        <vertAlign val="superscript"/>
        <sz val="14"/>
        <color theme="0" tint="-0.499984740745262"/>
        <rFont val="Calibri"/>
        <family val="2"/>
        <scheme val="minor"/>
      </rPr>
      <t>3</t>
    </r>
  </si>
  <si>
    <t>KIES EEN CATEGORIE</t>
  </si>
  <si>
    <r>
      <t>Reductiepercentage PM</t>
    </r>
    <r>
      <rPr>
        <b/>
        <vertAlign val="subscript"/>
        <sz val="24"/>
        <rFont val="Calibri"/>
        <family val="2"/>
        <scheme val="minor"/>
      </rPr>
      <t>10</t>
    </r>
  </si>
  <si>
    <t>Reductiepercentage in stal</t>
  </si>
  <si>
    <t>Reductiepercentage overige techniek</t>
  </si>
  <si>
    <t>Berekenen van het reductiepercentage van combinaties van fijnstof reducerende technieken</t>
  </si>
  <si>
    <t>Eventueel verwijderingsrendement hoofdventilatie (lucht NIET door andere technieken):</t>
  </si>
  <si>
    <t>Eventueel reductie door luchtwasser (op ALLE lucht)</t>
  </si>
  <si>
    <t>Berekening droogt. en wwlaar in serie geschakeld. Lucht eerst door droogtunnel</t>
  </si>
  <si>
    <t>Emissie bij toepassing luchtwasser: wwlaar en droogtunnel parallel</t>
  </si>
  <si>
    <t>PM10 emissie met reductie staltechniek (gr/d/jaar)</t>
  </si>
  <si>
    <t>PM10 emissie wwlaar en drtunnel parallel en staltechniek (gr/d/jaar)</t>
  </si>
  <si>
    <t>PM10 emissie wwlaar en drtunnel parallel en staltechniek en luchtwasser (gr/d/jaar)</t>
  </si>
  <si>
    <t>% t.o.v. maximum</t>
  </si>
  <si>
    <t>Warmtewisselaar met stoffilter?</t>
  </si>
  <si>
    <t>Gemaakt in opdracht van het ministerie van Infrastructuur en Waterstaat</t>
  </si>
  <si>
    <t>(($Z35/1000)*(1-$F$9)*$D35*$B35)+H35*(1-F$6)*C35/D35</t>
  </si>
  <si>
    <t>(($Y35/1000)*(1-$F$9)*$F35*$B35)</t>
  </si>
  <si>
    <t>Debiet door droogtunnel (m3/dier/uur) serie geschakeld</t>
  </si>
  <si>
    <t>Debiet door droogtunnel (m3/dier/uur) parallel geschakeld</t>
  </si>
  <si>
    <t>PM10 emissie droogtunnel  (gr/d/jaar) serie</t>
  </si>
  <si>
    <t>PM10 emissie droogtunnel  (gr/d/jaar) parallel</t>
  </si>
  <si>
    <t>PM10 emissie wwlaar  parallel</t>
  </si>
  <si>
    <t>PM10 emissie wwlaar serie</t>
  </si>
  <si>
    <t xml:space="preserve">  </t>
  </si>
  <si>
    <t>100% minus reductie</t>
  </si>
  <si>
    <t>Maximale debiet door stoffilter:</t>
  </si>
  <si>
    <t xml:space="preserve">Debiet door stoffilter (m3/dier/uur) </t>
  </si>
  <si>
    <t>Emissie Stoffilter na ww droogtunnel</t>
  </si>
  <si>
    <t>Debiet door overige techniek</t>
  </si>
  <si>
    <t>Cumulatief aandeel emissie</t>
  </si>
  <si>
    <t>Potentie Reductie overige techniek</t>
  </si>
  <si>
    <t>CHEMISCHE WASSER NIET TOEGESTAAN</t>
  </si>
  <si>
    <t>LUCHTCONDITIONERINGSUNIT</t>
  </si>
  <si>
    <t>Lucht droogtunnel door overige techniek?</t>
  </si>
  <si>
    <t>Potentie Reductie overige techniek,      nee, nee, nee</t>
  </si>
  <si>
    <t>Potentie Reductie overige techniek,      nee, ja droogtunnel, nee</t>
  </si>
  <si>
    <t>Potentie Reductie overige techniek,      nee, ja droogtunnel, ja ww naar overig</t>
  </si>
  <si>
    <t>ab</t>
  </si>
  <si>
    <t>aa</t>
  </si>
  <si>
    <t>z</t>
  </si>
  <si>
    <t>y</t>
  </si>
  <si>
    <t>stoffilter</t>
  </si>
  <si>
    <t>droogtunnel</t>
  </si>
  <si>
    <t>hulprek</t>
  </si>
  <si>
    <t>Serie geschakeld</t>
  </si>
  <si>
    <t>Parallel geschakeld</t>
  </si>
  <si>
    <r>
      <t xml:space="preserve">Bij alle </t>
    </r>
    <r>
      <rPr>
        <b/>
        <sz val="14"/>
        <color rgb="FFFFFF00"/>
        <rFont val="Calibri"/>
        <family val="2"/>
        <scheme val="minor"/>
      </rPr>
      <t xml:space="preserve">GEEL </t>
    </r>
    <r>
      <rPr>
        <b/>
        <sz val="14"/>
        <color rgb="FF0070C0"/>
        <rFont val="Calibri"/>
        <family val="2"/>
        <scheme val="minor"/>
      </rPr>
      <t xml:space="preserve">gekleurde vakjes dient een keuze gemaakt te worden. Ga op het vakje staan, klik rechts naast vakje en kies een optie.                              </t>
    </r>
  </si>
  <si>
    <r>
      <t xml:space="preserve">De gerealiseerde reductiepercentages staan in </t>
    </r>
    <r>
      <rPr>
        <b/>
        <sz val="14"/>
        <color rgb="FF00B050"/>
        <rFont val="Calibri"/>
        <family val="2"/>
        <scheme val="minor"/>
      </rPr>
      <t xml:space="preserve">GROENE </t>
    </r>
    <r>
      <rPr>
        <b/>
        <sz val="14"/>
        <color rgb="FF0070C0"/>
        <rFont val="Calibri"/>
        <family val="2"/>
        <scheme val="minor"/>
      </rPr>
      <t xml:space="preserve">blokjes vermeld. Helemaal rechts is het reductiepercentage van de combinatie van de fijnstofreducerende </t>
    </r>
  </si>
  <si>
    <r>
      <t xml:space="preserve">technieken weergegeven. Als combinaties niet mogelijk of zinvol zijn, verschijnt er tekst in </t>
    </r>
    <r>
      <rPr>
        <b/>
        <sz val="14"/>
        <color rgb="FFFF0000"/>
        <rFont val="Calibri"/>
        <family val="2"/>
        <scheme val="minor"/>
      </rPr>
      <t>ROOD</t>
    </r>
    <r>
      <rPr>
        <b/>
        <sz val="14"/>
        <color rgb="FF0070C0"/>
        <rFont val="Calibri"/>
        <family val="2"/>
        <scheme val="minor"/>
      </rPr>
      <t>. Bij 'niet mogelijk' dient u keuze(s) aan te passen.</t>
    </r>
  </si>
  <si>
    <t>Stal voor opfok leg</t>
  </si>
  <si>
    <t>GRONDHUISVESTING</t>
  </si>
  <si>
    <t>VOLIEREHUISVESTING</t>
  </si>
  <si>
    <t>KOLONIEHUISVESTING</t>
  </si>
  <si>
    <t>invullen</t>
  </si>
  <si>
    <t>TOELICHTING GEBRUIK REKENMODEL (Er is online ook een handleiding beschikbaar).</t>
  </si>
  <si>
    <t>CHEMISCHE WASSER 35%</t>
  </si>
  <si>
    <t>CHEMISCHE WASSER 70%</t>
  </si>
  <si>
    <t>Emissie alleen Stoffilter of droogfilter</t>
  </si>
  <si>
    <t>IONISATIE MET KOOLSTOFBORSTELTJES</t>
  </si>
  <si>
    <t>GEEN FILTER</t>
  </si>
  <si>
    <t>DROGE STOFFILTER 99%</t>
  </si>
  <si>
    <t>DROOGFILTERUNIT 40%</t>
  </si>
  <si>
    <t>OLIEFILM BIJ VOLIERE MET SPROEIKOPPEN</t>
  </si>
  <si>
    <t>OLIEFILM MET ROBOT</t>
  </si>
  <si>
    <t xml:space="preserve">Bij warmtewisselaar, stoffilter en droogfilterunit kan de ventilatiehoeveelheid door de techniek aangepast worden met de pijltjes omhoog/omlaag. </t>
  </si>
  <si>
    <t>in kolom R en S: delen door I4 of door I6 ivm door nul deling</t>
  </si>
  <si>
    <t>Reductiepercentage</t>
  </si>
  <si>
    <t>IONISATIE ICM INTERNE LUCHTCIRCULATIE</t>
  </si>
  <si>
    <t>IF(E25="deze combinatie kan niet",0,
IF(E25="Deze techniek kan alleen bij volière",0,
IF(E25="Deze techniek kan alleen bij grondhuisvesting",0,
IF(E24="OLIEFILM BIJ VOLIERE MET SPROEIKOPPEN",15%,
IF(E24="OLIEFILM MET ROBOT",30%,
IF(E24="OLIEFILM BIJ VOLIERE MET SPROEIKOPPEN",15%,
IF(E24="IONISATIE MET KOOLSTOFBORSTELTJES",31%,0)))))))</t>
  </si>
  <si>
    <t>Rekenmodel Vee-combistof - pluimvee (V3.0, versie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</si>
</sst>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_);_(* \(#,##0.00\);_(* &quot;-&quot;??_);_(@_)"/>
    <numFmt numFmtId="165" formatCode="0.0"/>
    <numFmt numFmtId="166" formatCode="0.0000"/>
    <numFmt numFmtId="167" formatCode="0.000"/>
    <numFmt numFmtId="168" formatCode="0.0%"/>
    <numFmt numFmtId="169" formatCode="#,##0.00_ ;\-#,##0.00\ "/>
    <numFmt numFmtId="170" formatCode="0.00000"/>
    <numFmt numFmtId="171" formatCode="0.0000000"/>
  </numFmts>
  <fonts count="71" x14ac:knownFonts="1">
    <font>
      <sz val="10"/>
      <name val="Arial"/>
    </font>
    <font>
      <sz val="11"/>
      <color theme="1"/>
      <name val="Calibri"/>
      <family val="2"/>
      <scheme val="minor"/>
    </font>
    <font>
      <sz val="10"/>
      <name val="Arial"/>
      <family val="2"/>
    </font>
    <font>
      <b/>
      <sz val="10"/>
      <name val="Arial"/>
      <family val="2"/>
    </font>
    <font>
      <i/>
      <sz val="10"/>
      <name val="Arial"/>
      <family val="2"/>
    </font>
    <font>
      <sz val="10"/>
      <name val="Arial"/>
      <family val="2"/>
    </font>
    <font>
      <b/>
      <i/>
      <sz val="10"/>
      <name val="Arial"/>
      <family val="2"/>
    </font>
    <font>
      <b/>
      <u/>
      <sz val="10"/>
      <name val="Arial"/>
      <family val="2"/>
    </font>
    <font>
      <b/>
      <i/>
      <u/>
      <sz val="10"/>
      <name val="Arial"/>
      <family val="2"/>
    </font>
    <font>
      <sz val="12"/>
      <color theme="1"/>
      <name val="Calibri"/>
      <family val="2"/>
      <scheme val="minor"/>
    </font>
    <font>
      <b/>
      <sz val="14"/>
      <color theme="1"/>
      <name val="Calibri"/>
      <family val="2"/>
      <scheme val="minor"/>
    </font>
    <font>
      <b/>
      <sz val="12"/>
      <name val="Calibri"/>
      <family val="2"/>
      <scheme val="minor"/>
    </font>
    <font>
      <sz val="9"/>
      <color rgb="FF000000"/>
      <name val="Verdana"/>
      <family val="2"/>
    </font>
    <font>
      <b/>
      <sz val="12"/>
      <color theme="1"/>
      <name val="Calibri"/>
      <family val="2"/>
      <scheme val="minor"/>
    </font>
    <font>
      <sz val="12"/>
      <color theme="4" tint="0.59999389629810485"/>
      <name val="Calibri"/>
      <family val="2"/>
      <scheme val="minor"/>
    </font>
    <font>
      <sz val="12"/>
      <name val="Calibri"/>
      <family val="2"/>
      <scheme val="minor"/>
    </font>
    <font>
      <sz val="12"/>
      <color rgb="FFFF0000"/>
      <name val="Calibri"/>
      <family val="2"/>
      <scheme val="minor"/>
    </font>
    <font>
      <b/>
      <sz val="13"/>
      <color theme="1"/>
      <name val="Calibri"/>
      <family val="2"/>
      <scheme val="minor"/>
    </font>
    <font>
      <vertAlign val="superscript"/>
      <sz val="12"/>
      <color theme="1"/>
      <name val="Calibri"/>
      <family val="2"/>
      <scheme val="minor"/>
    </font>
    <font>
      <sz val="14"/>
      <name val="Calibri"/>
      <family val="2"/>
      <scheme val="minor"/>
    </font>
    <font>
      <sz val="18"/>
      <color theme="1"/>
      <name val="Calibri"/>
      <family val="2"/>
      <scheme val="minor"/>
    </font>
    <font>
      <sz val="10"/>
      <name val="Arial"/>
      <family val="2"/>
    </font>
    <font>
      <sz val="14"/>
      <color rgb="FFFF0000"/>
      <name val="Calibri"/>
      <family val="2"/>
      <scheme val="minor"/>
    </font>
    <font>
      <sz val="9"/>
      <color theme="1"/>
      <name val="Verdana"/>
      <family val="2"/>
    </font>
    <font>
      <b/>
      <u/>
      <sz val="9"/>
      <color theme="1"/>
      <name val="Verdana"/>
      <family val="2"/>
    </font>
    <font>
      <b/>
      <i/>
      <sz val="9"/>
      <color theme="1"/>
      <name val="Verdana"/>
      <family val="2"/>
    </font>
    <font>
      <u/>
      <sz val="9"/>
      <color theme="1"/>
      <name val="Verdana"/>
      <family val="2"/>
    </font>
    <font>
      <i/>
      <sz val="9"/>
      <color theme="1"/>
      <name val="Verdana"/>
      <family val="2"/>
    </font>
    <font>
      <b/>
      <sz val="14"/>
      <color rgb="FFFF0000"/>
      <name val="Calibri"/>
      <family val="2"/>
      <scheme val="minor"/>
    </font>
    <font>
      <b/>
      <sz val="12"/>
      <color rgb="FFFF0000"/>
      <name val="Calibri"/>
      <family val="2"/>
      <scheme val="minor"/>
    </font>
    <font>
      <sz val="14"/>
      <color theme="1"/>
      <name val="Calibri"/>
      <family val="2"/>
      <scheme val="minor"/>
    </font>
    <font>
      <sz val="12"/>
      <color theme="0"/>
      <name val="Calibri"/>
      <family val="2"/>
      <scheme val="minor"/>
    </font>
    <font>
      <vertAlign val="superscript"/>
      <sz val="12"/>
      <color theme="0"/>
      <name val="Calibri"/>
      <family val="2"/>
      <scheme val="minor"/>
    </font>
    <font>
      <b/>
      <sz val="12"/>
      <color theme="0"/>
      <name val="Calibri"/>
      <family val="2"/>
      <scheme val="minor"/>
    </font>
    <font>
      <sz val="10"/>
      <color theme="1"/>
      <name val="Verdana"/>
      <family val="2"/>
    </font>
    <font>
      <sz val="12"/>
      <color theme="1"/>
      <name val="Calibri"/>
      <family val="2"/>
    </font>
    <font>
      <b/>
      <sz val="22"/>
      <color theme="1"/>
      <name val="Calibri"/>
      <family val="2"/>
      <scheme val="minor"/>
    </font>
    <font>
      <b/>
      <sz val="14"/>
      <name val="Arial"/>
      <family val="2"/>
    </font>
    <font>
      <sz val="14"/>
      <name val="Arial"/>
      <family val="2"/>
    </font>
    <font>
      <b/>
      <sz val="13"/>
      <color rgb="FFFF0000"/>
      <name val="Calibri"/>
      <family val="2"/>
      <scheme val="minor"/>
    </font>
    <font>
      <sz val="23"/>
      <color theme="1"/>
      <name val="Calibri"/>
      <family val="2"/>
      <scheme val="minor"/>
    </font>
    <font>
      <b/>
      <sz val="24"/>
      <name val="Calibri"/>
      <family val="2"/>
      <scheme val="minor"/>
    </font>
    <font>
      <sz val="24"/>
      <name val="Arial"/>
      <family val="2"/>
    </font>
    <font>
      <vertAlign val="subscript"/>
      <sz val="12"/>
      <color theme="0"/>
      <name val="Calibri"/>
      <family val="2"/>
      <scheme val="minor"/>
    </font>
    <font>
      <sz val="10"/>
      <color theme="0"/>
      <name val="Arial"/>
      <family val="2"/>
    </font>
    <font>
      <b/>
      <sz val="20"/>
      <color theme="3" tint="0.39997558519241921"/>
      <name val="Calibri"/>
      <family val="2"/>
      <scheme val="minor"/>
    </font>
    <font>
      <sz val="18"/>
      <name val="Calibri"/>
      <family val="2"/>
      <scheme val="minor"/>
    </font>
    <font>
      <b/>
      <sz val="14"/>
      <color theme="0" tint="-0.499984740745262"/>
      <name val="Calibri"/>
      <family val="2"/>
      <scheme val="minor"/>
    </font>
    <font>
      <b/>
      <vertAlign val="superscript"/>
      <sz val="14"/>
      <color theme="0" tint="-0.499984740745262"/>
      <name val="Calibri"/>
      <family val="2"/>
      <scheme val="minor"/>
    </font>
    <font>
      <b/>
      <sz val="14"/>
      <color rgb="FF0070C0"/>
      <name val="Calibri"/>
      <family val="2"/>
      <scheme val="minor"/>
    </font>
    <font>
      <b/>
      <sz val="14"/>
      <color rgb="FF00B050"/>
      <name val="Calibri"/>
      <family val="2"/>
      <scheme val="minor"/>
    </font>
    <font>
      <b/>
      <sz val="14"/>
      <name val="Calibri"/>
      <family val="2"/>
      <scheme val="minor"/>
    </font>
    <font>
      <b/>
      <sz val="14"/>
      <color rgb="FF002060"/>
      <name val="Calibri"/>
      <family val="2"/>
      <scheme val="minor"/>
    </font>
    <font>
      <b/>
      <vertAlign val="subscript"/>
      <sz val="24"/>
      <name val="Calibri"/>
      <family val="2"/>
      <scheme val="minor"/>
    </font>
    <font>
      <sz val="9"/>
      <color indexed="81"/>
      <name val="Tahoma"/>
      <family val="2"/>
    </font>
    <font>
      <b/>
      <sz val="9"/>
      <color indexed="81"/>
      <name val="Tahoma"/>
      <family val="2"/>
    </font>
    <font>
      <b/>
      <sz val="14"/>
      <color rgb="FFFFFF00"/>
      <name val="Calibri"/>
      <family val="2"/>
      <scheme val="minor"/>
    </font>
    <font>
      <b/>
      <sz val="15"/>
      <name val="Calibri"/>
      <family val="2"/>
      <scheme val="minor"/>
    </font>
    <font>
      <sz val="15"/>
      <name val="Arial"/>
      <family val="2"/>
    </font>
    <font>
      <b/>
      <sz val="14"/>
      <color rgb="FFFF0000"/>
      <name val="Arial"/>
      <family val="2"/>
    </font>
    <font>
      <strike/>
      <sz val="12"/>
      <color theme="1"/>
      <name val="Calibri"/>
      <family val="2"/>
      <scheme val="minor"/>
    </font>
    <font>
      <b/>
      <sz val="12"/>
      <color rgb="FFFFFF00"/>
      <name val="Calibri"/>
      <family val="2"/>
      <scheme val="minor"/>
    </font>
    <font>
      <sz val="8"/>
      <color rgb="FF000000"/>
      <name val="Arial"/>
      <family val="2"/>
    </font>
    <font>
      <b/>
      <sz val="13"/>
      <color rgb="FFFF0000"/>
      <name val="Arial"/>
      <family val="2"/>
    </font>
    <font>
      <b/>
      <sz val="14"/>
      <color rgb="FF0070C0"/>
      <name val="Arial"/>
      <family val="2"/>
    </font>
    <font>
      <b/>
      <sz val="10"/>
      <color rgb="FF00B0F0"/>
      <name val="Arial"/>
      <family val="2"/>
    </font>
    <font>
      <sz val="12"/>
      <color rgb="FFFFFF00"/>
      <name val="Calibri"/>
      <family val="2"/>
      <scheme val="minor"/>
    </font>
    <font>
      <sz val="14"/>
      <color rgb="FFFFFF00"/>
      <name val="Calibri"/>
      <family val="2"/>
      <scheme val="minor"/>
    </font>
    <font>
      <sz val="12"/>
      <color indexed="81"/>
      <name val="Calibri"/>
      <family val="2"/>
    </font>
    <font>
      <sz val="12"/>
      <color rgb="FF222222"/>
      <name val="Calibri"/>
      <family val="2"/>
      <scheme val="minor"/>
    </font>
    <font>
      <sz val="10"/>
      <color rgb="FF000000"/>
      <name val="Arial"/>
      <family val="2"/>
    </font>
  </fonts>
  <fills count="17">
    <fill>
      <patternFill patternType="none"/>
    </fill>
    <fill>
      <patternFill patternType="gray125"/>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rgb="FF00B0F0"/>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8"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7"/>
        <bgColor indexed="64"/>
      </patternFill>
    </fill>
    <fill>
      <patternFill patternType="solid">
        <fgColor rgb="FF8064A2"/>
        <bgColor indexed="64"/>
      </patternFill>
    </fill>
    <fill>
      <patternFill patternType="solid">
        <fgColor rgb="FFFF0000"/>
        <bgColor indexed="64"/>
      </patternFill>
    </fill>
  </fills>
  <borders count="3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8">
    <xf numFmtId="0" fontId="0" fillId="0" borderId="0"/>
    <xf numFmtId="9" fontId="2" fillId="0" borderId="0" applyFont="0" applyFill="0" applyBorder="0" applyAlignment="0" applyProtection="0"/>
    <xf numFmtId="0" fontId="9" fillId="0" borderId="0"/>
    <xf numFmtId="0" fontId="1" fillId="0" borderId="0"/>
    <xf numFmtId="9" fontId="9" fillId="0" borderId="0" applyFont="0" applyFill="0" applyBorder="0" applyAlignment="0" applyProtection="0"/>
    <xf numFmtId="0" fontId="12" fillId="0" borderId="0"/>
    <xf numFmtId="164" fontId="21" fillId="0" borderId="0" applyFont="0" applyFill="0" applyBorder="0" applyAlignment="0" applyProtection="0"/>
    <xf numFmtId="0" fontId="23" fillId="0" borderId="0"/>
  </cellStyleXfs>
  <cellXfs count="246">
    <xf numFmtId="0" fontId="0" fillId="0" borderId="0" xfId="0"/>
    <xf numFmtId="0" fontId="0" fillId="0" borderId="0" xfId="0" applyAlignment="1">
      <alignment horizontal="center"/>
    </xf>
    <xf numFmtId="0" fontId="3" fillId="0" borderId="0" xfId="0" applyFont="1"/>
    <xf numFmtId="165" fontId="0" fillId="0" borderId="0" xfId="0" applyNumberFormat="1" applyAlignment="1">
      <alignment horizontal="center"/>
    </xf>
    <xf numFmtId="2" fontId="0" fillId="0" borderId="0" xfId="0" applyNumberFormat="1" applyAlignment="1">
      <alignment horizontal="center"/>
    </xf>
    <xf numFmtId="1" fontId="0" fillId="0" borderId="0" xfId="0" applyNumberFormat="1" applyAlignment="1">
      <alignment horizontal="center"/>
    </xf>
    <xf numFmtId="166" fontId="0" fillId="0" borderId="0" xfId="0" applyNumberFormat="1" applyAlignment="1">
      <alignment horizontal="center"/>
    </xf>
    <xf numFmtId="2" fontId="4" fillId="0" borderId="0" xfId="0" applyNumberFormat="1" applyFont="1" applyAlignment="1">
      <alignment horizontal="center"/>
    </xf>
    <xf numFmtId="2" fontId="3" fillId="0" borderId="0" xfId="0" applyNumberFormat="1" applyFont="1" applyAlignment="1">
      <alignment horizontal="center" vertical="top" wrapText="1"/>
    </xf>
    <xf numFmtId="0" fontId="3" fillId="0" borderId="0" xfId="0" applyFont="1" applyAlignment="1">
      <alignment horizontal="center" vertical="top" wrapText="1"/>
    </xf>
    <xf numFmtId="165" fontId="3" fillId="0" borderId="0" xfId="0" applyNumberFormat="1" applyFont="1" applyAlignment="1">
      <alignment horizontal="center"/>
    </xf>
    <xf numFmtId="0" fontId="4" fillId="0" borderId="0" xfId="0" applyFont="1" applyAlignment="1">
      <alignment horizontal="center"/>
    </xf>
    <xf numFmtId="1" fontId="3" fillId="0" borderId="0" xfId="0" applyNumberFormat="1" applyFont="1" applyAlignment="1">
      <alignment horizontal="center"/>
    </xf>
    <xf numFmtId="1" fontId="5" fillId="0" borderId="0" xfId="0" applyNumberFormat="1" applyFont="1" applyAlignment="1">
      <alignment horizontal="center"/>
    </xf>
    <xf numFmtId="168" fontId="3" fillId="0" borderId="0" xfId="1" applyNumberFormat="1" applyFont="1" applyAlignment="1">
      <alignment horizontal="center"/>
    </xf>
    <xf numFmtId="0" fontId="0" fillId="2" borderId="0" xfId="0" applyFill="1" applyAlignment="1">
      <alignment horizontal="center"/>
    </xf>
    <xf numFmtId="0" fontId="3" fillId="2" borderId="0" xfId="0" applyFont="1" applyFill="1" applyAlignment="1">
      <alignment horizontal="center" vertical="top" wrapText="1"/>
    </xf>
    <xf numFmtId="166" fontId="0" fillId="3" borderId="0" xfId="0" applyNumberFormat="1" applyFill="1" applyAlignment="1">
      <alignment horizontal="center"/>
    </xf>
    <xf numFmtId="0" fontId="2" fillId="0" borderId="0" xfId="0" applyFont="1"/>
    <xf numFmtId="168" fontId="3" fillId="0" borderId="0" xfId="1" applyNumberFormat="1" applyFont="1" applyFill="1" applyAlignment="1">
      <alignment horizontal="center"/>
    </xf>
    <xf numFmtId="0" fontId="2" fillId="0" borderId="0" xfId="0" applyFont="1" applyAlignment="1">
      <alignment horizontal="center"/>
    </xf>
    <xf numFmtId="9" fontId="0" fillId="2" borderId="0" xfId="1" applyFont="1" applyFill="1" applyAlignment="1">
      <alignment horizontal="center"/>
    </xf>
    <xf numFmtId="168" fontId="6" fillId="0" borderId="0" xfId="0" applyNumberFormat="1" applyFont="1" applyAlignment="1">
      <alignment horizontal="center"/>
    </xf>
    <xf numFmtId="0" fontId="7" fillId="0" borderId="0" xfId="0" applyFont="1"/>
    <xf numFmtId="0" fontId="4" fillId="0" borderId="0" xfId="0" applyFont="1" applyAlignment="1">
      <alignment horizontal="left"/>
    </xf>
    <xf numFmtId="2" fontId="3" fillId="0" borderId="5" xfId="0" applyNumberFormat="1" applyFont="1" applyBorder="1" applyAlignment="1">
      <alignment horizontal="center" vertical="top" wrapText="1"/>
    </xf>
    <xf numFmtId="0" fontId="3" fillId="0" borderId="6" xfId="0" applyFont="1" applyBorder="1" applyAlignment="1">
      <alignment horizontal="center" vertical="top" wrapText="1"/>
    </xf>
    <xf numFmtId="2" fontId="3" fillId="0" borderId="6" xfId="0" applyNumberFormat="1" applyFont="1" applyBorder="1" applyAlignment="1">
      <alignment horizontal="center" vertical="top" wrapText="1"/>
    </xf>
    <xf numFmtId="0" fontId="3" fillId="0" borderId="7" xfId="0" applyFont="1" applyBorder="1" applyAlignment="1">
      <alignment horizontal="center" vertical="top" wrapText="1"/>
    </xf>
    <xf numFmtId="2" fontId="0" fillId="0" borderId="8" xfId="0" applyNumberFormat="1" applyBorder="1" applyAlignment="1">
      <alignment horizontal="center"/>
    </xf>
    <xf numFmtId="2" fontId="0" fillId="0" borderId="9" xfId="0" applyNumberFormat="1" applyBorder="1" applyAlignment="1">
      <alignment horizontal="center"/>
    </xf>
    <xf numFmtId="166" fontId="0" fillId="0" borderId="1" xfId="0" applyNumberFormat="1" applyBorder="1" applyAlignment="1">
      <alignment horizontal="center"/>
    </xf>
    <xf numFmtId="2" fontId="0" fillId="0" borderId="1" xfId="0" applyNumberFormat="1" applyBorder="1" applyAlignment="1">
      <alignment horizontal="center"/>
    </xf>
    <xf numFmtId="0" fontId="4" fillId="0" borderId="0" xfId="0" applyFont="1"/>
    <xf numFmtId="0" fontId="9" fillId="0" borderId="0" xfId="2"/>
    <xf numFmtId="0" fontId="9" fillId="5" borderId="0" xfId="2" applyFill="1"/>
    <xf numFmtId="9" fontId="9" fillId="0" borderId="0" xfId="2" applyNumberFormat="1"/>
    <xf numFmtId="1" fontId="9" fillId="0" borderId="0" xfId="2" applyNumberFormat="1"/>
    <xf numFmtId="0" fontId="9" fillId="0" borderId="0" xfId="2" applyAlignment="1">
      <alignment wrapText="1"/>
    </xf>
    <xf numFmtId="9" fontId="9" fillId="5" borderId="0" xfId="2" applyNumberFormat="1" applyFill="1"/>
    <xf numFmtId="2" fontId="9" fillId="5" borderId="0" xfId="2" applyNumberFormat="1" applyFill="1"/>
    <xf numFmtId="9" fontId="14" fillId="7" borderId="0" xfId="2" applyNumberFormat="1" applyFont="1" applyFill="1"/>
    <xf numFmtId="9" fontId="14" fillId="8" borderId="0" xfId="2" applyNumberFormat="1" applyFont="1" applyFill="1"/>
    <xf numFmtId="9" fontId="15" fillId="9" borderId="0" xfId="2" applyNumberFormat="1" applyFont="1" applyFill="1"/>
    <xf numFmtId="9" fontId="9" fillId="9" borderId="0" xfId="2" applyNumberFormat="1" applyFill="1"/>
    <xf numFmtId="9" fontId="16" fillId="0" borderId="0" xfId="2" applyNumberFormat="1" applyFont="1"/>
    <xf numFmtId="9" fontId="15" fillId="0" borderId="0" xfId="2" applyNumberFormat="1" applyFont="1"/>
    <xf numFmtId="1" fontId="16" fillId="0" borderId="0" xfId="2" applyNumberFormat="1" applyFont="1"/>
    <xf numFmtId="2" fontId="9" fillId="0" borderId="0" xfId="2" applyNumberFormat="1"/>
    <xf numFmtId="0" fontId="13" fillId="4" borderId="10" xfId="3" applyFont="1" applyFill="1" applyBorder="1" applyAlignment="1" applyProtection="1">
      <alignment horizontal="center" vertical="center"/>
      <protection locked="0"/>
    </xf>
    <xf numFmtId="0" fontId="13" fillId="0" borderId="0" xfId="2" applyFont="1" applyAlignment="1">
      <alignment horizontal="center"/>
    </xf>
    <xf numFmtId="2" fontId="13" fillId="0" borderId="0" xfId="2" applyNumberFormat="1" applyFont="1"/>
    <xf numFmtId="0" fontId="19" fillId="10" borderId="0" xfId="2" applyFont="1" applyFill="1" applyAlignment="1">
      <alignment horizontal="center"/>
    </xf>
    <xf numFmtId="9" fontId="9" fillId="2" borderId="0" xfId="1" applyFont="1" applyFill="1" applyAlignment="1">
      <alignment horizontal="center"/>
    </xf>
    <xf numFmtId="0" fontId="22" fillId="0" borderId="0" xfId="2" applyFont="1"/>
    <xf numFmtId="0" fontId="24" fillId="0" borderId="0" xfId="7" applyFont="1"/>
    <xf numFmtId="0" fontId="23" fillId="0" borderId="0" xfId="7"/>
    <xf numFmtId="0" fontId="25" fillId="0" borderId="0" xfId="7" applyFont="1"/>
    <xf numFmtId="0" fontId="26" fillId="0" borderId="0" xfId="7" applyFont="1"/>
    <xf numFmtId="0" fontId="23" fillId="0" borderId="0" xfId="7" applyAlignment="1">
      <alignment horizontal="right"/>
    </xf>
    <xf numFmtId="167" fontId="23" fillId="0" borderId="0" xfId="7" applyNumberFormat="1"/>
    <xf numFmtId="0" fontId="23" fillId="4" borderId="0" xfId="7" applyFill="1"/>
    <xf numFmtId="2" fontId="23" fillId="0" borderId="0" xfId="7" applyNumberFormat="1"/>
    <xf numFmtId="0" fontId="27" fillId="0" borderId="0" xfId="7" applyFont="1"/>
    <xf numFmtId="9" fontId="27" fillId="0" borderId="0" xfId="7" applyNumberFormat="1" applyFont="1"/>
    <xf numFmtId="165" fontId="23" fillId="0" borderId="0" xfId="7" applyNumberFormat="1"/>
    <xf numFmtId="167" fontId="2" fillId="2" borderId="0" xfId="0" applyNumberFormat="1" applyFont="1" applyFill="1" applyAlignment="1">
      <alignment horizontal="center" vertical="top" wrapText="1"/>
    </xf>
    <xf numFmtId="0" fontId="19" fillId="5" borderId="10" xfId="2" applyFont="1" applyFill="1" applyBorder="1" applyAlignment="1">
      <alignment horizontal="center"/>
    </xf>
    <xf numFmtId="0" fontId="13" fillId="4" borderId="11" xfId="3" applyFont="1" applyFill="1" applyBorder="1" applyAlignment="1" applyProtection="1">
      <alignment horizontal="center" vertical="center"/>
      <protection locked="0"/>
    </xf>
    <xf numFmtId="0" fontId="31" fillId="0" borderId="0" xfId="2" applyFont="1"/>
    <xf numFmtId="164" fontId="31" fillId="0" borderId="0" xfId="2" applyNumberFormat="1" applyFont="1"/>
    <xf numFmtId="2" fontId="9" fillId="0" borderId="0" xfId="2" applyNumberFormat="1" applyAlignment="1">
      <alignment horizontal="right" vertical="center"/>
    </xf>
    <xf numFmtId="0" fontId="0" fillId="12" borderId="0" xfId="0" applyFill="1"/>
    <xf numFmtId="0" fontId="9" fillId="12" borderId="0" xfId="2" applyFill="1"/>
    <xf numFmtId="9" fontId="9" fillId="12" borderId="0" xfId="1" applyFont="1" applyFill="1"/>
    <xf numFmtId="0" fontId="11" fillId="12" borderId="0" xfId="2" applyFont="1" applyFill="1"/>
    <xf numFmtId="10" fontId="3" fillId="0" borderId="0" xfId="1" applyNumberFormat="1" applyFont="1" applyFill="1" applyAlignment="1">
      <alignment horizontal="center"/>
    </xf>
    <xf numFmtId="0" fontId="17" fillId="4" borderId="12" xfId="3" applyFont="1" applyFill="1" applyBorder="1" applyAlignment="1" applyProtection="1">
      <alignment horizontal="center" vertical="center" wrapText="1"/>
      <protection locked="0"/>
    </xf>
    <xf numFmtId="0" fontId="40" fillId="12" borderId="0" xfId="2" applyFont="1" applyFill="1"/>
    <xf numFmtId="165" fontId="2" fillId="0" borderId="0" xfId="0" applyNumberFormat="1" applyFont="1" applyAlignment="1">
      <alignment horizontal="left"/>
    </xf>
    <xf numFmtId="9" fontId="15" fillId="0" borderId="0" xfId="1" applyFont="1" applyFill="1" applyBorder="1" applyAlignment="1">
      <alignment horizontal="center"/>
    </xf>
    <xf numFmtId="0" fontId="13" fillId="4" borderId="14" xfId="3" applyFont="1" applyFill="1" applyBorder="1" applyAlignment="1" applyProtection="1">
      <alignment horizontal="center" vertical="center" wrapText="1"/>
      <protection locked="0"/>
    </xf>
    <xf numFmtId="0" fontId="9" fillId="13" borderId="0" xfId="2" applyFill="1"/>
    <xf numFmtId="0" fontId="34" fillId="13" borderId="0" xfId="0" applyFont="1" applyFill="1"/>
    <xf numFmtId="0" fontId="0" fillId="13" borderId="0" xfId="0" applyFill="1"/>
    <xf numFmtId="9" fontId="0" fillId="13" borderId="0" xfId="4" applyFont="1" applyFill="1"/>
    <xf numFmtId="0" fontId="30" fillId="6" borderId="25" xfId="2" applyFont="1" applyFill="1" applyBorder="1" applyAlignment="1">
      <alignment horizontal="center" wrapText="1"/>
    </xf>
    <xf numFmtId="0" fontId="47" fillId="0" borderId="0" xfId="2" applyFont="1" applyAlignment="1">
      <alignment horizontal="left"/>
    </xf>
    <xf numFmtId="2" fontId="47" fillId="0" borderId="0" xfId="2" applyNumberFormat="1" applyFont="1"/>
    <xf numFmtId="0" fontId="47" fillId="0" borderId="0" xfId="2" applyFont="1"/>
    <xf numFmtId="9" fontId="36" fillId="2" borderId="12" xfId="1" applyFont="1" applyFill="1" applyBorder="1" applyAlignment="1">
      <alignment horizontal="center"/>
    </xf>
    <xf numFmtId="0" fontId="9" fillId="2" borderId="11" xfId="2" applyFill="1" applyBorder="1"/>
    <xf numFmtId="0" fontId="9" fillId="0" borderId="0" xfId="2" quotePrefix="1"/>
    <xf numFmtId="0" fontId="51" fillId="5" borderId="20" xfId="2" applyFont="1" applyFill="1" applyBorder="1"/>
    <xf numFmtId="0" fontId="51" fillId="5" borderId="16" xfId="2" applyFont="1" applyFill="1" applyBorder="1"/>
    <xf numFmtId="14" fontId="52" fillId="5" borderId="22" xfId="2" applyNumberFormat="1" applyFont="1" applyFill="1" applyBorder="1" applyAlignment="1">
      <alignment horizontal="left"/>
    </xf>
    <xf numFmtId="14" fontId="52" fillId="5" borderId="23" xfId="2" applyNumberFormat="1" applyFont="1" applyFill="1" applyBorder="1" applyAlignment="1">
      <alignment horizontal="left"/>
    </xf>
    <xf numFmtId="0" fontId="3" fillId="0" borderId="0" xfId="0" applyFont="1" applyAlignment="1">
      <alignment horizontal="center" wrapText="1"/>
    </xf>
    <xf numFmtId="2" fontId="2" fillId="0" borderId="0" xfId="0" applyNumberFormat="1" applyFont="1" applyAlignment="1">
      <alignment horizontal="center"/>
    </xf>
    <xf numFmtId="167" fontId="2" fillId="0" borderId="0" xfId="0" applyNumberFormat="1" applyFont="1" applyAlignment="1">
      <alignment horizontal="center"/>
    </xf>
    <xf numFmtId="167" fontId="0" fillId="0" borderId="0" xfId="1" applyNumberFormat="1" applyFont="1" applyAlignment="1">
      <alignment horizontal="center"/>
    </xf>
    <xf numFmtId="0" fontId="20" fillId="0" borderId="10" xfId="2" applyFont="1" applyBorder="1" applyAlignment="1">
      <alignment horizontal="center"/>
    </xf>
    <xf numFmtId="9" fontId="9" fillId="0" borderId="0" xfId="1" applyFont="1"/>
    <xf numFmtId="0" fontId="9" fillId="0" borderId="0" xfId="2" applyAlignment="1">
      <alignment horizontal="right"/>
    </xf>
    <xf numFmtId="0" fontId="9" fillId="0" borderId="0" xfId="2" applyAlignment="1">
      <alignment horizontal="left"/>
    </xf>
    <xf numFmtId="0" fontId="16" fillId="0" borderId="0" xfId="2" applyFont="1"/>
    <xf numFmtId="168" fontId="9" fillId="2" borderId="12" xfId="1" applyNumberFormat="1" applyFont="1" applyFill="1" applyBorder="1"/>
    <xf numFmtId="2" fontId="13" fillId="0" borderId="0" xfId="2" applyNumberFormat="1" applyFont="1" applyAlignment="1" applyProtection="1">
      <alignment horizontal="left"/>
      <protection locked="0"/>
    </xf>
    <xf numFmtId="2" fontId="13" fillId="0" borderId="0" xfId="2" applyNumberFormat="1" applyFont="1" applyProtection="1">
      <protection locked="0"/>
    </xf>
    <xf numFmtId="2" fontId="39" fillId="0" borderId="0" xfId="2" applyNumberFormat="1" applyFont="1" applyProtection="1">
      <protection locked="0"/>
    </xf>
    <xf numFmtId="0" fontId="9" fillId="0" borderId="0" xfId="2" applyProtection="1">
      <protection locked="0"/>
    </xf>
    <xf numFmtId="9" fontId="13" fillId="2" borderId="11" xfId="1" applyFont="1" applyFill="1" applyBorder="1" applyAlignment="1">
      <alignment horizontal="center"/>
    </xf>
    <xf numFmtId="0" fontId="0" fillId="5" borderId="17" xfId="0" applyFill="1" applyBorder="1"/>
    <xf numFmtId="0" fontId="49" fillId="5" borderId="22" xfId="2" applyFont="1" applyFill="1" applyBorder="1"/>
    <xf numFmtId="10" fontId="3" fillId="2" borderId="0" xfId="1" applyNumberFormat="1" applyFont="1" applyFill="1" applyAlignment="1">
      <alignment horizontal="center"/>
    </xf>
    <xf numFmtId="0" fontId="29" fillId="0" borderId="0" xfId="2" applyFont="1"/>
    <xf numFmtId="0" fontId="13" fillId="13" borderId="0" xfId="2" applyFont="1" applyFill="1"/>
    <xf numFmtId="0" fontId="11" fillId="13" borderId="0" xfId="2" applyFont="1" applyFill="1"/>
    <xf numFmtId="0" fontId="9" fillId="11" borderId="0" xfId="2" applyFill="1"/>
    <xf numFmtId="0" fontId="45" fillId="11" borderId="0" xfId="0" applyFont="1" applyFill="1"/>
    <xf numFmtId="0" fontId="46" fillId="11" borderId="0" xfId="0" applyFont="1" applyFill="1"/>
    <xf numFmtId="9" fontId="9" fillId="0" borderId="0" xfId="1" applyFont="1" applyFill="1"/>
    <xf numFmtId="0" fontId="10" fillId="0" borderId="0" xfId="2" applyFont="1"/>
    <xf numFmtId="0" fontId="11" fillId="0" borderId="0" xfId="2" applyFont="1"/>
    <xf numFmtId="0" fontId="49" fillId="0" borderId="0" xfId="2" applyFont="1"/>
    <xf numFmtId="0" fontId="0" fillId="0" borderId="0" xfId="0" applyAlignment="1">
      <alignment wrapText="1"/>
    </xf>
    <xf numFmtId="0" fontId="9" fillId="2" borderId="10" xfId="2" applyFill="1" applyBorder="1"/>
    <xf numFmtId="0" fontId="9" fillId="2" borderId="12" xfId="2" applyFill="1" applyBorder="1"/>
    <xf numFmtId="0" fontId="3" fillId="4" borderId="0" xfId="0" applyFont="1" applyFill="1" applyAlignment="1">
      <alignment horizontal="center" vertical="top" wrapText="1"/>
    </xf>
    <xf numFmtId="170" fontId="0" fillId="0" borderId="0" xfId="0" applyNumberFormat="1" applyAlignment="1">
      <alignment horizontal="center"/>
    </xf>
    <xf numFmtId="9" fontId="0" fillId="0" borderId="0" xfId="1" applyFont="1" applyAlignment="1">
      <alignment horizontal="center"/>
    </xf>
    <xf numFmtId="0" fontId="28" fillId="0" borderId="0" xfId="2" applyFont="1" applyAlignment="1">
      <alignment vertical="center" wrapText="1"/>
    </xf>
    <xf numFmtId="0" fontId="37" fillId="0" borderId="0" xfId="0" applyFont="1" applyAlignment="1">
      <alignment vertical="center"/>
    </xf>
    <xf numFmtId="10" fontId="9" fillId="0" borderId="0" xfId="2" applyNumberFormat="1"/>
    <xf numFmtId="170" fontId="0" fillId="2" borderId="0" xfId="0" applyNumberFormat="1" applyFill="1" applyAlignment="1">
      <alignment horizontal="center"/>
    </xf>
    <xf numFmtId="0" fontId="3" fillId="0" borderId="0" xfId="0" applyFont="1" applyAlignment="1">
      <alignment horizontal="center"/>
    </xf>
    <xf numFmtId="2" fontId="3" fillId="5" borderId="0" xfId="0" applyNumberFormat="1" applyFont="1" applyFill="1" applyAlignment="1">
      <alignment horizontal="center" vertical="top" wrapText="1"/>
    </xf>
    <xf numFmtId="2" fontId="4" fillId="5" borderId="0" xfId="0" applyNumberFormat="1" applyFont="1" applyFill="1" applyAlignment="1">
      <alignment horizontal="center"/>
    </xf>
    <xf numFmtId="9" fontId="2" fillId="0" borderId="0" xfId="0" applyNumberFormat="1" applyFont="1" applyAlignment="1">
      <alignment horizontal="center"/>
    </xf>
    <xf numFmtId="9" fontId="2" fillId="0" borderId="0" xfId="1" applyFont="1" applyAlignment="1">
      <alignment horizontal="center"/>
    </xf>
    <xf numFmtId="10" fontId="0" fillId="0" borderId="0" xfId="0" applyNumberFormat="1" applyAlignment="1">
      <alignment horizontal="center"/>
    </xf>
    <xf numFmtId="9" fontId="9" fillId="13" borderId="0" xfId="2" applyNumberFormat="1" applyFill="1"/>
    <xf numFmtId="0" fontId="28" fillId="0" borderId="0" xfId="2" applyFont="1" applyAlignment="1">
      <alignment wrapText="1"/>
    </xf>
    <xf numFmtId="2" fontId="3" fillId="0" borderId="0" xfId="0" applyNumberFormat="1" applyFont="1" applyAlignment="1">
      <alignment horizontal="center"/>
    </xf>
    <xf numFmtId="9" fontId="0" fillId="0" borderId="0" xfId="1" applyFont="1" applyFill="1" applyAlignment="1">
      <alignment horizontal="center"/>
    </xf>
    <xf numFmtId="164" fontId="3" fillId="0" borderId="0" xfId="6" applyFont="1" applyFill="1" applyAlignment="1">
      <alignment horizontal="center"/>
    </xf>
    <xf numFmtId="9" fontId="11" fillId="2" borderId="15" xfId="1" applyFont="1" applyFill="1" applyBorder="1" applyAlignment="1">
      <alignment horizontal="center"/>
    </xf>
    <xf numFmtId="0" fontId="60" fillId="0" borderId="0" xfId="2" applyFont="1"/>
    <xf numFmtId="0" fontId="9" fillId="7" borderId="28" xfId="2" applyFill="1" applyBorder="1"/>
    <xf numFmtId="0" fontId="9" fillId="7" borderId="29" xfId="2" applyFill="1" applyBorder="1"/>
    <xf numFmtId="0" fontId="56" fillId="7" borderId="10" xfId="2" applyFont="1" applyFill="1" applyBorder="1" applyAlignment="1">
      <alignment horizontal="center"/>
    </xf>
    <xf numFmtId="0" fontId="61" fillId="7" borderId="27" xfId="2" applyFont="1" applyFill="1" applyBorder="1"/>
    <xf numFmtId="0" fontId="56" fillId="7" borderId="24" xfId="2" applyFont="1" applyFill="1" applyBorder="1" applyAlignment="1">
      <alignment horizontal="center"/>
    </xf>
    <xf numFmtId="0" fontId="62" fillId="0" borderId="0" xfId="0" applyFont="1"/>
    <xf numFmtId="0" fontId="39" fillId="0" borderId="0" xfId="2" applyFont="1" applyAlignment="1">
      <alignment horizontal="left"/>
    </xf>
    <xf numFmtId="0" fontId="28" fillId="0" borderId="0" xfId="2" applyFont="1" applyAlignment="1">
      <alignment horizontal="center" vertical="center" wrapText="1"/>
    </xf>
    <xf numFmtId="0" fontId="0" fillId="0" borderId="0" xfId="0" applyAlignment="1">
      <alignment vertical="center"/>
    </xf>
    <xf numFmtId="166" fontId="2" fillId="0" borderId="0" xfId="0" applyNumberFormat="1" applyFont="1" applyAlignment="1">
      <alignment horizontal="center"/>
    </xf>
    <xf numFmtId="0" fontId="28" fillId="0" borderId="0" xfId="0" applyFont="1" applyAlignment="1">
      <alignment horizontal="left" vertical="center"/>
    </xf>
    <xf numFmtId="0" fontId="61" fillId="7" borderId="27" xfId="0" applyFont="1" applyFill="1" applyBorder="1" applyAlignment="1">
      <alignment vertical="center"/>
    </xf>
    <xf numFmtId="0" fontId="37" fillId="7" borderId="28" xfId="0" applyFont="1" applyFill="1" applyBorder="1" applyAlignment="1">
      <alignment vertical="center"/>
    </xf>
    <xf numFmtId="0" fontId="37" fillId="7" borderId="29" xfId="0" applyFont="1" applyFill="1" applyBorder="1" applyAlignment="1">
      <alignment vertical="center"/>
    </xf>
    <xf numFmtId="171" fontId="0" fillId="3" borderId="0" xfId="0" applyNumberFormat="1" applyFill="1" applyAlignment="1">
      <alignment horizontal="center"/>
    </xf>
    <xf numFmtId="0" fontId="13" fillId="4" borderId="13" xfId="3" applyFont="1" applyFill="1" applyBorder="1" applyAlignment="1" applyProtection="1">
      <alignment horizontal="center" vertical="center"/>
      <protection locked="0"/>
    </xf>
    <xf numFmtId="0" fontId="65" fillId="0" borderId="0" xfId="0" applyFont="1" applyAlignment="1">
      <alignment horizontal="center" wrapText="1"/>
    </xf>
    <xf numFmtId="0" fontId="0" fillId="0" borderId="0" xfId="0" applyAlignment="1">
      <alignment horizontal="left"/>
    </xf>
    <xf numFmtId="9" fontId="2" fillId="0" borderId="0" xfId="1" applyFont="1" applyFill="1" applyAlignment="1">
      <alignment horizontal="center"/>
    </xf>
    <xf numFmtId="171" fontId="0" fillId="7" borderId="0" xfId="0" applyNumberFormat="1" applyFill="1" applyAlignment="1">
      <alignment horizontal="center"/>
    </xf>
    <xf numFmtId="166" fontId="0" fillId="7" borderId="0" xfId="0" applyNumberFormat="1" applyFill="1"/>
    <xf numFmtId="166" fontId="0" fillId="3" borderId="0" xfId="0" applyNumberFormat="1" applyFill="1"/>
    <xf numFmtId="10" fontId="0" fillId="2" borderId="0" xfId="1" applyNumberFormat="1" applyFont="1" applyFill="1" applyAlignment="1">
      <alignment horizontal="center"/>
    </xf>
    <xf numFmtId="0" fontId="66" fillId="14" borderId="12" xfId="2" applyFont="1" applyFill="1" applyBorder="1" applyAlignment="1">
      <alignment horizontal="center"/>
    </xf>
    <xf numFmtId="0" fontId="61" fillId="15" borderId="26" xfId="2" applyFont="1" applyFill="1" applyBorder="1"/>
    <xf numFmtId="9" fontId="9" fillId="0" borderId="0" xfId="1" applyFont="1" applyAlignment="1">
      <alignment horizontal="center" vertical="top"/>
    </xf>
    <xf numFmtId="0" fontId="9" fillId="0" borderId="0" xfId="2" applyAlignment="1">
      <alignment horizontal="center" vertical="center"/>
    </xf>
    <xf numFmtId="0" fontId="67" fillId="14" borderId="15" xfId="2" applyFont="1" applyFill="1" applyBorder="1" applyAlignment="1">
      <alignment horizontal="center" wrapText="1"/>
    </xf>
    <xf numFmtId="167" fontId="9" fillId="0" borderId="0" xfId="2" quotePrefix="1" applyNumberFormat="1" applyProtection="1">
      <protection locked="0"/>
    </xf>
    <xf numFmtId="2" fontId="9" fillId="0" borderId="0" xfId="2" applyNumberFormat="1" applyProtection="1">
      <protection locked="0"/>
    </xf>
    <xf numFmtId="169" fontId="9" fillId="0" borderId="0" xfId="6" applyNumberFormat="1" applyFont="1" applyProtection="1">
      <protection locked="0"/>
    </xf>
    <xf numFmtId="0" fontId="51" fillId="4" borderId="19" xfId="2" applyFont="1" applyFill="1" applyBorder="1" applyProtection="1">
      <protection locked="0"/>
    </xf>
    <xf numFmtId="0" fontId="51" fillId="4" borderId="21" xfId="2" applyFont="1" applyFill="1" applyBorder="1" applyProtection="1">
      <protection locked="0"/>
    </xf>
    <xf numFmtId="0" fontId="64" fillId="5" borderId="0" xfId="0" applyFont="1" applyFill="1"/>
    <xf numFmtId="0" fontId="64" fillId="5" borderId="16" xfId="0" applyFont="1" applyFill="1" applyBorder="1"/>
    <xf numFmtId="0" fontId="49" fillId="5" borderId="21" xfId="2" applyFont="1" applyFill="1" applyBorder="1" applyAlignment="1">
      <alignment horizontal="left" vertical="center"/>
    </xf>
    <xf numFmtId="0" fontId="38" fillId="5" borderId="0" xfId="0" applyFont="1" applyFill="1" applyAlignment="1">
      <alignment horizontal="left" vertical="center"/>
    </xf>
    <xf numFmtId="0" fontId="38" fillId="5" borderId="16" xfId="0" applyFont="1" applyFill="1" applyBorder="1" applyAlignment="1">
      <alignment horizontal="left" vertical="center"/>
    </xf>
    <xf numFmtId="0" fontId="49" fillId="5" borderId="21" xfId="2" applyFont="1" applyFill="1" applyBorder="1"/>
    <xf numFmtId="0" fontId="9" fillId="5" borderId="17" xfId="2" applyFill="1" applyBorder="1"/>
    <xf numFmtId="0" fontId="9" fillId="5" borderId="23" xfId="2" applyFill="1" applyBorder="1"/>
    <xf numFmtId="0" fontId="51" fillId="5" borderId="19" xfId="0" applyFont="1" applyFill="1" applyBorder="1"/>
    <xf numFmtId="0" fontId="38" fillId="5" borderId="0" xfId="0" applyFont="1" applyFill="1"/>
    <xf numFmtId="0" fontId="9" fillId="5" borderId="18" xfId="2" applyFill="1" applyBorder="1"/>
    <xf numFmtId="0" fontId="9" fillId="5" borderId="20" xfId="2" applyFill="1" applyBorder="1"/>
    <xf numFmtId="0" fontId="38" fillId="5" borderId="16" xfId="0" applyFont="1" applyFill="1" applyBorder="1"/>
    <xf numFmtId="167" fontId="4" fillId="5" borderId="0" xfId="0" applyNumberFormat="1" applyFont="1" applyFill="1" applyAlignment="1">
      <alignment horizontal="center"/>
    </xf>
    <xf numFmtId="167" fontId="0" fillId="2" borderId="0" xfId="1" applyNumberFormat="1" applyFont="1" applyFill="1" applyAlignment="1">
      <alignment horizontal="center"/>
    </xf>
    <xf numFmtId="0" fontId="17" fillId="4" borderId="11" xfId="3" applyFont="1" applyFill="1" applyBorder="1" applyAlignment="1" applyProtection="1">
      <alignment horizontal="center" vertical="center"/>
      <protection locked="0"/>
    </xf>
    <xf numFmtId="9" fontId="9" fillId="2" borderId="11" xfId="1" applyFont="1" applyFill="1" applyBorder="1" applyAlignment="1" applyProtection="1">
      <alignment horizontal="center" vertical="center"/>
    </xf>
    <xf numFmtId="9" fontId="13" fillId="2" borderId="12" xfId="3" applyNumberFormat="1" applyFont="1" applyFill="1" applyBorder="1" applyAlignment="1">
      <alignment horizontal="center" vertical="center"/>
    </xf>
    <xf numFmtId="170" fontId="0" fillId="4" borderId="0" xfId="0" applyNumberFormat="1" applyFill="1" applyAlignment="1">
      <alignment horizontal="center"/>
    </xf>
    <xf numFmtId="0" fontId="0" fillId="16" borderId="0" xfId="0" applyFill="1" applyAlignment="1">
      <alignment horizontal="center"/>
    </xf>
    <xf numFmtId="0" fontId="2" fillId="16" borderId="0" xfId="0" applyFont="1" applyFill="1" applyAlignment="1">
      <alignment horizontal="center"/>
    </xf>
    <xf numFmtId="0" fontId="13" fillId="0" borderId="0" xfId="2" applyFont="1"/>
    <xf numFmtId="9" fontId="0" fillId="0" borderId="0" xfId="0" applyNumberFormat="1"/>
    <xf numFmtId="0" fontId="69" fillId="0" borderId="0" xfId="0" applyFont="1"/>
    <xf numFmtId="0" fontId="69" fillId="0" borderId="0" xfId="2" applyFont="1"/>
    <xf numFmtId="10" fontId="9" fillId="0" borderId="0" xfId="2" quotePrefix="1" applyNumberFormat="1"/>
    <xf numFmtId="0" fontId="20" fillId="11" borderId="0" xfId="2" applyFont="1" applyFill="1"/>
    <xf numFmtId="0" fontId="57" fillId="11" borderId="0" xfId="0" applyFont="1" applyFill="1" applyAlignment="1">
      <alignment horizontal="left" wrapText="1"/>
    </xf>
    <xf numFmtId="0" fontId="58" fillId="11" borderId="0" xfId="0" applyFont="1" applyFill="1" applyAlignment="1">
      <alignment horizontal="left" wrapText="1"/>
    </xf>
    <xf numFmtId="0" fontId="58" fillId="11" borderId="0" xfId="0" applyFont="1" applyFill="1" applyAlignment="1">
      <alignment horizontal="left"/>
    </xf>
    <xf numFmtId="0" fontId="35" fillId="0" borderId="0" xfId="2" applyFont="1"/>
    <xf numFmtId="0" fontId="41" fillId="2" borderId="12" xfId="2" applyFont="1" applyFill="1" applyBorder="1" applyAlignment="1">
      <alignment horizontal="center" vertical="center" textRotation="180"/>
    </xf>
    <xf numFmtId="0" fontId="42" fillId="0" borderId="12" xfId="0" applyFont="1" applyBorder="1" applyAlignment="1">
      <alignment horizontal="center" vertical="center" textRotation="180"/>
    </xf>
    <xf numFmtId="0" fontId="0" fillId="0" borderId="12" xfId="0" applyBorder="1"/>
    <xf numFmtId="0" fontId="29" fillId="0" borderId="0" xfId="2" applyFont="1" applyAlignment="1">
      <alignment vertical="center" wrapText="1"/>
    </xf>
    <xf numFmtId="0" fontId="28" fillId="0" borderId="0" xfId="0" applyFont="1" applyAlignment="1">
      <alignment wrapText="1"/>
    </xf>
    <xf numFmtId="165" fontId="39" fillId="0" borderId="8" xfId="2" applyNumberFormat="1" applyFont="1" applyBorder="1" applyAlignment="1">
      <alignment horizontal="left" wrapText="1"/>
    </xf>
    <xf numFmtId="0" fontId="63" fillId="0" borderId="0" xfId="0" applyFont="1" applyAlignment="1">
      <alignment horizontal="left" wrapText="1"/>
    </xf>
    <xf numFmtId="0" fontId="0" fillId="0" borderId="16" xfId="0" applyBorder="1"/>
    <xf numFmtId="0" fontId="28" fillId="0" borderId="0" xfId="2" applyFont="1" applyAlignment="1">
      <alignment horizontal="center" wrapText="1"/>
    </xf>
    <xf numFmtId="0" fontId="59" fillId="0" borderId="0" xfId="0" applyFont="1" applyAlignment="1">
      <alignment horizontal="center" wrapText="1"/>
    </xf>
    <xf numFmtId="0" fontId="33" fillId="0" borderId="0" xfId="2" applyFont="1" applyAlignment="1">
      <alignment wrapText="1"/>
    </xf>
    <xf numFmtId="0" fontId="44" fillId="0" borderId="0" xfId="0" applyFont="1" applyAlignment="1">
      <alignment wrapText="1"/>
    </xf>
    <xf numFmtId="0" fontId="28" fillId="0" borderId="0" xfId="2" applyFont="1" applyAlignment="1">
      <alignment wrapText="1"/>
    </xf>
    <xf numFmtId="0" fontId="59" fillId="0" borderId="0" xfId="0" applyFont="1" applyAlignment="1">
      <alignment wrapText="1"/>
    </xf>
    <xf numFmtId="0" fontId="59" fillId="0" borderId="16" xfId="0" applyFont="1" applyBorder="1" applyAlignment="1">
      <alignment wrapText="1"/>
    </xf>
    <xf numFmtId="0" fontId="0" fillId="0" borderId="0" xfId="0"/>
    <xf numFmtId="0" fontId="28" fillId="0" borderId="21" xfId="0" applyFont="1" applyBorder="1" applyAlignment="1">
      <alignment vertical="top" wrapText="1"/>
    </xf>
    <xf numFmtId="0" fontId="57" fillId="12" borderId="0" xfId="0" applyFont="1" applyFill="1" applyAlignment="1">
      <alignment horizontal="left" wrapText="1"/>
    </xf>
    <xf numFmtId="0" fontId="58" fillId="12" borderId="0" xfId="0" applyFont="1" applyFill="1" applyAlignment="1">
      <alignment horizontal="left" wrapText="1"/>
    </xf>
    <xf numFmtId="0" fontId="58" fillId="12" borderId="0" xfId="0" applyFont="1" applyFill="1" applyAlignment="1">
      <alignment horizontal="left"/>
    </xf>
    <xf numFmtId="0" fontId="28" fillId="0" borderId="21" xfId="2" applyFont="1" applyBorder="1" applyAlignment="1">
      <alignment wrapText="1"/>
    </xf>
    <xf numFmtId="0" fontId="0" fillId="0" borderId="21" xfId="0" applyBorder="1" applyAlignment="1">
      <alignment wrapText="1"/>
    </xf>
    <xf numFmtId="0" fontId="0" fillId="0" borderId="0" xfId="0" applyAlignment="1">
      <alignment wrapText="1"/>
    </xf>
    <xf numFmtId="0" fontId="17" fillId="4" borderId="0" xfId="3" applyFont="1" applyFill="1" applyAlignment="1" applyProtection="1">
      <alignment horizontal="center" vertical="center" wrapText="1"/>
      <protection locked="0"/>
    </xf>
    <xf numFmtId="0" fontId="0" fillId="0" borderId="0" xfId="0" applyAlignment="1">
      <alignment horizontal="center" wrapText="1"/>
    </xf>
    <xf numFmtId="0" fontId="0" fillId="0" borderId="17" xfId="0" applyBorder="1" applyAlignment="1">
      <alignment horizontal="center"/>
    </xf>
    <xf numFmtId="0" fontId="28" fillId="10" borderId="0" xfId="2" applyFont="1" applyFill="1" applyAlignment="1">
      <alignment horizontal="center" vertical="center" wrapText="1"/>
    </xf>
    <xf numFmtId="0" fontId="38" fillId="0" borderId="0" xfId="0" applyFont="1" applyAlignment="1">
      <alignment vertical="center" wrapText="1"/>
    </xf>
    <xf numFmtId="0" fontId="28" fillId="0" borderId="0" xfId="2" quotePrefix="1" applyFont="1" applyAlignment="1">
      <alignment horizontal="center" vertical="center" wrapText="1"/>
    </xf>
    <xf numFmtId="0" fontId="59" fillId="0" borderId="0" xfId="0" applyFont="1" applyAlignment="1">
      <alignment horizontal="center" vertical="center" wrapText="1"/>
    </xf>
    <xf numFmtId="0" fontId="59" fillId="0" borderId="0" xfId="0" applyFont="1" applyAlignment="1">
      <alignment horizontal="center" vertic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cellXfs>
  <cellStyles count="8">
    <cellStyle name="Komma" xfId="6" builtinId="3"/>
    <cellStyle name="Procent" xfId="1" builtinId="5"/>
    <cellStyle name="Procent 2" xfId="4" xr:uid="{00000000-0005-0000-0000-000003000000}"/>
    <cellStyle name="Standaard" xfId="0" builtinId="0"/>
    <cellStyle name="Standaard 2" xfId="2" xr:uid="{00000000-0005-0000-0000-000005000000}"/>
    <cellStyle name="Standaard 2 2" xfId="3" xr:uid="{00000000-0005-0000-0000-000006000000}"/>
    <cellStyle name="Standaard 3" xfId="5" xr:uid="{00000000-0005-0000-0000-000007000000}"/>
    <cellStyle name="Standaard 4" xfId="7" xr:uid="{00000000-0005-0000-0000-000008000000}"/>
  </cellStyles>
  <dxfs count="2">
    <dxf>
      <numFmt numFmtId="13" formatCode="0%"/>
    </dxf>
    <dxf>
      <font>
        <b val="0"/>
        <i val="0"/>
        <strike val="0"/>
        <condense val="0"/>
        <extend val="0"/>
        <outline val="0"/>
        <shadow val="0"/>
        <u val="none"/>
        <vertAlign val="baseline"/>
        <sz val="12"/>
        <color rgb="FF222222"/>
        <name val="Calibri"/>
        <family val="2"/>
        <scheme val="minor"/>
      </font>
    </dxf>
  </dxfs>
  <tableStyles count="0" defaultTableStyle="TableStyleMedium2" defaultPivotStyle="PivotStyleLight16"/>
  <colors>
    <mruColors>
      <color rgb="FFFFFF00"/>
      <color rgb="FF8064A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Spin" dx="26" fmlaLink="$D$19" inc="5" max="170" page="10" val="0"/>
</file>

<file path=xl/ctrlProps/ctrlProp2.xml><?xml version="1.0" encoding="utf-8"?>
<formControlPr xmlns="http://schemas.microsoft.com/office/spreadsheetml/2009/9/main" objectType="Spin" dx="26" fmlaLink="$D$24" inc="5" max="175" page="10" val="0"/>
</file>

<file path=xl/ctrlProps/ctrlProp3.xml><?xml version="1.0" encoding="utf-8"?>
<formControlPr xmlns="http://schemas.microsoft.com/office/spreadsheetml/2009/9/main" objectType="Spin" dx="26" inc="5" max="620" page="10" val="0"/>
</file>

<file path=xl/ctrlProps/ctrlProp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7</xdr:col>
      <xdr:colOff>293077</xdr:colOff>
      <xdr:row>25</xdr:row>
      <xdr:rowOff>279246</xdr:rowOff>
    </xdr:from>
    <xdr:to>
      <xdr:col>7</xdr:col>
      <xdr:colOff>1974512</xdr:colOff>
      <xdr:row>27</xdr:row>
      <xdr:rowOff>166082</xdr:rowOff>
    </xdr:to>
    <xdr:sp macro="" textlink="">
      <xdr:nvSpPr>
        <xdr:cNvPr id="2" name="Gebogen pijl 2">
          <a:extLst>
            <a:ext uri="{FF2B5EF4-FFF2-40B4-BE49-F238E27FC236}">
              <a16:creationId xmlns:a16="http://schemas.microsoft.com/office/drawing/2014/main" id="{00000000-0008-0000-0000-000002000000}"/>
            </a:ext>
          </a:extLst>
        </xdr:cNvPr>
        <xdr:cNvSpPr/>
      </xdr:nvSpPr>
      <xdr:spPr>
        <a:xfrm rot="5400000">
          <a:off x="4984502" y="6357421"/>
          <a:ext cx="705986" cy="1681435"/>
        </a:xfrm>
        <a:prstGeom prst="bentArrow">
          <a:avLst>
            <a:gd name="adj1" fmla="val 25000"/>
            <a:gd name="adj2" fmla="val 22210"/>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5</xdr:col>
      <xdr:colOff>23082</xdr:colOff>
      <xdr:row>25</xdr:row>
      <xdr:rowOff>39255</xdr:rowOff>
    </xdr:from>
    <xdr:to>
      <xdr:col>11</xdr:col>
      <xdr:colOff>38589</xdr:colOff>
      <xdr:row>26</xdr:row>
      <xdr:rowOff>278861</xdr:rowOff>
    </xdr:to>
    <xdr:sp macro="" textlink="">
      <xdr:nvSpPr>
        <xdr:cNvPr id="3" name="Pijl-rechts 4">
          <a:extLst>
            <a:ext uri="{FF2B5EF4-FFF2-40B4-BE49-F238E27FC236}">
              <a16:creationId xmlns:a16="http://schemas.microsoft.com/office/drawing/2014/main" id="{00000000-0008-0000-0000-000003000000}"/>
            </a:ext>
          </a:extLst>
        </xdr:cNvPr>
        <xdr:cNvSpPr/>
      </xdr:nvSpPr>
      <xdr:spPr>
        <a:xfrm>
          <a:off x="2899632" y="6605155"/>
          <a:ext cx="5819407" cy="747606"/>
        </a:xfrm>
        <a:prstGeom prst="rightArrow">
          <a:avLst/>
        </a:prstGeom>
        <a:solidFill>
          <a:schemeClr val="tx2">
            <a:alpha val="3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203790</xdr:colOff>
      <xdr:row>11</xdr:row>
      <xdr:rowOff>108857</xdr:rowOff>
    </xdr:from>
    <xdr:to>
      <xdr:col>4</xdr:col>
      <xdr:colOff>2422070</xdr:colOff>
      <xdr:row>17</xdr:row>
      <xdr:rowOff>0</xdr:rowOff>
    </xdr:to>
    <xdr:sp macro="" textlink="">
      <xdr:nvSpPr>
        <xdr:cNvPr id="4" name="Gelijkbenige driehoek 5">
          <a:extLst>
            <a:ext uri="{FF2B5EF4-FFF2-40B4-BE49-F238E27FC236}">
              <a16:creationId xmlns:a16="http://schemas.microsoft.com/office/drawing/2014/main" id="{00000000-0008-0000-0000-000004000000}"/>
            </a:ext>
          </a:extLst>
        </xdr:cNvPr>
        <xdr:cNvSpPr/>
      </xdr:nvSpPr>
      <xdr:spPr>
        <a:xfrm>
          <a:off x="451440" y="2667907"/>
          <a:ext cx="2427830" cy="1599293"/>
        </a:xfrm>
        <a:prstGeom prst="triangle">
          <a:avLst>
            <a:gd name="adj" fmla="val 48505"/>
          </a:avLst>
        </a:prstGeom>
        <a:solidFill>
          <a:schemeClr val="tx2">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2</xdr:col>
      <xdr:colOff>320040</xdr:colOff>
      <xdr:row>17</xdr:row>
      <xdr:rowOff>0</xdr:rowOff>
    </xdr:from>
    <xdr:to>
      <xdr:col>5</xdr:col>
      <xdr:colOff>0</xdr:colOff>
      <xdr:row>28</xdr:row>
      <xdr:rowOff>22860</xdr:rowOff>
    </xdr:to>
    <xdr:sp macro="" textlink="">
      <xdr:nvSpPr>
        <xdr:cNvPr id="5" name="Rechthoek 6">
          <a:extLst>
            <a:ext uri="{FF2B5EF4-FFF2-40B4-BE49-F238E27FC236}">
              <a16:creationId xmlns:a16="http://schemas.microsoft.com/office/drawing/2014/main" id="{00000000-0008-0000-0000-000005000000}"/>
            </a:ext>
          </a:extLst>
        </xdr:cNvPr>
        <xdr:cNvSpPr/>
      </xdr:nvSpPr>
      <xdr:spPr>
        <a:xfrm>
          <a:off x="459740" y="4267200"/>
          <a:ext cx="2416810" cy="339471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5</xdr:col>
      <xdr:colOff>5715</xdr:colOff>
      <xdr:row>17</xdr:row>
      <xdr:rowOff>201084</xdr:rowOff>
    </xdr:from>
    <xdr:to>
      <xdr:col>6</xdr:col>
      <xdr:colOff>628651</xdr:colOff>
      <xdr:row>19</xdr:row>
      <xdr:rowOff>132504</xdr:rowOff>
    </xdr:to>
    <xdr:sp macro="" textlink="">
      <xdr:nvSpPr>
        <xdr:cNvPr id="6" name="Pijl-rechts 7">
          <a:extLst>
            <a:ext uri="{FF2B5EF4-FFF2-40B4-BE49-F238E27FC236}">
              <a16:creationId xmlns:a16="http://schemas.microsoft.com/office/drawing/2014/main" id="{00000000-0008-0000-0000-000006000000}"/>
            </a:ext>
          </a:extLst>
        </xdr:cNvPr>
        <xdr:cNvSpPr/>
      </xdr:nvSpPr>
      <xdr:spPr>
        <a:xfrm>
          <a:off x="2882265" y="4468284"/>
          <a:ext cx="1296036" cy="439420"/>
        </a:xfrm>
        <a:prstGeom prst="rightArrow">
          <a:avLst/>
        </a:prstGeom>
        <a:solidFill>
          <a:srgbClr val="FFFF00">
            <a:alpha val="43922"/>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2343069</xdr:colOff>
      <xdr:row>14</xdr:row>
      <xdr:rowOff>210447</xdr:rowOff>
    </xdr:from>
    <xdr:to>
      <xdr:col>16</xdr:col>
      <xdr:colOff>46183</xdr:colOff>
      <xdr:row>16</xdr:row>
      <xdr:rowOff>163588</xdr:rowOff>
    </xdr:to>
    <xdr:sp macro="" textlink="">
      <xdr:nvSpPr>
        <xdr:cNvPr id="7" name="Pijl-omhoog 10">
          <a:extLst>
            <a:ext uri="{FF2B5EF4-FFF2-40B4-BE49-F238E27FC236}">
              <a16:creationId xmlns:a16="http://schemas.microsoft.com/office/drawing/2014/main" id="{00000000-0008-0000-0000-000007000000}"/>
            </a:ext>
          </a:extLst>
        </xdr:cNvPr>
        <xdr:cNvSpPr/>
      </xdr:nvSpPr>
      <xdr:spPr>
        <a:xfrm rot="5400000">
          <a:off x="11528146" y="-638812"/>
          <a:ext cx="622777" cy="9433296"/>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7</xdr:col>
      <xdr:colOff>1562117</xdr:colOff>
      <xdr:row>25</xdr:row>
      <xdr:rowOff>14063</xdr:rowOff>
    </xdr:from>
    <xdr:to>
      <xdr:col>16</xdr:col>
      <xdr:colOff>23542</xdr:colOff>
      <xdr:row>28</xdr:row>
      <xdr:rowOff>200329</xdr:rowOff>
    </xdr:to>
    <xdr:sp macro="" textlink="">
      <xdr:nvSpPr>
        <xdr:cNvPr id="8" name="Gebogen pijl 11">
          <a:extLst>
            <a:ext uri="{FF2B5EF4-FFF2-40B4-BE49-F238E27FC236}">
              <a16:creationId xmlns:a16="http://schemas.microsoft.com/office/drawing/2014/main" id="{00000000-0008-0000-0000-000008000000}"/>
            </a:ext>
          </a:extLst>
        </xdr:cNvPr>
        <xdr:cNvSpPr/>
      </xdr:nvSpPr>
      <xdr:spPr>
        <a:xfrm rot="10800000" flipH="1">
          <a:off x="5985950" y="6808563"/>
          <a:ext cx="7922925" cy="1255183"/>
        </a:xfrm>
        <a:prstGeom prst="bentArrow">
          <a:avLst>
            <a:gd name="adj1" fmla="val 25000"/>
            <a:gd name="adj2" fmla="val 21747"/>
            <a:gd name="adj3" fmla="val 25000"/>
            <a:gd name="adj4" fmla="val 43750"/>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xdr:twoCellAnchor>
    <xdr:from>
      <xdr:col>11</xdr:col>
      <xdr:colOff>768281</xdr:colOff>
      <xdr:row>32</xdr:row>
      <xdr:rowOff>32657</xdr:rowOff>
    </xdr:from>
    <xdr:to>
      <xdr:col>12</xdr:col>
      <xdr:colOff>457200</xdr:colOff>
      <xdr:row>35</xdr:row>
      <xdr:rowOff>0</xdr:rowOff>
    </xdr:to>
    <xdr:sp macro="[0]!Macro1" textlink="">
      <xdr:nvSpPr>
        <xdr:cNvPr id="9" name="Afgeronde rechthoek 12">
          <a:extLst>
            <a:ext uri="{FF2B5EF4-FFF2-40B4-BE49-F238E27FC236}">
              <a16:creationId xmlns:a16="http://schemas.microsoft.com/office/drawing/2014/main" id="{00000000-0008-0000-0000-000009000000}"/>
            </a:ext>
          </a:extLst>
        </xdr:cNvPr>
        <xdr:cNvSpPr/>
      </xdr:nvSpPr>
      <xdr:spPr>
        <a:xfrm>
          <a:off x="9901395" y="8980714"/>
          <a:ext cx="1833405" cy="762000"/>
        </a:xfrm>
        <a:prstGeom prst="roundRect">
          <a:avLst/>
        </a:prstGeom>
        <a:solidFill>
          <a:srgbClr val="00206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400"/>
            <a:t>Opslaan als PDF </a:t>
          </a:r>
        </a:p>
        <a:p>
          <a:pPr algn="l"/>
          <a:r>
            <a:rPr lang="en-GB" sz="1100"/>
            <a:t>(Sla eerst Excelfile op. PDF komt</a:t>
          </a:r>
          <a:r>
            <a:rPr lang="en-GB" sz="1100" baseline="0"/>
            <a:t> in dezelfde map)</a:t>
          </a:r>
          <a:endParaRPr lang="en-GB" sz="1100"/>
        </a:p>
      </xdr:txBody>
    </xdr:sp>
    <xdr:clientData/>
  </xdr:twoCellAnchor>
  <xdr:twoCellAnchor editAs="oneCell">
    <xdr:from>
      <xdr:col>11</xdr:col>
      <xdr:colOff>1871370</xdr:colOff>
      <xdr:row>34</xdr:row>
      <xdr:rowOff>312675</xdr:rowOff>
    </xdr:from>
    <xdr:to>
      <xdr:col>12</xdr:col>
      <xdr:colOff>174770</xdr:colOff>
      <xdr:row>36</xdr:row>
      <xdr:rowOff>188782</xdr:rowOff>
    </xdr:to>
    <xdr:pic macro="[0]!SavePDF">
      <xdr:nvPicPr>
        <xdr:cNvPr id="10" name="Afbeelding 13" descr="Afbeeldingsresultaat voor handje muisklik">
          <a:extLst>
            <a:ext uri="{FF2B5EF4-FFF2-40B4-BE49-F238E27FC236}">
              <a16:creationId xmlns:a16="http://schemas.microsoft.com/office/drawing/2014/main" id="{00000000-0008-0000-0000-00000A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a:off x="11004484" y="9946532"/>
          <a:ext cx="440266" cy="4421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811890</xdr:colOff>
      <xdr:row>32</xdr:row>
      <xdr:rowOff>11951</xdr:rowOff>
    </xdr:from>
    <xdr:to>
      <xdr:col>9</xdr:col>
      <xdr:colOff>244700</xdr:colOff>
      <xdr:row>35</xdr:row>
      <xdr:rowOff>3175</xdr:rowOff>
    </xdr:to>
    <xdr:pic>
      <xdr:nvPicPr>
        <xdr:cNvPr id="11" name="Afbeelding 14">
          <a:extLst>
            <a:ext uri="{FF2B5EF4-FFF2-40B4-BE49-F238E27FC236}">
              <a16:creationId xmlns:a16="http://schemas.microsoft.com/office/drawing/2014/main" id="{00000000-0008-0000-0000-00000B000000}"/>
            </a:ext>
          </a:extLst>
        </xdr:cNvPr>
        <xdr:cNvPicPr/>
      </xdr:nvPicPr>
      <xdr:blipFill rotWithShape="1">
        <a:blip xmlns:r="http://schemas.openxmlformats.org/officeDocument/2006/relationships" r:embed="rId2"/>
        <a:srcRect l="8846" t="26044" r="79683" b="33170"/>
        <a:stretch/>
      </xdr:blipFill>
      <xdr:spPr bwMode="auto">
        <a:xfrm>
          <a:off x="7225390" y="8762251"/>
          <a:ext cx="478973" cy="791323"/>
        </a:xfrm>
        <a:prstGeom prst="rect">
          <a:avLst/>
        </a:prstGeom>
        <a:ln>
          <a:noFill/>
        </a:ln>
        <a:extLst>
          <a:ext uri="{53640926-AAD7-44D8-BBD7-CCE9431645EC}">
            <a14:shadowObscured xmlns:a14="http://schemas.microsoft.com/office/drawing/2010/main"/>
          </a:ext>
        </a:extLst>
      </xdr:spPr>
    </xdr:pic>
    <xdr:clientData/>
  </xdr:twoCellAnchor>
  <xdr:twoCellAnchor>
    <xdr:from>
      <xdr:col>12</xdr:col>
      <xdr:colOff>9896</xdr:colOff>
      <xdr:row>23</xdr:row>
      <xdr:rowOff>2</xdr:rowOff>
    </xdr:from>
    <xdr:to>
      <xdr:col>16</xdr:col>
      <xdr:colOff>0</xdr:colOff>
      <xdr:row>24</xdr:row>
      <xdr:rowOff>57643</xdr:rowOff>
    </xdr:to>
    <xdr:sp macro="" textlink="">
      <xdr:nvSpPr>
        <xdr:cNvPr id="12" name="Pijl-omhoog 15">
          <a:extLst>
            <a:ext uri="{FF2B5EF4-FFF2-40B4-BE49-F238E27FC236}">
              <a16:creationId xmlns:a16="http://schemas.microsoft.com/office/drawing/2014/main" id="{00000000-0008-0000-0000-00000C000000}"/>
            </a:ext>
          </a:extLst>
        </xdr:cNvPr>
        <xdr:cNvSpPr/>
      </xdr:nvSpPr>
      <xdr:spPr>
        <a:xfrm rot="5400000">
          <a:off x="11803002" y="4920096"/>
          <a:ext cx="470391" cy="2326904"/>
        </a:xfrm>
        <a:prstGeom prst="upArrow">
          <a:avLst/>
        </a:prstGeom>
        <a:solidFill>
          <a:schemeClr val="accent5">
            <a:lumMod val="20000"/>
            <a:lumOff val="80000"/>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5</xdr:col>
          <xdr:colOff>977900</xdr:colOff>
          <xdr:row>15</xdr:row>
          <xdr:rowOff>292100</xdr:rowOff>
        </xdr:from>
        <xdr:to>
          <xdr:col>5</xdr:col>
          <xdr:colOff>1263650</xdr:colOff>
          <xdr:row>18</xdr:row>
          <xdr:rowOff>25400</xdr:rowOff>
        </xdr:to>
        <xdr:sp macro="" textlink="">
          <xdr:nvSpPr>
            <xdr:cNvPr id="16385" name="Spinner 1" hidden="1">
              <a:extLst>
                <a:ext uri="{63B3BB69-23CF-44E3-9099-C40C66FF867C}">
                  <a14:compatExt spid="_x0000_s16385"/>
                </a:ext>
                <a:ext uri="{FF2B5EF4-FFF2-40B4-BE49-F238E27FC236}">
                  <a16:creationId xmlns:a16="http://schemas.microsoft.com/office/drawing/2014/main" id="{00000000-0008-0000-0000-0000014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5</xdr:col>
      <xdr:colOff>19050</xdr:colOff>
      <xdr:row>23</xdr:row>
      <xdr:rowOff>363147</xdr:rowOff>
    </xdr:from>
    <xdr:to>
      <xdr:col>7</xdr:col>
      <xdr:colOff>3811</xdr:colOff>
      <xdr:row>25</xdr:row>
      <xdr:rowOff>170742</xdr:rowOff>
    </xdr:to>
    <xdr:sp macro="" textlink="">
      <xdr:nvSpPr>
        <xdr:cNvPr id="14" name="Pijl-rechts 18">
          <a:extLst>
            <a:ext uri="{FF2B5EF4-FFF2-40B4-BE49-F238E27FC236}">
              <a16:creationId xmlns:a16="http://schemas.microsoft.com/office/drawing/2014/main" id="{00000000-0008-0000-0000-00000E000000}"/>
            </a:ext>
          </a:extLst>
        </xdr:cNvPr>
        <xdr:cNvSpPr/>
      </xdr:nvSpPr>
      <xdr:spPr>
        <a:xfrm>
          <a:off x="2908300" y="6437980"/>
          <a:ext cx="1519344" cy="728345"/>
        </a:xfrm>
        <a:prstGeom prst="rightArrow">
          <a:avLst/>
        </a:prstGeom>
        <a:solidFill>
          <a:srgbClr val="FFFF00">
            <a:alpha val="44000"/>
          </a:srgb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mc:AlternateContent xmlns:mc="http://schemas.openxmlformats.org/markup-compatibility/2006">
    <mc:Choice xmlns:a14="http://schemas.microsoft.com/office/drawing/2010/main" Requires="a14">
      <xdr:twoCellAnchor>
        <xdr:from>
          <xdr:col>5</xdr:col>
          <xdr:colOff>984250</xdr:colOff>
          <xdr:row>22</xdr:row>
          <xdr:rowOff>260350</xdr:rowOff>
        </xdr:from>
        <xdr:to>
          <xdr:col>5</xdr:col>
          <xdr:colOff>1289050</xdr:colOff>
          <xdr:row>24</xdr:row>
          <xdr:rowOff>6350</xdr:rowOff>
        </xdr:to>
        <xdr:sp macro="" textlink="">
          <xdr:nvSpPr>
            <xdr:cNvPr id="16386" name="Spinner 2" hidden="1">
              <a:extLst>
                <a:ext uri="{63B3BB69-23CF-44E3-9099-C40C66FF867C}">
                  <a14:compatExt spid="_x0000_s16386"/>
                </a:ext>
                <a:ext uri="{FF2B5EF4-FFF2-40B4-BE49-F238E27FC236}">
                  <a16:creationId xmlns:a16="http://schemas.microsoft.com/office/drawing/2014/main" id="{00000000-0008-0000-0000-0000024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8</xdr:col>
      <xdr:colOff>19536</xdr:colOff>
      <xdr:row>18</xdr:row>
      <xdr:rowOff>38384</xdr:rowOff>
    </xdr:from>
    <xdr:to>
      <xdr:col>11</xdr:col>
      <xdr:colOff>1299304</xdr:colOff>
      <xdr:row>22</xdr:row>
      <xdr:rowOff>11906</xdr:rowOff>
    </xdr:to>
    <xdr:sp macro="" textlink="">
      <xdr:nvSpPr>
        <xdr:cNvPr id="16" name="Gebogen pijl 2">
          <a:extLst>
            <a:ext uri="{FF2B5EF4-FFF2-40B4-BE49-F238E27FC236}">
              <a16:creationId xmlns:a16="http://schemas.microsoft.com/office/drawing/2014/main" id="{00000000-0008-0000-0000-000010000000}"/>
            </a:ext>
          </a:extLst>
        </xdr:cNvPr>
        <xdr:cNvSpPr/>
      </xdr:nvSpPr>
      <xdr:spPr>
        <a:xfrm rot="5400000">
          <a:off x="8554597" y="3421480"/>
          <a:ext cx="1176053" cy="3982487"/>
        </a:xfrm>
        <a:prstGeom prst="bentArrow">
          <a:avLst>
            <a:gd name="adj1" fmla="val 25000"/>
            <a:gd name="adj2" fmla="val 31654"/>
            <a:gd name="adj3" fmla="val 25000"/>
            <a:gd name="adj4" fmla="val 43750"/>
          </a:avLst>
        </a:prstGeom>
        <a:solidFill>
          <a:schemeClr val="accent1">
            <a:alpha val="62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xdr:twoCellAnchor>
  <mc:AlternateContent xmlns:mc="http://schemas.openxmlformats.org/markup-compatibility/2006">
    <mc:Choice xmlns:a14="http://schemas.microsoft.com/office/drawing/2010/main" Requires="a14">
      <xdr:twoCellAnchor>
        <xdr:from>
          <xdr:col>15</xdr:col>
          <xdr:colOff>939800</xdr:colOff>
          <xdr:row>6</xdr:row>
          <xdr:rowOff>44450</xdr:rowOff>
        </xdr:from>
        <xdr:to>
          <xdr:col>15</xdr:col>
          <xdr:colOff>1225550</xdr:colOff>
          <xdr:row>8</xdr:row>
          <xdr:rowOff>146050</xdr:rowOff>
        </xdr:to>
        <xdr:sp macro="" textlink="">
          <xdr:nvSpPr>
            <xdr:cNvPr id="16387" name="Spinner 3" hidden="1">
              <a:extLst>
                <a:ext uri="{63B3BB69-23CF-44E3-9099-C40C66FF867C}">
                  <a14:compatExt spid="_x0000_s16387"/>
                </a:ext>
                <a:ext uri="{FF2B5EF4-FFF2-40B4-BE49-F238E27FC236}">
                  <a16:creationId xmlns:a16="http://schemas.microsoft.com/office/drawing/2014/main" id="{00000000-0008-0000-0000-0000034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xdr:from>
      <xdr:col>7</xdr:col>
      <xdr:colOff>1785936</xdr:colOff>
      <xdr:row>13</xdr:row>
      <xdr:rowOff>18141</xdr:rowOff>
    </xdr:from>
    <xdr:to>
      <xdr:col>8</xdr:col>
      <xdr:colOff>249237</xdr:colOff>
      <xdr:row>14</xdr:row>
      <xdr:rowOff>38098</xdr:rowOff>
    </xdr:to>
    <xdr:sp macro="[0]!celg4kopierennaarh4" textlink="">
      <xdr:nvSpPr>
        <xdr:cNvPr id="18" name="Pijl-omhoog 6">
          <a:extLst>
            <a:ext uri="{FF2B5EF4-FFF2-40B4-BE49-F238E27FC236}">
              <a16:creationId xmlns:a16="http://schemas.microsoft.com/office/drawing/2014/main" id="{00000000-0008-0000-0000-000012000000}"/>
            </a:ext>
          </a:extLst>
        </xdr:cNvPr>
        <xdr:cNvSpPr/>
      </xdr:nvSpPr>
      <xdr:spPr>
        <a:xfrm rot="10800000">
          <a:off x="6572249" y="3197110"/>
          <a:ext cx="808832" cy="484301"/>
        </a:xfrm>
        <a:prstGeom prst="upArrow">
          <a:avLst>
            <a:gd name="adj1" fmla="val 50000"/>
            <a:gd name="adj2" fmla="val 50000"/>
          </a:avLst>
        </a:prstGeom>
        <a:solidFill>
          <a:schemeClr val="accent1">
            <a:alpha val="23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4</xdr:col>
      <xdr:colOff>1342571</xdr:colOff>
      <xdr:row>12</xdr:row>
      <xdr:rowOff>36287</xdr:rowOff>
    </xdr:from>
    <xdr:to>
      <xdr:col>6</xdr:col>
      <xdr:colOff>622391</xdr:colOff>
      <xdr:row>13</xdr:row>
      <xdr:rowOff>89829</xdr:rowOff>
    </xdr:to>
    <xdr:sp macro="" textlink="">
      <xdr:nvSpPr>
        <xdr:cNvPr id="19" name="Pijl-rechts 5">
          <a:extLst>
            <a:ext uri="{FF2B5EF4-FFF2-40B4-BE49-F238E27FC236}">
              <a16:creationId xmlns:a16="http://schemas.microsoft.com/office/drawing/2014/main" id="{00000000-0008-0000-0000-000013000000}"/>
            </a:ext>
          </a:extLst>
        </xdr:cNvPr>
        <xdr:cNvSpPr/>
      </xdr:nvSpPr>
      <xdr:spPr>
        <a:xfrm>
          <a:off x="1799771" y="2760437"/>
          <a:ext cx="2372270" cy="434542"/>
        </a:xfrm>
        <a:prstGeom prst="rightArrow">
          <a:avLst>
            <a:gd name="adj1" fmla="val 50000"/>
            <a:gd name="adj2" fmla="val 41130"/>
          </a:avLst>
        </a:prstGeom>
        <a:solidFill>
          <a:schemeClr val="accent1">
            <a:alpha val="48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xdr:from>
      <xdr:col>8</xdr:col>
      <xdr:colOff>20976</xdr:colOff>
      <xdr:row>9</xdr:row>
      <xdr:rowOff>150811</xdr:rowOff>
    </xdr:from>
    <xdr:to>
      <xdr:col>16</xdr:col>
      <xdr:colOff>23812</xdr:colOff>
      <xdr:row>12</xdr:row>
      <xdr:rowOff>50769</xdr:rowOff>
    </xdr:to>
    <xdr:sp macro="" textlink="">
      <xdr:nvSpPr>
        <xdr:cNvPr id="20" name="Pijl-rechts 11">
          <a:extLst>
            <a:ext uri="{FF2B5EF4-FFF2-40B4-BE49-F238E27FC236}">
              <a16:creationId xmlns:a16="http://schemas.microsoft.com/office/drawing/2014/main" id="{00000000-0008-0000-0000-000014000000}"/>
            </a:ext>
          </a:extLst>
        </xdr:cNvPr>
        <xdr:cNvSpPr/>
      </xdr:nvSpPr>
      <xdr:spPr>
        <a:xfrm>
          <a:off x="7152820" y="2270124"/>
          <a:ext cx="8158617" cy="578614"/>
        </a:xfrm>
        <a:prstGeom prst="rightArrow">
          <a:avLst/>
        </a:prstGeom>
        <a:solidFill>
          <a:schemeClr val="accent5">
            <a:lumMod val="20000"/>
            <a:lumOff val="80000"/>
            <a:alpha val="4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absolute">
    <xdr:from>
      <xdr:col>8</xdr:col>
      <xdr:colOff>58711</xdr:colOff>
      <xdr:row>12</xdr:row>
      <xdr:rowOff>171254</xdr:rowOff>
    </xdr:from>
    <xdr:to>
      <xdr:col>12</xdr:col>
      <xdr:colOff>55449</xdr:colOff>
      <xdr:row>15</xdr:row>
      <xdr:rowOff>135871</xdr:rowOff>
    </xdr:to>
    <xdr:sp macro="" textlink="">
      <xdr:nvSpPr>
        <xdr:cNvPr id="21" name="Gebogen pijl 14">
          <a:extLst>
            <a:ext uri="{FF2B5EF4-FFF2-40B4-BE49-F238E27FC236}">
              <a16:creationId xmlns:a16="http://schemas.microsoft.com/office/drawing/2014/main" id="{00000000-0008-0000-0000-000015000000}"/>
            </a:ext>
          </a:extLst>
        </xdr:cNvPr>
        <xdr:cNvSpPr/>
      </xdr:nvSpPr>
      <xdr:spPr>
        <a:xfrm rot="5400000">
          <a:off x="9130903" y="833612"/>
          <a:ext cx="1088567" cy="5055398"/>
        </a:xfrm>
        <a:prstGeom prst="bentArrow">
          <a:avLst>
            <a:gd name="adj1" fmla="val 25000"/>
            <a:gd name="adj2" fmla="val 22210"/>
            <a:gd name="adj3" fmla="val 25000"/>
            <a:gd name="adj4" fmla="val 43750"/>
          </a:avLst>
        </a:prstGeom>
        <a:solidFill>
          <a:schemeClr val="accent1">
            <a:alpha val="5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solidFill>
              <a:schemeClr val="tx1"/>
            </a:solidFill>
          </a:endParaRPr>
        </a:p>
      </xdr:txBody>
    </xdr:sp>
    <xdr:clientData fLocksWithSheet="0"/>
  </xdr:twoCellAnchor>
  <xdr:twoCellAnchor editAs="oneCell">
    <xdr:from>
      <xdr:col>5</xdr:col>
      <xdr:colOff>43813</xdr:colOff>
      <xdr:row>20</xdr:row>
      <xdr:rowOff>210028</xdr:rowOff>
    </xdr:from>
    <xdr:to>
      <xdr:col>5</xdr:col>
      <xdr:colOff>555695</xdr:colOff>
      <xdr:row>22</xdr:row>
      <xdr:rowOff>16260</xdr:rowOff>
    </xdr:to>
    <xdr:pic macro="[0]!Zetventilatiewwenstoffilteropnul">
      <xdr:nvPicPr>
        <xdr:cNvPr id="24" name="Afbeelding 13" descr="Afbeeldingsresultaat voor handje muisklik">
          <a:extLst>
            <a:ext uri="{FF2B5EF4-FFF2-40B4-BE49-F238E27FC236}">
              <a16:creationId xmlns:a16="http://schemas.microsoft.com/office/drawing/2014/main" id="{00000000-0008-0000-0000-000018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9031" t="49567"/>
        <a:stretch/>
      </xdr:blipFill>
      <xdr:spPr bwMode="auto">
        <a:xfrm rot="16200000" flipH="1">
          <a:off x="2906714" y="5395753"/>
          <a:ext cx="464885" cy="5233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1589314</xdr:colOff>
      <xdr:row>13</xdr:row>
      <xdr:rowOff>321550</xdr:rowOff>
    </xdr:from>
    <xdr:to>
      <xdr:col>11</xdr:col>
      <xdr:colOff>2133600</xdr:colOff>
      <xdr:row>22</xdr:row>
      <xdr:rowOff>4141</xdr:rowOff>
    </xdr:to>
    <xdr:sp macro="" textlink="">
      <xdr:nvSpPr>
        <xdr:cNvPr id="25" name="Pijl-rechts 5">
          <a:extLst>
            <a:ext uri="{FF2B5EF4-FFF2-40B4-BE49-F238E27FC236}">
              <a16:creationId xmlns:a16="http://schemas.microsoft.com/office/drawing/2014/main" id="{00000000-0008-0000-0000-000019000000}"/>
            </a:ext>
          </a:extLst>
        </xdr:cNvPr>
        <xdr:cNvSpPr/>
      </xdr:nvSpPr>
      <xdr:spPr>
        <a:xfrm rot="5400000">
          <a:off x="9738132" y="4495360"/>
          <a:ext cx="2512877" cy="544286"/>
        </a:xfrm>
        <a:prstGeom prst="rightArrow">
          <a:avLst>
            <a:gd name="adj1" fmla="val 50000"/>
            <a:gd name="adj2" fmla="val 41130"/>
          </a:avLst>
        </a:prstGeom>
        <a:solidFill>
          <a:schemeClr val="accent1">
            <a:alpha val="48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4</xdr:col>
      <xdr:colOff>282128</xdr:colOff>
      <xdr:row>13</xdr:row>
      <xdr:rowOff>35719</xdr:rowOff>
    </xdr:from>
    <xdr:to>
      <xdr:col>4</xdr:col>
      <xdr:colOff>2076926</xdr:colOff>
      <xdr:row>16</xdr:row>
      <xdr:rowOff>209551</xdr:rowOff>
    </xdr:to>
    <xdr:pic>
      <xdr:nvPicPr>
        <xdr:cNvPr id="26" name="Picture 25" descr="Afbeeldingsresultaat voor opfok leghen">
          <a:extLst>
            <a:ext uri="{FF2B5EF4-FFF2-40B4-BE49-F238E27FC236}">
              <a16:creationId xmlns:a16="http://schemas.microsoft.com/office/drawing/2014/main" id="{00000000-0008-0000-0000-00001A000000}"/>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24361" t="36625" r="47150" b="32140"/>
        <a:stretch/>
      </xdr:blipFill>
      <xdr:spPr bwMode="auto">
        <a:xfrm>
          <a:off x="734566" y="3214688"/>
          <a:ext cx="1787178" cy="1304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5</xdr:col>
          <xdr:colOff>565150</xdr:colOff>
          <xdr:row>6</xdr:row>
          <xdr:rowOff>82550</xdr:rowOff>
        </xdr:from>
        <xdr:to>
          <xdr:col>5</xdr:col>
          <xdr:colOff>1282700</xdr:colOff>
          <xdr:row>7</xdr:row>
          <xdr:rowOff>152400</xdr:rowOff>
        </xdr:to>
        <xdr:sp macro="" textlink="">
          <xdr:nvSpPr>
            <xdr:cNvPr id="16399" name="Button 15" hidden="1">
              <a:extLst>
                <a:ext uri="{63B3BB69-23CF-44E3-9099-C40C66FF867C}">
                  <a14:compatExt spid="_x0000_s16399"/>
                </a:ext>
                <a:ext uri="{FF2B5EF4-FFF2-40B4-BE49-F238E27FC236}">
                  <a16:creationId xmlns:a16="http://schemas.microsoft.com/office/drawing/2014/main" id="{00000000-0008-0000-0000-00000F4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NL" sz="1000" b="0" i="0" u="none" strike="noStrike" baseline="0">
                  <a:solidFill>
                    <a:srgbClr val="000000"/>
                  </a:solidFill>
                  <a:latin typeface="Arial"/>
                  <a:cs typeface="Arial"/>
                </a:rPr>
                <a:t>Resetten</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96F0B96-5A21-4D41-9391-8DE1BB564018}" name="Staltechniek" displayName="Staltechniek" ref="B2:C7" totalsRowShown="0">
  <autoFilter ref="B2:C7" xr:uid="{0198291B-8A3D-410B-B4E0-528D95914D0F}"/>
  <tableColumns count="2">
    <tableColumn id="1" xr3:uid="{401DE468-3AB6-459D-A262-44CF94A85ED5}" name="Staltechniek" dataDxfId="1"/>
    <tableColumn id="2" xr3:uid="{3DAC671D-C3E6-4391-B365-34ECB58890B0}" name="Reductiepercentage" dataDxfId="0"/>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CA0F0-E1C8-4C45-B732-03F1AC1BAC5B}">
  <sheetPr codeName="Blad13">
    <pageSetUpPr fitToPage="1"/>
  </sheetPr>
  <dimension ref="C1:V47"/>
  <sheetViews>
    <sheetView showGridLines="0" tabSelected="1" zoomScale="85" zoomScaleNormal="85" zoomScaleSheetLayoutView="70" workbookViewId="0">
      <selection activeCell="F17" sqref="F17"/>
    </sheetView>
  </sheetViews>
  <sheetFormatPr defaultColWidth="8.90625" defaultRowHeight="15.5" x14ac:dyDescent="0.35"/>
  <cols>
    <col min="1" max="1" width="1" style="34" customWidth="1"/>
    <col min="2" max="2" width="2.54296875" style="34" customWidth="1"/>
    <col min="3" max="3" width="2.453125" style="34" customWidth="1"/>
    <col min="4" max="4" width="15.36328125" style="34" hidden="1" customWidth="1"/>
    <col min="5" max="5" width="34.6328125" style="34" customWidth="1"/>
    <col min="6" max="6" width="19.08984375" style="34" customWidth="1"/>
    <col min="7" max="7" width="9.36328125" style="34" customWidth="1"/>
    <col min="8" max="8" width="34.36328125" style="34" customWidth="1"/>
    <col min="9" max="9" width="15.36328125" style="34" customWidth="1"/>
    <col min="10" max="10" width="14" style="34" customWidth="1"/>
    <col min="11" max="11" width="14.08984375" style="34" customWidth="1"/>
    <col min="12" max="12" width="31.36328125" style="34" customWidth="1"/>
    <col min="13" max="13" width="11.54296875" style="34" customWidth="1"/>
    <col min="14" max="14" width="11.36328125" style="34" customWidth="1"/>
    <col min="15" max="15" width="17.54296875" style="34" customWidth="1"/>
    <col min="16" max="16" width="22.36328125" style="34" customWidth="1"/>
    <col min="17" max="17" width="14.90625" style="34" customWidth="1"/>
    <col min="18" max="18" width="4.36328125" style="34" customWidth="1"/>
    <col min="19" max="20" width="9.6328125" style="34" bestFit="1" customWidth="1"/>
    <col min="21" max="16384" width="8.90625" style="34"/>
  </cols>
  <sheetData>
    <row r="1" spans="3:20" ht="25.25" customHeight="1" x14ac:dyDescent="0.6">
      <c r="D1" s="118"/>
      <c r="E1" s="119" t="s">
        <v>216</v>
      </c>
      <c r="F1" s="118"/>
      <c r="G1" s="118"/>
      <c r="H1" s="118"/>
      <c r="I1" s="118"/>
      <c r="J1" s="207" t="s">
        <v>151</v>
      </c>
      <c r="K1" s="207"/>
      <c r="L1" s="120"/>
      <c r="M1" s="208"/>
      <c r="N1" s="209"/>
      <c r="O1" s="209"/>
      <c r="P1" s="209"/>
      <c r="Q1" s="209"/>
    </row>
    <row r="2" spans="3:20" ht="5.4" customHeight="1" thickBot="1" x14ac:dyDescent="0.45">
      <c r="D2" s="118"/>
      <c r="E2" s="118"/>
      <c r="F2" s="118"/>
      <c r="G2" s="118"/>
      <c r="H2" s="118"/>
      <c r="I2" s="118"/>
      <c r="J2" s="118"/>
      <c r="K2" s="118"/>
      <c r="L2" s="118"/>
      <c r="M2" s="210"/>
      <c r="N2" s="210"/>
      <c r="O2" s="210"/>
      <c r="P2" s="210"/>
      <c r="Q2" s="210"/>
    </row>
    <row r="3" spans="3:20" ht="18.649999999999999" customHeight="1" thickBot="1" x14ac:dyDescent="0.5">
      <c r="F3" s="82"/>
      <c r="G3" s="82"/>
      <c r="H3" s="189" t="s">
        <v>201</v>
      </c>
      <c r="I3" s="191"/>
      <c r="J3" s="191"/>
      <c r="K3" s="191"/>
      <c r="L3" s="191"/>
      <c r="M3" s="191"/>
      <c r="N3" s="191"/>
      <c r="O3" s="191"/>
      <c r="P3" s="191"/>
      <c r="Q3" s="192"/>
    </row>
    <row r="4" spans="3:20" ht="18" customHeight="1" x14ac:dyDescent="0.45">
      <c r="E4" s="179" t="s">
        <v>200</v>
      </c>
      <c r="F4" s="93" t="s">
        <v>144</v>
      </c>
      <c r="H4" s="186" t="s">
        <v>193</v>
      </c>
      <c r="I4" s="190"/>
      <c r="J4" s="190"/>
      <c r="K4" s="190"/>
      <c r="L4" s="190"/>
      <c r="M4" s="190"/>
      <c r="N4" s="190"/>
      <c r="O4" s="190"/>
      <c r="P4" s="190"/>
      <c r="Q4" s="193"/>
    </row>
    <row r="5" spans="3:20" ht="18" customHeight="1" x14ac:dyDescent="0.45">
      <c r="E5" s="180" t="s">
        <v>200</v>
      </c>
      <c r="F5" s="94" t="s">
        <v>145</v>
      </c>
      <c r="H5" s="183" t="s">
        <v>194</v>
      </c>
      <c r="I5" s="184"/>
      <c r="J5" s="184"/>
      <c r="K5" s="184"/>
      <c r="L5" s="184"/>
      <c r="M5" s="184"/>
      <c r="N5" s="184"/>
      <c r="O5" s="184"/>
      <c r="P5" s="184"/>
      <c r="Q5" s="185"/>
    </row>
    <row r="6" spans="3:20" ht="17.399999999999999" customHeight="1" thickBot="1" x14ac:dyDescent="0.5">
      <c r="E6" s="95">
        <f ca="1">TODAY()</f>
        <v>46202</v>
      </c>
      <c r="F6" s="96" t="s">
        <v>0</v>
      </c>
      <c r="H6" s="186" t="s">
        <v>195</v>
      </c>
      <c r="I6" s="181"/>
      <c r="J6" s="181"/>
      <c r="K6" s="181"/>
      <c r="L6" s="181"/>
      <c r="M6" s="181"/>
      <c r="N6" s="181"/>
      <c r="O6" s="181"/>
      <c r="P6" s="181"/>
      <c r="Q6" s="182"/>
    </row>
    <row r="7" spans="3:20" ht="18" customHeight="1" thickBot="1" x14ac:dyDescent="0.5">
      <c r="E7" s="34" t="s">
        <v>37</v>
      </c>
      <c r="H7" s="113" t="s">
        <v>211</v>
      </c>
      <c r="I7" s="112"/>
      <c r="J7" s="112"/>
      <c r="K7" s="187"/>
      <c r="L7" s="112"/>
      <c r="M7" s="187"/>
      <c r="N7" s="187"/>
      <c r="O7" s="187"/>
      <c r="P7" s="187"/>
      <c r="Q7" s="188"/>
    </row>
    <row r="8" spans="3:20" ht="14" customHeight="1" thickBot="1" x14ac:dyDescent="0.5">
      <c r="D8" s="176">
        <f>IF(H20="ja",IF(OPFOKLEGHEN!H14+OPFOKLEGHEN!F19&lt;0.2,(OPFOKLEGHEN!H14+OPFOKLEGHEN!F19)*0.145/0.15,IF(OPFOKLEGHEN!H14+OPFOKLEGHEN!F19&lt;0.4,(OPFOKLEGHEN!H14+OPFOKLEGHEN!F19)*0.36/0.35,IF(OPFOKLEGHEN!H14+OPFOKLEGHEN!F19&lt;0.5,(OPFOKLEGHEN!H14+OPFOKLEGHEN!F19)*0.435/0.4,IF(OPFOKLEGHEN!H14+OPFOKLEGHEN!F19&lt;0.55,(OPFOKLEGHEN!H14+OPFOKLEGHEN!F19)*0.42/0.4,IF(OPFOKLEGHEN!H14+OPFOKLEGHEN!F19&lt;1.5,(OPFOKLEGHEN!H14+OPFOKLEGHEN!F19)*0.616/0.6))))),IF(H20="nee",IF(OPFOKLEGHEN!H14+OPFOKLEGHEN!F19&lt;0.25,(OPFOKLEGHEN!H14+OPFOKLEGHEN!F19)*0.175/0.2,IF(OPFOKLEGHEN!H14+OPFOKLEGHEN!F19&lt;0.35,(OPFOKLEGHEN!H14+OPFOKLEGHEN!F19),IF(OPFOKLEGHEN!H14+OPFOKLEGHEN!F19&lt;0.45,(OPFOKLEGHEN!H14+OPFOKLEGHEN!F19)*0.434/0.4,IF(OPFOKLEGHEN!H14+OPFOKLEGHEN!F19&lt;0.6,(OPFOKLEGHEN!H14+OPFOKLEGHEN!F19)*0.53/0.55,IF(OPFOKLEGHEN!H14+OPFOKLEGHEN!F19&lt;0.9,(OPFOKLEGHEN!H14+OPFOKLEGHEN!F19)*0.754/0.8,IF(OPFOKLEGHEN!H14+OPFOKLEGHEN!F19&lt;1.63,(OPFOKLEGHEN!H14+OPFOKLEGHEN!F19)*1.2/1.25,IF(OPFOKLEGHEN!H14+OPFOKLEGHEN!F19&lt;1.85,(OPFOKLEGHEN!H14+OPFOKLEGHEN!F19)*1.723/1.8,IF(OPFOKLEGHEN!H14+OPFOKLEGHEN!F19&lt;4.7,(OPFOKLEGHEN!H14+OPFOKLEGHEN!F19)*1.74/1.8)))))))),OPFOKLEGHEN!H14+OPFOKLEGHEN!F19))</f>
        <v>0</v>
      </c>
      <c r="H8" s="124"/>
      <c r="I8"/>
      <c r="J8"/>
      <c r="K8" s="38"/>
      <c r="L8" s="125"/>
    </row>
    <row r="9" spans="3:20" ht="20" customHeight="1" thickBot="1" x14ac:dyDescent="0.4">
      <c r="D9" s="177">
        <v>2.1749999999999998</v>
      </c>
      <c r="E9" s="224" t="str">
        <f>IF(H17&lt;0,"Klik een keer op de pijl met ventilatiehoeveelheid tussen droogtunnel en warmtewisselaar","   ")</f>
        <v xml:space="preserve">   </v>
      </c>
      <c r="F9" s="227"/>
      <c r="H9" s="155"/>
      <c r="I9" s="159" t="s">
        <v>180</v>
      </c>
      <c r="J9" s="160"/>
      <c r="K9" s="161"/>
      <c r="L9" s="163" t="s">
        <v>117</v>
      </c>
    </row>
    <row r="10" spans="3:20" ht="21" customHeight="1" thickBot="1" x14ac:dyDescent="0.4">
      <c r="D10" s="110">
        <f>IF($H$13="parallel geschakeld met warmtewisselaar",D19/100,0)</f>
        <v>0</v>
      </c>
      <c r="E10" s="225"/>
      <c r="F10" s="227"/>
      <c r="H10" s="158" t="str">
        <f>IF(E24="OLIEFILM BIJ VOLIERE MET SPROEIKOPPEN",IF(H11="droogtunnel (platen) 55%","Oliefilm met leidingen en droogtunnel kunnen niet gecombineerd worden",IF(H12="droogtunnel (banden) 30%","Oliefilm met leidingen en droogtunnel kunnen niet gecombineerd worden","    ")),IF(E20="strooiselschuif icm OLIEFILM BIJ VOLIERE MET SPROEIKOPPEN",IF(H12="droogtunnel (platen) 55%","Oliefilm met leidingen en droogtunnel kunnen niet gecombineerd worden",IF(H12="droogtunnel (banden) 30%","Oliefilm met leidingen en droogtunnel kunnen niet gecombineerd worden","    ")),IF(H12="geen droogtunnel","    ",IF(E16="GRONDHUISVESTING","   ",IF(E16="VOLIEREHUISVESTING","   ",IF(E16="kOLONIEHUISVESTING","   ",IF(E16="leghennen verrijkte kooi/kolonie","   ",IF(E16="leghennen voliere","   ",IF(E16="leghennen grondhuisvesting","   ",IF(H12="droogtunnel (platen) 55%","Droogtunnel kan alleen bij (opfok) leghennen",IF(H12="droogtunnel (banden) 30%","Droogtunnel kan alleen bij (opfok) leghennen","      ")))))))))))</f>
        <v xml:space="preserve">      </v>
      </c>
      <c r="I10" s="156"/>
      <c r="J10" s="132"/>
      <c r="K10" s="132"/>
      <c r="Q10" s="126"/>
    </row>
    <row r="11" spans="3:20" ht="20" customHeight="1" x14ac:dyDescent="0.35">
      <c r="D11" s="110" t="s">
        <v>147</v>
      </c>
      <c r="E11" s="225"/>
      <c r="F11" s="227"/>
      <c r="G11" s="133"/>
      <c r="H11" s="49" t="s">
        <v>112</v>
      </c>
      <c r="I11" s="131"/>
      <c r="J11" s="178">
        <f>IF(L25="GEEN TECHNIEK",F13-H14,IF(L9="nee",J30-J13-J16-J19-J26-J28,0))</f>
        <v>0</v>
      </c>
      <c r="K11" s="34" t="s">
        <v>89</v>
      </c>
      <c r="Q11" s="127"/>
    </row>
    <row r="12" spans="3:20" ht="13.25" customHeight="1" thickBot="1" x14ac:dyDescent="0.4">
      <c r="D12" s="110" t="s">
        <v>197</v>
      </c>
      <c r="E12" s="153"/>
      <c r="F12" s="92"/>
      <c r="H12" s="197">
        <f>IF(H11="geen droogtunnel",0,IF(H7="Droogtunnel kan alleen bij (opfok) leghennen","   ",IF(H13="parallel geschakeld met warmtewisselaar",'opfok WW+droogt'!$Q$138*(1-E28),IF(H11="droogtunnel (banden) 30%",30%*(1-E28),IF(H11="droogtunnel (platen) 55%",55%*(1-E28),0)))))</f>
        <v>0</v>
      </c>
      <c r="I12" s="131"/>
      <c r="J12" s="132"/>
      <c r="K12" s="132"/>
      <c r="Q12" s="127"/>
    </row>
    <row r="13" spans="3:20" ht="30" customHeight="1" x14ac:dyDescent="0.35">
      <c r="D13" s="110" t="s">
        <v>198</v>
      </c>
      <c r="F13" s="51">
        <f>'opfok WW+droogt'!$I$3</f>
        <v>0</v>
      </c>
      <c r="G13" s="34" t="s">
        <v>89</v>
      </c>
      <c r="H13" s="81" t="s">
        <v>140</v>
      </c>
      <c r="I13" s="131"/>
      <c r="J13" s="177">
        <f>IF(L25="GEEN TECHNIEK",0,IF(L9="ja",F13-H14,0))</f>
        <v>0</v>
      </c>
      <c r="K13" s="34" t="s">
        <v>89</v>
      </c>
      <c r="M13" s="220" t="str">
        <f>IF(L25="luchtconditioneringsunit","   ",
IF(L25="geen techniek","    ",
IF(L25="chemische wasser 35%","    ",
IF(L25="chemische wasser 70%","    ",
IF(L25="bio wasser 60%","    ",
IF(L25="bio wasser 75%","    ",
IF(L25="waterluchtwassysteem","   ",
IF(L25="biofilter","    ",
IF(L25="Droogfilterwand","   ",
IF(L25="ionisatiefilter",
IF(E24="IONISATIE MET KOOLSTOFBORSTELTJES","Het ionisatiefilter kan niet gecombineerd worden met een ionisatietechniek in de stal",
IF(E24="ionisatie dmv koolstof-borsteltjes icm strooiselschuif","Het ionisatiefilter kan niet gecombineerd worden met een ionisatietechniek in de stal",
IF(E24="IONISATIE ICM INTERNE LUCHTCIRCULATIE","Het ionisatiefilter kan niet gecombineerd worden met een ionisatietechniek in de stal","   ")))))))))))))</f>
        <v xml:space="preserve">    </v>
      </c>
      <c r="N13" s="221"/>
      <c r="O13" s="221"/>
      <c r="Q13" s="127"/>
    </row>
    <row r="14" spans="3:20" ht="37.25" customHeight="1" thickBot="1" x14ac:dyDescent="0.4">
      <c r="D14" s="110" t="s">
        <v>199</v>
      </c>
      <c r="E14" s="50"/>
      <c r="F14" s="240" t="str">
        <f>IF(J30=0,"   ",IF(H12&gt;0,IF(H13="parallel geschakeld met warmtewisselaar",IF(F19&gt;0.2,"De eerste weken van de opfok te weinig ventilatie voor mestdroging","  "),IF(F13+F19+F25+F26&gt;J30,"Dit volume door droogtunnel wordt niet volledig benut. Verlaag ventilatie stoffilter of warmtewisselaar.","     ")),"   "))</f>
        <v xml:space="preserve">   </v>
      </c>
      <c r="G14" s="241"/>
      <c r="H14" s="71">
        <f>IF(H10="Geen droogtunnel mogelijk",0,IF(H11="geen droogtunnel",0,IF(H13="PARALLEL GESCHAKELD MET WARMTEWISSELAAR",0,F13)))</f>
        <v>0</v>
      </c>
      <c r="I14" s="174" t="s">
        <v>89</v>
      </c>
      <c r="J14" s="132"/>
      <c r="K14" s="132"/>
      <c r="L14" s="131"/>
      <c r="M14" s="221"/>
      <c r="N14" s="221"/>
      <c r="O14" s="221"/>
      <c r="Q14" s="212" t="s">
        <v>148</v>
      </c>
      <c r="T14" s="206"/>
    </row>
    <row r="15" spans="3:20" ht="23.75" customHeight="1" x14ac:dyDescent="0.45">
      <c r="C15" s="211" t="s">
        <v>132</v>
      </c>
      <c r="E15" s="50"/>
      <c r="F15" s="242"/>
      <c r="G15" s="242"/>
      <c r="H15" s="150" t="str">
        <f>IF(H14+F19+H21=0,"Geen warmtewisselaar","Warmtewisselaar")</f>
        <v>Geen warmtewisselaar</v>
      </c>
      <c r="I15" s="228" t="str">
        <f>IF(E24="OLIEFILM BIJ VOLIERE MET SPROEIKOPPEN",IF(F19&gt;0,"Oliefilm met leidingen niet combineren met warmtewisselaar","   "),"  ")</f>
        <v xml:space="preserve">  </v>
      </c>
      <c r="J15" s="216"/>
      <c r="K15" s="216"/>
      <c r="L15" s="216"/>
      <c r="Q15" s="213"/>
    </row>
    <row r="16" spans="3:20" ht="29" customHeight="1" thickBot="1" x14ac:dyDescent="0.5">
      <c r="F16" s="242"/>
      <c r="G16" s="242"/>
      <c r="H16" s="171" t="str">
        <f>IF(H15="warmtewisselaar","Reductiepercentage WW 80%","   ")</f>
        <v xml:space="preserve">   </v>
      </c>
      <c r="J16" s="48">
        <f>IF(L25="geen techniek",H14+F19+H21,IF(J18="ja",0,F19+H14))</f>
        <v>0</v>
      </c>
      <c r="K16" s="104" t="s">
        <v>89</v>
      </c>
      <c r="M16" s="142"/>
      <c r="N16" s="125"/>
      <c r="O16" s="125"/>
      <c r="Q16" s="213"/>
    </row>
    <row r="17" spans="4:22" ht="19.25" customHeight="1" thickBot="1" x14ac:dyDescent="0.4">
      <c r="H17" s="198">
        <f>IF(E19="Kies een categorie",0,IF(F13+F19=0,0,IF(I15="Oliefilm met leidingen niet combineren met warmtewisselaar","error",IF(H13="serie geschakeld met warmtewisselaar",('opfok WW+droogt'!$O$138-'opfok WW+droogt'!$P$138)*(1-E28),'opfok WW+droogt'!$N$138*(1-E28)))))</f>
        <v>0</v>
      </c>
      <c r="I17" s="151" t="str">
        <f>"Lucht WW door overige techniek?"</f>
        <v>Lucht WW door overige techniek?</v>
      </c>
      <c r="J17" s="148"/>
      <c r="K17" s="149"/>
      <c r="L17" s="215"/>
      <c r="M17" s="216" t="str">
        <f>IF(E24="OLIEFILM BIJ VOLIERE MET SPROEIKOPPEN",IF(H25&gt;0,"Oliefilm dmv leidingen niet combineren met techniek buiten de stal",IF(L27&gt;0,"Oliefilm dmv leidingen niet combineren met techniek buiten de stal","    ")),IF(E24="strooiselschuif icm OLIEFILM BIJ VOLIERE MET SPROEIKOPPEN",IF(H25&gt;0,"Oliefilm dmv leidingen niet combineren met techniek buiten de stal",IF(L27&gt;0,"Oliefilm dmv leidingen niet combineren met techniek buiten de stal","    ")),"    "))</f>
        <v xml:space="preserve">    </v>
      </c>
      <c r="N17" s="216"/>
      <c r="O17" s="216"/>
      <c r="Q17" s="213"/>
    </row>
    <row r="18" spans="4:22" ht="19.25" customHeight="1" thickBot="1" x14ac:dyDescent="0.6">
      <c r="E18" s="101" t="s">
        <v>196</v>
      </c>
      <c r="H18" s="172" t="s">
        <v>160</v>
      </c>
      <c r="I18" s="82"/>
      <c r="J18" s="163" t="s">
        <v>117</v>
      </c>
      <c r="L18" s="215"/>
      <c r="M18" s="216"/>
      <c r="N18" s="216"/>
      <c r="O18" s="216"/>
      <c r="Q18" s="213"/>
    </row>
    <row r="19" spans="4:22" ht="21" customHeight="1" x14ac:dyDescent="0.35">
      <c r="D19" s="110">
        <v>0</v>
      </c>
      <c r="E19" s="235" t="s">
        <v>147</v>
      </c>
      <c r="F19" s="108">
        <f>IF(E19="kies een categorie",0,IF(F13+F25&gt;J30,0,D19/100))</f>
        <v>0</v>
      </c>
      <c r="G19" s="34" t="s">
        <v>89</v>
      </c>
      <c r="H19" s="171" t="str">
        <f>IF(F20=0,"    ","Reductie% droge stoffilter 99%")</f>
        <v>Reductie% droge stoffilter 99%</v>
      </c>
      <c r="J19" s="48">
        <f>IF(L25="geen techniek",0,IF(J18="ja",F19+H14,0))</f>
        <v>0</v>
      </c>
      <c r="K19" s="34" t="s">
        <v>89</v>
      </c>
      <c r="M19" s="216"/>
      <c r="N19" s="216"/>
      <c r="O19" s="216"/>
      <c r="Q19" s="213"/>
    </row>
    <row r="20" spans="4:22" ht="25.25" customHeight="1" thickBot="1" x14ac:dyDescent="0.4">
      <c r="D20" s="110">
        <f>MAX(0,D19-F13*100)</f>
        <v>0</v>
      </c>
      <c r="E20" s="236"/>
      <c r="F20" s="34" t="s">
        <v>159</v>
      </c>
      <c r="H20" s="68" t="s">
        <v>117</v>
      </c>
      <c r="J20" s="116" t="str">
        <f>IF(J18="nee","     ",IF(L25="geen techniek",IF(J18="ja","Indien 'geen techniek', dan is er geen luchtstroom"),"   "))</f>
        <v xml:space="preserve">     </v>
      </c>
      <c r="M20" s="224" t="str">
        <f>IF(F19&gt;0,IF(L25="Luchtconditioneringsunit","Twee keer eenzelfde type techniek in de uitgaande luchtstroom is niet logisch","    "),"   ")</f>
        <v xml:space="preserve">   </v>
      </c>
      <c r="N20" s="225"/>
      <c r="O20" s="225"/>
      <c r="P20" s="226"/>
      <c r="Q20" s="213"/>
    </row>
    <row r="21" spans="4:22" ht="19.5" customHeight="1" thickBot="1" x14ac:dyDescent="0.4">
      <c r="E21" s="237"/>
      <c r="F21" s="173" t="str">
        <f>IF(J30=0,"    ",F19/J30)</f>
        <v xml:space="preserve">    </v>
      </c>
      <c r="G21" s="103"/>
      <c r="H21" s="107"/>
      <c r="I21" s="220" t="str">
        <f>IF(J16=0,IF(J11=0,"   ",IF(J11&gt;0,IF(L25="chemische wasser 35%","Alle lucht moet door overige techniek vanwege ammoniak en/of geur",IF(L25="chemische wasser 70%","Alle lucht moet door overige techniek vanwege ammoniak en/of geur",IF(L25="Bio wasser 60%","Alle lucht moet door overige techniek vanwege ammoniak en/of geur",IF(L25="Bio wasser 75%","Alle lucht moet door overige techniek vanwege ammoniak en/of geur",IF(L25="Biofilter","Alle lucht moet door overige techniek vanwege ammoniak en/of geur",IF(L25="Luchtconditioneringsunit","Alle lucht moet door overige techniek","   ")))))),"   ")),IF(J16&gt;0,IF(L25="chemische wasser 35%","Alle lucht moet door overige techniek vanwege ammoniak en/of geur",IF(L25="chemische wasser 70%","Alle lucht moet door overige techniek vanwege ammoniak en/of geur",IF(L25="Bio wasser 60%","Alle lucht moet door overige techniek vanwege ammoniak en/of geur",IF(L25="Bio wasser 75%","Alle lucht moet door overige techniek vanwege ammoniak en/of geur",IF(L25="Biofilter","Alle lucht moet door overige techniek vanwege ammoniak en/of geur",IF(L25="Luchtconditioneringsunit","Alle lucht moet door overige techniek","   ")))))),"  "))</f>
        <v xml:space="preserve">   </v>
      </c>
      <c r="J21" s="221"/>
      <c r="K21" s="221"/>
      <c r="M21" s="227"/>
      <c r="N21" s="227"/>
      <c r="O21" s="227"/>
      <c r="P21" s="219"/>
      <c r="Q21" s="213"/>
    </row>
    <row r="22" spans="4:22" ht="31.25" customHeight="1" thickBot="1" x14ac:dyDescent="0.4">
      <c r="E22" s="164" t="str">
        <f>IF(F19&gt;0,"Reset: Zet ventilatie door WW en/of stoffilter in 1 klik op 0 m3",IF(F25&gt;0,"Zet ventilatie door WW en/of stoffilter in 1 klik op 0 m3","  "))</f>
        <v xml:space="preserve">  </v>
      </c>
      <c r="F22" s="115"/>
      <c r="G22" s="103"/>
      <c r="H22" s="107"/>
      <c r="I22" s="221"/>
      <c r="J22" s="221"/>
      <c r="K22" s="221"/>
      <c r="M22" s="224" t="str">
        <f>IF(L25="Biofilter",IF(H20="ja",IF(J18&gt;0,"Deze combinatie met WW stoffilter is toepasbaar, maar niet zinvol","     "),"  "),IF(L25="bio wasser 60%",IF(H20="ja",IF(J18&gt;0,"Deze combinatie met WW stoffilter is toepasbaar, maar niet zinvol","   "),"   "),IF(L25="bio wasser 75%",IF(H20="ja",IF(J18&gt;0,"Deze combinatie met WW stoffilter is toepasbaar, maar niet zinvol","   "),"    "),"   ")))</f>
        <v xml:space="preserve">   </v>
      </c>
      <c r="N22" s="225"/>
      <c r="O22" s="225"/>
      <c r="P22" s="226"/>
      <c r="Q22" s="213"/>
    </row>
    <row r="23" spans="4:22" ht="20.399999999999999" customHeight="1" thickBot="1" x14ac:dyDescent="0.5">
      <c r="E23" s="67" t="s">
        <v>111</v>
      </c>
      <c r="H23" s="163" t="s">
        <v>206</v>
      </c>
      <c r="I23" s="221"/>
      <c r="J23" s="221"/>
      <c r="K23" s="221"/>
      <c r="L23" s="152" t="s">
        <v>142</v>
      </c>
      <c r="M23" s="227"/>
      <c r="N23" s="227"/>
      <c r="O23" s="227"/>
      <c r="P23" s="219"/>
      <c r="Q23" s="213"/>
    </row>
    <row r="24" spans="4:22" ht="48" customHeight="1" x14ac:dyDescent="0.45">
      <c r="D24" s="110">
        <v>0</v>
      </c>
      <c r="E24" s="77" t="s">
        <v>129</v>
      </c>
      <c r="H24" s="171" t="str">
        <f>IF(H23="GEEN FIlter",IF(F25&gt;0,"Zet ventilatie links op nul","   "),IF(H23="DROGE STOFFILTER 99%","Reductie% droge stoffilter 99%","Reductie% droogfilterunit 40%"))</f>
        <v xml:space="preserve">   </v>
      </c>
      <c r="I24" s="232" t="str">
        <f>IF(F25&gt;0,IF(L25="chemische wasser 35%","Alle lucht moet door de luchtwasser of biofilter. De combinatie met een stoffilter of droogfilterunit is daarom niet mogelijk.",IF(L25="chemische wasser 70%","Alle lucht moet door de luchtwasser of biofilter. De combinatie met een stoffilter of droogfilterunit is daarom niet mogelijk.",IF(L25="bio wasser 60%","Alle lucht moet door de luchtwasser of biofilter. De combinatie met een stoffilter of droogfilterunit is daarom niet mogelijk.",IF(L25="bio wasser 75%","Alle lucht moet door de luchtwasser of biofilter. De combinatie met een stoffilter of droogfilterunit is daarom niet mogelijk.",IF(L25="biofilter","Alle lucht moet door de luchtwasser of biofilter. De combinatie met een stoffilter of droogfilterunit is daarom niet mogelijk.","  "))))),"   ")</f>
        <v xml:space="preserve">   </v>
      </c>
      <c r="J24" s="225"/>
      <c r="K24" s="225"/>
      <c r="L24" s="175" t="str">
        <f>IF(L25="chemische wasser 35%","Potentieel reductie: 35%",IF(L25="chemische wasser 70%","Potentieel reductie: 70%",IF(L25="bio wasser 60%","Potentieel reductie: 60%",IF(L25="bio wasser 75%","Potentieel reductie: 75%",IF(L25="biofilter","Potentieel reductie: 80%",IF(L25="waterluchtwassysteem","Potentieel reductie: 33%",IF(L25="droogfilterwand","Potentieel reductie: 40%",IF(L25="ionisatiefilter","Potentieel reductie: 57%",IF(L25="luchtconditioneringsunit","Potentieel reductie: 80%","  ")))))))))</f>
        <v xml:space="preserve">  </v>
      </c>
      <c r="M24" s="3"/>
      <c r="N24" s="79"/>
      <c r="O24" s="222"/>
      <c r="Q24" s="214"/>
    </row>
    <row r="25" spans="4:22" ht="24" customHeight="1" thickBot="1" x14ac:dyDescent="0.45">
      <c r="E25" s="238" t="str">
        <f>IF(E24="geen staltechniek","    ",IF(E24="OLIEFILM BIJ VOLIERE MET SPROEIKOPPEN",IF(E19="VOLIEREHUISVESTING","     ","Deze techniek kan alleen bij volière"),IF(E24="OLIEFILM MET ROBOT",IF(E19="GRONDHUISVESTING","    ","Deze techniek kan alleen bij grondhuisvesting"),"  ")))</f>
        <v xml:space="preserve">    </v>
      </c>
      <c r="F25" s="109">
        <f>IF(E19="kies een categorie",0,IF(F13*100+D20+D24&gt;J30*100,(J30*100-F13*100-D20)/100,MAX(D24/100,D24/100-D20/100)))</f>
        <v>0</v>
      </c>
      <c r="G25" s="34" t="s">
        <v>89</v>
      </c>
      <c r="H25" s="111">
        <f>ROUND(IF(H24="Zet ventilatie links op nul","error",(IF(F13&gt;0,'opfok WW+droogt'!$S$138*(1-E28),IF(H15="warmtewisselaar",'opfok WW+droogt'!$S$138*(1-E28),'opfok WW+droogt'!$R$138*(1-E28))))),3)</f>
        <v>0</v>
      </c>
      <c r="I25" s="233"/>
      <c r="J25" s="234"/>
      <c r="K25" s="234"/>
      <c r="L25" s="196" t="s">
        <v>131</v>
      </c>
      <c r="O25" s="223"/>
      <c r="Q25" s="214"/>
    </row>
    <row r="26" spans="4:22" ht="40.25" customHeight="1" x14ac:dyDescent="0.45">
      <c r="E26" s="239"/>
      <c r="F26" s="51">
        <f>MAX(J30-F13-F19-F25,0)</f>
        <v>0</v>
      </c>
      <c r="G26" s="34" t="s">
        <v>89</v>
      </c>
      <c r="H26" s="69"/>
      <c r="J26" s="48">
        <f>IF(L25="geen techniek",0,F26)</f>
        <v>0</v>
      </c>
      <c r="K26" s="34" t="s">
        <v>89</v>
      </c>
      <c r="L26" s="86" t="s">
        <v>150</v>
      </c>
      <c r="M26" s="217" t="str">
        <f>IF(L25="Luchtconditioneringsunit",IF(F25&gt;0,"Niet alle lucht gaat door luchtconditioneringsunit, dus niet combineren met droog stoffilter of droogfilterunit","    "),"   ")</f>
        <v xml:space="preserve">   </v>
      </c>
      <c r="N26" s="218"/>
      <c r="O26" s="218"/>
      <c r="P26" s="219"/>
      <c r="Q26" s="214"/>
    </row>
    <row r="27" spans="4:22" ht="24.5" customHeight="1" x14ac:dyDescent="0.65">
      <c r="E27" s="52" t="s">
        <v>149</v>
      </c>
      <c r="F27" s="69" t="s">
        <v>130</v>
      </c>
      <c r="G27" s="69"/>
      <c r="H27" s="69" t="s">
        <v>37</v>
      </c>
      <c r="J27" s="48"/>
      <c r="L27" s="146">
        <f>IF(M13="Het ionisatiefilter kan niet gecombineerd worden met een ionisatietechniek in de stal","error",IF(M20="Twee keer eenzelfde type techniek in de uitgaande luchtstroom is niet logisch","error",IF(M26="Niet alle lucht gaat door luchtconditioneringsunit, dus niet combineren met droog stoffilter of droogfilterunit","error",IF(I21="Alle lucht moet door overige techniek vanwege ammoniak en/of geur","error",IF(I21="Alle lucht moet door overige techniek","error",IF(I24="Alle lucht moet door de luchtwasser of biofilter. De combinatie met een stoffilter of droogfilterunit is daarom niet mogelijk.","error",IF(L25="geen techniek",0,IF(J13+J19+J26=0,0,IF(I21="Combinatie met warmtewisselaar is niet toegestaan","error",'opfok WW+droogt'!$I$10*(1-E28))))))))))</f>
        <v>0</v>
      </c>
      <c r="N27" s="102"/>
      <c r="O27" s="80"/>
      <c r="Q27" s="90">
        <f>ROUNDDOWN(IF(H10="Oliefilm met leidingen en droogtunnel kunnen niet gecombineerd worden","error",IF(M17="Oliefilm dmv leidingen niet combineren met techniek buiten de stal","error",IF(H17&lt;0,"error",IF(E19="Kies een categorie",0,IF(M19="Oliefilm dmv leidingen niet combineren met techniek buiten de stal","error",IF(G28&lt;&gt;J30,"error",100%-(1-E28)+(H12+H25+H17)+L27)))))),3)</f>
        <v>0</v>
      </c>
    </row>
    <row r="28" spans="4:22" ht="20" customHeight="1" x14ac:dyDescent="0.35">
      <c r="E28" s="53">
        <f>IF(E25="deze combinatie kan niet",0,
IF(E25="Deze techniek kan alleen bij volière",0,
IF(E25="Deze techniek kan alleen bij grondhuisvesting",0,
IF(E24="OLIEFILM BIJ VOLIERE MET SPROEIKOPPEN",15%,
IF(E24="OLIEFILM MET ROBOT",30%,
IF(E24="OLIEFILM BIJ VOLIERE MET SPROEIKOPPEN",15%,
IF(E24="IONISATIE MET KOOLSTOFBORSTELTJES",31%,
IF(E24="IONISATIE ICM INTERNE LUCHTCIRCULATIE",50%,0))))))))</f>
        <v>0</v>
      </c>
      <c r="F28" s="105"/>
      <c r="G28" s="70">
        <f>J11+J13+J16+J19+J26+J28</f>
        <v>0</v>
      </c>
      <c r="H28" s="69"/>
      <c r="J28" s="48">
        <f>F25+F26-H21-J26</f>
        <v>0</v>
      </c>
      <c r="K28" s="34" t="s">
        <v>89</v>
      </c>
      <c r="L28" s="102"/>
      <c r="Q28" s="106"/>
    </row>
    <row r="29" spans="4:22" ht="19.25" customHeight="1" thickBot="1" x14ac:dyDescent="0.5">
      <c r="F29" s="154"/>
      <c r="K29" s="54" t="str">
        <f>IF(G28&lt;&gt;J30,"Optelsom debiet klopt niet","   ")</f>
        <v xml:space="preserve">   </v>
      </c>
      <c r="L29" s="133"/>
      <c r="M29" s="133"/>
      <c r="Q29" s="91"/>
    </row>
    <row r="30" spans="4:22" ht="21" x14ac:dyDescent="0.45">
      <c r="D30" s="34" t="s">
        <v>129</v>
      </c>
      <c r="E30" s="83"/>
      <c r="F30" s="84"/>
      <c r="G30" s="85"/>
      <c r="H30" s="87" t="s">
        <v>143</v>
      </c>
      <c r="J30" s="88">
        <f>IF(E19="Kies een categorie",0,IF(E19="kOLONIEHUISVESTING",'Max waarden'!$B$6,IF(E19="GRONDHUISVESTING",'Max waarden'!$B$6,IF(E19="VOLIEREHUISVESTING",'Max waarden'!$B$6,IF(E19="voliereHUISVESTING",#REF!,IF(E19="grondhuisvesting",#REF!,IF(E19="kolonieHUISVESTING",#REF!,IF(E19="opfok vleeskuikenouderdieren",#REF!,IF(E19="vleeskuikenouderdieren groepskooi",#REF!,IF(E19="vleeskuikenouderdieren VOLIERE",#REF!,IF(E19="vleeskuikenouderdieren grondhuisvesting",#REF!,IF(E19="vleeskuikens",6.17619,IF(E19="kalkoen hennen",#REF!,IF(E19="kalkoen hanen",#REF!,IF(E19="vleeseenden",12.56)))))))))))))))</f>
        <v>0</v>
      </c>
      <c r="K30" s="89" t="s">
        <v>146</v>
      </c>
      <c r="L30" s="141"/>
    </row>
    <row r="31" spans="4:22" ht="9.65" customHeight="1" x14ac:dyDescent="0.35">
      <c r="D31" s="34" t="s">
        <v>209</v>
      </c>
    </row>
    <row r="32" spans="4:22" ht="9.65" customHeight="1" x14ac:dyDescent="0.35">
      <c r="D32" s="73" t="s">
        <v>210</v>
      </c>
      <c r="O32" s="121"/>
      <c r="V32" s="34" t="s">
        <v>37</v>
      </c>
    </row>
    <row r="33" spans="3:17" x14ac:dyDescent="0.35">
      <c r="D33" s="82" t="s">
        <v>205</v>
      </c>
      <c r="E33" s="229" t="s">
        <v>161</v>
      </c>
      <c r="F33" s="230"/>
      <c r="G33" s="230"/>
      <c r="H33" s="230"/>
      <c r="I33" s="230"/>
      <c r="J33" s="73"/>
      <c r="K33" s="73"/>
      <c r="L33" s="73"/>
      <c r="M33" s="73"/>
      <c r="N33" s="73"/>
      <c r="O33" s="74"/>
      <c r="P33" s="73"/>
      <c r="Q33" s="73"/>
    </row>
    <row r="34" spans="3:17" ht="18.5" x14ac:dyDescent="0.45">
      <c r="C34" s="122"/>
      <c r="D34" s="73"/>
      <c r="E34" s="231"/>
      <c r="F34" s="231"/>
      <c r="G34" s="231"/>
      <c r="H34" s="231"/>
      <c r="I34" s="231"/>
      <c r="J34" s="73"/>
      <c r="K34" s="73"/>
      <c r="L34" s="73"/>
      <c r="M34" s="73"/>
      <c r="N34" s="73"/>
      <c r="O34" s="73"/>
      <c r="P34" s="73"/>
      <c r="Q34" s="73"/>
    </row>
    <row r="35" spans="3:17" ht="29.5" x14ac:dyDescent="0.65">
      <c r="E35" s="78"/>
      <c r="F35" s="72"/>
      <c r="G35" s="73"/>
      <c r="H35" s="73" t="s">
        <v>37</v>
      </c>
      <c r="I35" s="73"/>
      <c r="J35" s="73"/>
      <c r="K35" s="73"/>
      <c r="L35" s="73"/>
      <c r="M35" s="73"/>
      <c r="N35" s="73"/>
      <c r="O35" s="73"/>
      <c r="P35" s="73"/>
      <c r="Q35" s="73"/>
    </row>
    <row r="36" spans="3:17" x14ac:dyDescent="0.35">
      <c r="C36" s="123"/>
      <c r="D36" s="75">
        <f>IF(H22="zonder stoffilter",IF(D37="opfok leghennen",IF(H20="warmtewisselaar 13%",0.2,IF(H20="warmtewisselaar 31%",0.43,IF(H20="warmtewisselaar 37%",0.55,IF(H20="warmtewisselaar 50%",0.78)))),IF(D37="leghennen",IF(H20="warmtewisselaar 13%",0.4,IF(H20="warmtewisselaar 31%",1,IF(H20="warmtewisselaar 37%",1.25,IF(H20="warmtewisselaar 50%",1.8)))),IF(E19="opfok vleeskuikenouderdieren",IF(H20="warmtewisselaar 13%",0.4,IF(H20="warmtewisselaar 31%",1,IF(H20="warmtewisselaar 37%",1.3,IF(H20="warmtewisselaar 50%",1.9)))),IF(D37="vleeskuikenouderdieren",IF(H20="warmtewisselaar 13%",0.6,IF(H20="warmtewisselaar 31%",1.5,IF(H20="warmtewisselaar 37%",1.85,IF(H20="warmtewisselaar 50%",2.9))))))+IF(E19="vleeskuikens",IF(H20="warmtewisselaar 13%",0.35,IF(H20="warmtewisselaar 31%",1,IF(H20="warmtewisselaar 37%",1.3,IF(H20="warmtewisselaar 50%",2,0)))))+IF(E19="vleeseenden",IF(H20="warmtewisselaar 13%",0.8,IF(H20="warmtewisselaar 31%",2.3,IF(H20="warmtewisselaar 37%",3.15,IF(H20="warmtewisselaar 50%",4.8)))))))+IF(E19="kalkoen hennen",IF(H20="warmtewisselaar 13%",1.1,IF(H20="warmtewisselaar 31%",3,IF(H20="warmtewisselaar 37%",3.85,IF(H20="warmtewisselaar 50%",5.6)))))+IF(E19="kalkoen hanen",IF(H20="warmtewisselaar 13%",2.5,IF(H20="warmtewisselaar 31%",6.2,IF(H20="warmtewisselaar 37%",8.2,IF(H20="warmtewisselaar 50%",11.7))))),0)+IF(H22="met stoffilter",IF(D37="opfok leghennen",IF(H20="warmtewisselaar 13%",0.15,IF(H20="warmtewisselaar 31%",0.35,IF(H20="warmtewisselaar 37%",0.4,IF(H20="warmtewisselaar 50%",0.6)))),IF(D37="leghennen",IF(H20="warmtewisselaar 13%",0.35,IF(H20="warmtewisselaar 31%",0.85,IF(H20="warmtewisselaar 37%",1,IF(H20="warmtewisselaar 50%",1.4)))),IF(E19="leghennen grondhuisvesting",IF(H20="warmtewisselaar 13%",0.35,IF(H20="warmtewisselaar 31%",0.85,IF(H20="warmtewisselaar 37%",1,IF(H20="warmtewisselaar 50%",1.4)))),IF(E19="opfok vleeskuikenouderdieren",IF(H20="warmtewisselaar 13%",0.35,IF(H20="warmtewisselaar 31%",0.85,IF(H20="warmtewisselaar 37%",1.1,IF(H20="warmtewisselaar 50%",1.45)))),IF(D37="vleeskuikenouderdieren",IF(H20="warmtewisselaar 13%",0.5,IF(H20="warmtewisselaar 31%",1.2,IF(H20="warmtewisselaar 37%",1.5,IF(H20="warmtewisselaar 50%",2.1))))))+IF(E19="vleeskuikens",IF(H20="warmtewisselaar 13%",0.3,IF(H20="warmtewisselaar 31%",0.75,IF(H20="warmtewisselaar 37%",1,IF(H20="warmtewisselaar 50%",1.45,0)))))+IF(E19="vleeseenden",IF(H20="warmtewisselaar 13%",0.7,IF(H20="warmtewisselaar 31%",1.9,IF(H20="warmtewisselaar 37%",2.3,IF(H20="warmtewisselaar 50%",3.6)))))))+IF(E19="kalkoen hennen",IF(H20="warmtewisselaar 13%",0.9,IF(H20="warmtewisselaar 31%",2.5,IF(H20="warmtewisselaar 37%",3,IF(H20="warmtewisselaar 50%",4.3)))))+IF(E19="kalkoen hanen",IF(H20="warmtewisselaar 13%",2.2,IF(H20="warmtewisselaar 31%",5.3,IF(H20="warmtewisselaar 37%",6.2,IF(H20="warmtewisselaar 50%",9)))))),0)</f>
        <v>0</v>
      </c>
      <c r="E36"/>
      <c r="F36"/>
      <c r="G36" s="123"/>
    </row>
    <row r="37" spans="3:17" x14ac:dyDescent="0.35">
      <c r="D37" s="117">
        <f>IF(H24="zonder stoffilter",IF(D38="opfok leghennen",IF(H17="warmtewisselaar 13%",0.2,IF(H17="warmtewisselaar 31%",0.43,IF(H17="warmtewisselaar 37%",0.55,IF(H17="warmtewisselaar 50%",0.78)))),IF(D38="leghennen",IF(H17="warmtewisselaar 13%",0.4,IF(H17="warmtewisselaar 31%",1,IF(H17="warmtewisselaar 37%",1.25,IF(H17="warmtewisselaar 50%",1.8)))),IF(E19="opfok vleeskuikenouderdieren",IF(H17="warmtewisselaar 13%",0.4,IF(H17="warmtewisselaar 31%",1,IF(H17="warmtewisselaar 37%",1.3,IF(H17="warmtewisselaar 50%",1.9)))),IF(D38="vleeskuikenouderdieren",IF(H17="warmtewisselaar 13%",0.6,IF(H17="warmtewisselaar 31%",1.5,IF(H17="warmtewisselaar 37%",1.85,IF(H17="warmtewisselaar 50%",2.9))))))+IF(E19="vleeskuikens",IF(H17="warmtewisselaar 13%",0.35,IF(H17="warmtewisselaar 31%",1,IF(H17="warmtewisselaar 37%",1.3,IF(H17="warmtewisselaar 50%",2,0)))))+IF(E19="vleeseenden",IF(H17="warmtewisselaar 13%",0.8,IF(H17="warmtewisselaar 31%",2.3,IF(H17="warmtewisselaar 37%",3.15,IF(H17="warmtewisselaar 50%",4.8)))))))+IF(E19="kalkoen hennen",IF(H17="warmtewisselaar 13%",1.1,IF(H17="warmtewisselaar 31%",3,IF(H17="warmtewisselaar 37%",3.85,IF(H17="warmtewisselaar 50%",5.6)))))+IF(E19="kalkoen hanen",IF(H17="warmtewisselaar 13%",2.5,IF(H17="warmtewisselaar 31%",6.2,IF(H17="warmtewisselaar 37%",8.2,IF(H17="warmtewisselaar 50%",11.7))))),0)+IF(H24="met stoffilter",IF(D38="opfok leghennen",IF(H17="warmtewisselaar 13%",0.15,IF(H17="warmtewisselaar 31%",0.35,IF(H17="warmtewisselaar 37%",0.4,IF(H17="warmtewisselaar 50%",0.6)))),IF(D38="leghennen",IF(H17="warmtewisselaar 13%",0.35,IF(H17="warmtewisselaar 31%",0.85,IF(H17="warmtewisselaar 37%",1,IF(H17="warmtewisselaar 50%",1.4)))),IF(E19="leghennen grondhuisvesting",IF(H17="warmtewisselaar 13%",0.35,IF(H17="warmtewisselaar 31%",0.85,IF(H17="warmtewisselaar 37%",1,IF(H17="warmtewisselaar 50%",1.4)))),IF(E19="opfok vleeskuikenouderdieren",IF(H17="warmtewisselaar 13%",0.35,IF(H17="warmtewisselaar 31%",0.85,IF(H17="warmtewisselaar 37%",1.1,IF(H17="warmtewisselaar 50%",1.45)))),IF(D38="vleeskuikenouderdieren",IF(H17="warmtewisselaar 13%",0.5,IF(H17="warmtewisselaar 31%",1.2,IF(H17="warmtewisselaar 37%",1.5,IF(H17="warmtewisselaar 50%",2.1))))))+IF(E19="vleeskuikens",IF(H17="warmtewisselaar 13%",0.3,IF(H17="warmtewisselaar 31%",0.75,IF(H17="warmtewisselaar 37%",1,IF(H17="warmtewisselaar 50%",1.45,0)))))+IF(E19="vleeseenden",IF(H17="warmtewisselaar 13%",0.7,IF(H17="warmtewisselaar 31%",1.9,IF(H17="warmtewisselaar 37%",2.3,IF(H17="warmtewisselaar 50%",3.6)))))))+IF(E19="kalkoen hennen",IF(H17="warmtewisselaar 13%",0.9,IF(H17="warmtewisselaar 31%",2.5,IF(H17="warmtewisselaar 37%",3,IF(H17="warmtewisselaar 50%",4.3)))))+IF(E19="kalkoen hanen",IF(H17="warmtewisselaar 13%",2.2,IF(H17="warmtewisselaar 31%",5.3,IF(H17="warmtewisselaar 37%",6.2,IF(H17="warmtewisselaar 50%",9)))))),0)</f>
        <v>0</v>
      </c>
      <c r="E37" s="82"/>
      <c r="F37" s="84"/>
      <c r="G37" s="82"/>
      <c r="H37" s="82"/>
      <c r="I37" s="82"/>
      <c r="J37" s="82"/>
      <c r="K37" s="82" t="s">
        <v>37</v>
      </c>
      <c r="L37" s="82"/>
      <c r="M37" s="82"/>
      <c r="N37" s="82"/>
      <c r="O37" s="82"/>
      <c r="P37" s="82"/>
      <c r="Q37" s="82"/>
    </row>
    <row r="38" spans="3:17" x14ac:dyDescent="0.35">
      <c r="D38" s="82">
        <f>IF(E19="kOLONIEHUISVESTING","opfok leghennen",IF(E19="GRONDHUISVESTING","opfok leghennen",IF(E19="VOLIEREHUISVESTING","opfok leghennen",IF(E19="leghennen verrijkte kooi/kolonie","leghennen",IF(E19="leghennen grondhuisvesting","leghennen",IF(E19="leghennen voliere","leghennen",IF(E19="vleeskuikenouderdieren groepskooi","vleeskuikenouderdieren",IF(E19="vleeskuikenouderdieren grondhuisvesting","vleeskuikenouderdieren",IF(E19="vleeskuikenouderdieren voliere","vleeskuikenouderdieren",0)))))))))</f>
        <v>0</v>
      </c>
      <c r="E38" s="82"/>
      <c r="F38" s="82"/>
      <c r="G38" s="82"/>
      <c r="H38" s="82"/>
      <c r="I38" s="82"/>
      <c r="J38" s="82"/>
      <c r="K38" s="82"/>
      <c r="L38" s="82"/>
      <c r="M38" s="82"/>
      <c r="N38" s="82"/>
      <c r="O38" s="82"/>
      <c r="P38" s="82"/>
      <c r="Q38" s="82"/>
    </row>
    <row r="39" spans="3:17" x14ac:dyDescent="0.35">
      <c r="D39" s="82"/>
      <c r="E39" s="82"/>
      <c r="F39" s="82"/>
      <c r="G39" s="82"/>
      <c r="H39" s="82"/>
      <c r="I39" s="82"/>
      <c r="J39" s="82"/>
      <c r="K39" s="82"/>
      <c r="L39" s="82"/>
      <c r="M39" s="82"/>
      <c r="N39" s="82"/>
      <c r="O39" s="82"/>
      <c r="P39" s="82"/>
      <c r="Q39" s="82"/>
    </row>
    <row r="47" spans="3:17" ht="17.5" x14ac:dyDescent="0.45">
      <c r="L47" s="69" t="s">
        <v>136</v>
      </c>
    </row>
  </sheetData>
  <sheetProtection algorithmName="SHA-512" hashValue="PeIzmb9nmcim/VRwAtGxR/CZqemcuGgEgmUn1647aLkunOjR2w+n/k8E5x25vdtGgFBrfMQY3lAQLBesvKuIeA==" saltValue="PUGWUqdtMclHQGlGEitS0Q==" spinCount="100000" sheet="1" objects="1" scenarios="1"/>
  <mergeCells count="16">
    <mergeCell ref="E9:F11"/>
    <mergeCell ref="I15:L15"/>
    <mergeCell ref="E33:I34"/>
    <mergeCell ref="I24:K25"/>
    <mergeCell ref="E19:E21"/>
    <mergeCell ref="E25:E26"/>
    <mergeCell ref="I21:K23"/>
    <mergeCell ref="F14:G16"/>
    <mergeCell ref="Q14:Q26"/>
    <mergeCell ref="L17:L18"/>
    <mergeCell ref="M17:O19"/>
    <mergeCell ref="M26:P26"/>
    <mergeCell ref="M13:O14"/>
    <mergeCell ref="O24:O25"/>
    <mergeCell ref="M20:P21"/>
    <mergeCell ref="M22:P23"/>
  </mergeCells>
  <dataValidations count="2">
    <dataValidation type="list" allowBlank="1" showInputMessage="1" showErrorMessage="1" errorTitle="Keuze onjuist" error="Vul dit in met ja of nee." sqref="E19:E21" xr:uid="{E71FDC58-7998-4EA8-9531-BBB38CFF62BB}">
      <formula1>$D$11:$D$17</formula1>
    </dataValidation>
    <dataValidation type="list" allowBlank="1" showInputMessage="1" showErrorMessage="1" errorTitle="Keuze onjuist" error="Vul dit in met ja of nee." sqref="E24" xr:uid="{38D150B4-1E8E-4E4B-9C84-8D3D98AE9F03}">
      <formula1>StalTechDropdown</formula1>
    </dataValidation>
  </dataValidations>
  <printOptions horizontalCentered="1"/>
  <pageMargins left="0.1" right="0.1" top="0.1" bottom="0.1" header="0.3" footer="0.3"/>
  <pageSetup paperSize="9" scale="59" orientation="landscape" r:id="rId1"/>
  <rowBreaks count="1" manualBreakCount="1">
    <brk id="39" max="16383" man="1"/>
  </rowBreaks>
  <ignoredErrors>
    <ignoredError sqref="D20 F25 F19 J11 J13 H17 H12" unlockedFormula="1"/>
    <ignoredError sqref="Q27 L27" evalError="1"/>
  </ignoredErrors>
  <drawing r:id="rId2"/>
  <legacyDrawing r:id="rId3"/>
  <mc:AlternateContent xmlns:mc="http://schemas.openxmlformats.org/markup-compatibility/2006">
    <mc:Choice Requires="x14">
      <controls>
        <mc:AlternateContent xmlns:mc="http://schemas.openxmlformats.org/markup-compatibility/2006">
          <mc:Choice Requires="x14">
            <control shapeId="16385" r:id="rId4" name="Spinner 1">
              <controlPr defaultSize="0" autoPict="0" macro="[0]!celg4kopierennaarh4">
                <anchor moveWithCells="1" sizeWithCells="1">
                  <from>
                    <xdr:col>5</xdr:col>
                    <xdr:colOff>977900</xdr:colOff>
                    <xdr:row>15</xdr:row>
                    <xdr:rowOff>292100</xdr:rowOff>
                  </from>
                  <to>
                    <xdr:col>5</xdr:col>
                    <xdr:colOff>1263650</xdr:colOff>
                    <xdr:row>18</xdr:row>
                    <xdr:rowOff>25400</xdr:rowOff>
                  </to>
                </anchor>
              </controlPr>
            </control>
          </mc:Choice>
        </mc:AlternateContent>
        <mc:AlternateContent xmlns:mc="http://schemas.openxmlformats.org/markup-compatibility/2006">
          <mc:Choice Requires="x14">
            <control shapeId="16386" r:id="rId5" name="Spinner 2">
              <controlPr defaultSize="0" autoPict="0">
                <anchor moveWithCells="1" sizeWithCells="1">
                  <from>
                    <xdr:col>5</xdr:col>
                    <xdr:colOff>984250</xdr:colOff>
                    <xdr:row>22</xdr:row>
                    <xdr:rowOff>260350</xdr:rowOff>
                  </from>
                  <to>
                    <xdr:col>5</xdr:col>
                    <xdr:colOff>1289050</xdr:colOff>
                    <xdr:row>24</xdr:row>
                    <xdr:rowOff>6350</xdr:rowOff>
                  </to>
                </anchor>
              </controlPr>
            </control>
          </mc:Choice>
        </mc:AlternateContent>
        <mc:AlternateContent xmlns:mc="http://schemas.openxmlformats.org/markup-compatibility/2006">
          <mc:Choice Requires="x14">
            <control shapeId="16387" r:id="rId6" name="Spinner 3">
              <controlPr defaultSize="0" autoPict="0">
                <anchor moveWithCells="1" sizeWithCells="1">
                  <from>
                    <xdr:col>15</xdr:col>
                    <xdr:colOff>939800</xdr:colOff>
                    <xdr:row>6</xdr:row>
                    <xdr:rowOff>44450</xdr:rowOff>
                  </from>
                  <to>
                    <xdr:col>15</xdr:col>
                    <xdr:colOff>1225550</xdr:colOff>
                    <xdr:row>8</xdr:row>
                    <xdr:rowOff>146050</xdr:rowOff>
                  </to>
                </anchor>
              </controlPr>
            </control>
          </mc:Choice>
        </mc:AlternateContent>
        <mc:AlternateContent xmlns:mc="http://schemas.openxmlformats.org/markup-compatibility/2006">
          <mc:Choice Requires="x14">
            <control shapeId="16399" r:id="rId7" name="Button 15">
              <controlPr defaultSize="0" print="0" autoFill="0" autoPict="0" macro="[0]!Defaults">
                <anchor moveWithCells="1" sizeWithCells="1">
                  <from>
                    <xdr:col>5</xdr:col>
                    <xdr:colOff>565150</xdr:colOff>
                    <xdr:row>6</xdr:row>
                    <xdr:rowOff>82550</xdr:rowOff>
                  </from>
                  <to>
                    <xdr:col>5</xdr:col>
                    <xdr:colOff>1282700</xdr:colOff>
                    <xdr:row>7</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errorTitle="Keuze onjuist" error="Dit is niet juist" xr:uid="{7C077BCA-A56D-46DC-AC47-4C3B32D85069}">
          <x14:formula1>
            <xm:f>Reductietechnieken!$B$7:$B$9</xm:f>
          </x14:formula1>
          <xm:sqref>H11</xm:sqref>
        </x14:dataValidation>
        <x14:dataValidation type="list" allowBlank="1" showInputMessage="1" showErrorMessage="1" errorTitle="Keuze onjuist" error="Vul dit in met ja of nee." xr:uid="{820A15C5-BC1D-43A5-BFF1-163E9D0BC290}">
          <x14:formula1>
            <xm:f>Reductietechnieken!$B$49:$B$50</xm:f>
          </x14:formula1>
          <xm:sqref>H13</xm:sqref>
        </x14:dataValidation>
        <x14:dataValidation type="list" allowBlank="1" showInputMessage="1" showErrorMessage="1" errorTitle="Keuze onjuist" error="Vul dit in met ja of nee." xr:uid="{1BA6EB7A-3D16-440C-83B9-820D487FB360}">
          <x14:formula1>
            <xm:f>Reductietechnieken!$C$52:$C$53</xm:f>
          </x14:formula1>
          <xm:sqref>J18 L9</xm:sqref>
        </x14:dataValidation>
        <x14:dataValidation type="list" allowBlank="1" showInputMessage="1" showErrorMessage="1" errorTitle="Keuze onjuist" error="Vul dit in met ja of nee." xr:uid="{C9D9D95D-0757-45D8-85CA-F023184224B4}">
          <x14:formula1>
            <xm:f>Reductietechnieken!$B$52:$B$53</xm:f>
          </x14:formula1>
          <xm:sqref>H20</xm:sqref>
        </x14:dataValidation>
        <x14:dataValidation type="list" allowBlank="1" showInputMessage="1" showErrorMessage="1" errorTitle="Keuze onjuist" error="Vul dit in met ja of nee." xr:uid="{42462B46-907C-4C2D-AF58-B1F29A571988}">
          <x14:formula1>
            <xm:f>Reductietechnieken!$B$32:$B$41</xm:f>
          </x14:formula1>
          <xm:sqref>L25</xm:sqref>
        </x14:dataValidation>
        <x14:dataValidation type="list" allowBlank="1" showInputMessage="1" showErrorMessage="1" errorTitle="Keuze onjuist" error="Vul dit in met ja of nee." xr:uid="{D54F7393-56B4-437A-8CFA-42C3FA97A3A0}">
          <x14:formula1>
            <xm:f>Reductietechnieken!$C$56:$C$58</xm:f>
          </x14:formula1>
          <xm:sqref>H23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DC067-7262-438F-8BA1-9512D4AFB534}">
  <sheetPr codeName="Sheet1"/>
  <dimension ref="B2:F7"/>
  <sheetViews>
    <sheetView topLeftCell="AY1" workbookViewId="0">
      <selection activeCell="D21" sqref="D21"/>
    </sheetView>
  </sheetViews>
  <sheetFormatPr defaultRowHeight="12.5" x14ac:dyDescent="0.25"/>
  <cols>
    <col min="1" max="1" width="0" hidden="1" customWidth="1"/>
    <col min="2" max="2" width="59.08984375" hidden="1" customWidth="1"/>
    <col min="3" max="3" width="20.6328125" hidden="1" customWidth="1"/>
    <col min="4" max="50" width="0" hidden="1" customWidth="1"/>
  </cols>
  <sheetData>
    <row r="2" spans="2:6" ht="15.5" x14ac:dyDescent="0.35">
      <c r="B2" s="202" t="s">
        <v>111</v>
      </c>
      <c r="C2" s="18" t="s">
        <v>213</v>
      </c>
    </row>
    <row r="3" spans="2:6" ht="15.5" x14ac:dyDescent="0.35">
      <c r="B3" s="34" t="s">
        <v>129</v>
      </c>
      <c r="C3" s="203">
        <v>0</v>
      </c>
      <c r="E3" s="18"/>
      <c r="F3" t="s">
        <v>215</v>
      </c>
    </row>
    <row r="4" spans="2:6" ht="15.5" x14ac:dyDescent="0.35">
      <c r="B4" s="34" t="s">
        <v>209</v>
      </c>
      <c r="C4" s="203">
        <v>0.15</v>
      </c>
    </row>
    <row r="5" spans="2:6" ht="15.5" x14ac:dyDescent="0.35">
      <c r="B5" s="205" t="s">
        <v>210</v>
      </c>
      <c r="C5" s="203">
        <v>0.3</v>
      </c>
    </row>
    <row r="6" spans="2:6" ht="15.5" x14ac:dyDescent="0.35">
      <c r="B6" s="204" t="s">
        <v>205</v>
      </c>
      <c r="C6" s="203">
        <v>0.31</v>
      </c>
    </row>
    <row r="7" spans="2:6" ht="15.5" x14ac:dyDescent="0.35">
      <c r="B7" s="204" t="s">
        <v>214</v>
      </c>
      <c r="C7" s="203">
        <v>0.5</v>
      </c>
    </row>
  </sheetData>
  <sheetProtection algorithmName="SHA-512" hashValue="t/WR610AEBWaElKgtNqPBRa3I+RoraRVDuT9cBG6npNnmyLIIBtuToiZnm1LoyHvfAWJl41t6171oBkDv5aAvg==" saltValue="lw82EUF21CM7e8BAxHdbPQ==" spinCount="100000" sheet="1" objects="1" scenarios="1"/>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FE810B-0B37-4617-B400-22BE8907EF87}">
  <sheetPr codeName="Blad14"/>
  <dimension ref="A1:AT143"/>
  <sheetViews>
    <sheetView topLeftCell="AU1" zoomScale="80" zoomScaleNormal="80" workbookViewId="0">
      <pane ySplit="15" topLeftCell="A16" activePane="bottomLeft" state="frozen"/>
      <selection activeCell="D21" sqref="D21"/>
      <selection pane="bottomLeft" activeCell="BA15" sqref="BA15"/>
    </sheetView>
  </sheetViews>
  <sheetFormatPr defaultColWidth="12.08984375" defaultRowHeight="12.5" x14ac:dyDescent="0.25"/>
  <cols>
    <col min="1" max="1" width="20.81640625" hidden="1" customWidth="1"/>
    <col min="2" max="20" width="20.81640625" style="1" hidden="1" customWidth="1"/>
    <col min="21" max="25" width="20.81640625" hidden="1" customWidth="1"/>
    <col min="26" max="30" width="20.81640625" style="1" hidden="1" customWidth="1"/>
    <col min="31" max="35" width="20.81640625" hidden="1" customWidth="1"/>
    <col min="36" max="36" width="20.81640625" style="1" hidden="1" customWidth="1"/>
    <col min="37" max="46" width="20.81640625" hidden="1" customWidth="1"/>
    <col min="47" max="52" width="20.81640625" customWidth="1"/>
  </cols>
  <sheetData>
    <row r="1" spans="1:44" ht="13" x14ac:dyDescent="0.3">
      <c r="A1" s="23" t="s">
        <v>16</v>
      </c>
      <c r="I1" s="1" t="str">
        <f>OPFOKLEGHEN!$E$19</f>
        <v>KIES EEN CATEGORIE</v>
      </c>
      <c r="J1" s="4"/>
      <c r="V1" t="s">
        <v>187</v>
      </c>
      <c r="W1" t="s">
        <v>186</v>
      </c>
      <c r="X1" t="s">
        <v>185</v>
      </c>
      <c r="Y1" t="s">
        <v>184</v>
      </c>
    </row>
    <row r="2" spans="1:44" ht="13" x14ac:dyDescent="0.3">
      <c r="A2" s="33" t="s">
        <v>31</v>
      </c>
      <c r="I2" s="7">
        <f>'Max waarden'!$B$6</f>
        <v>1.73</v>
      </c>
      <c r="J2" s="11" t="s">
        <v>12</v>
      </c>
    </row>
    <row r="3" spans="1:44" x14ac:dyDescent="0.25">
      <c r="A3" s="18" t="s">
        <v>17</v>
      </c>
      <c r="I3" s="66">
        <f>IF(OPFOKLEGHEN!H11="geen droogtunnel",0,IF(OPFOKLEGHEN!H11="DROOGTUNNEL (PLATEN) 55%",0.85,0.85))</f>
        <v>0</v>
      </c>
      <c r="J3" s="20" t="s">
        <v>12</v>
      </c>
      <c r="Q3"/>
      <c r="R3"/>
      <c r="S3"/>
    </row>
    <row r="4" spans="1:44" ht="13" x14ac:dyDescent="0.3">
      <c r="A4" s="18" t="s">
        <v>18</v>
      </c>
      <c r="I4" s="21">
        <f>IF(OPFOKLEGHEN!$H$11="droogtunnel (platen) 55%",79%,IF(OPFOKLEGHEN!$H$11="droogtunnel (banden) 30%",43%,0))</f>
        <v>0</v>
      </c>
      <c r="M4" s="24" t="s">
        <v>32</v>
      </c>
      <c r="N4" s="24"/>
      <c r="O4" s="24"/>
      <c r="P4" s="24" t="s">
        <v>33</v>
      </c>
      <c r="Q4"/>
      <c r="R4"/>
      <c r="S4"/>
    </row>
    <row r="5" spans="1:44" ht="13" x14ac:dyDescent="0.3">
      <c r="A5" s="18" t="s">
        <v>11</v>
      </c>
      <c r="I5" s="66">
        <f>OPFOKLEGHEN!H14+OPFOKLEGHEN!F19</f>
        <v>0</v>
      </c>
      <c r="J5" s="4">
        <f>IF(OPFOKLEGHEN!$H$11="geen droogtunnel",OPFOKLEGHEN!D8,IF(OPFOKLEGHEN!$H$13="SERIE GESCHAKELD MET WARMTEWISSELAAR",OPFOKLEGHEN!D9,OPFOKLEGHEN!D10))</f>
        <v>0</v>
      </c>
      <c r="K5" s="20" t="s">
        <v>12</v>
      </c>
      <c r="L5" s="20"/>
      <c r="M5" s="11"/>
      <c r="N5" s="11"/>
      <c r="O5" s="11"/>
      <c r="Q5"/>
      <c r="R5"/>
      <c r="S5"/>
    </row>
    <row r="6" spans="1:44" ht="13" x14ac:dyDescent="0.3">
      <c r="A6" s="18" t="s">
        <v>9</v>
      </c>
      <c r="F6" s="1" t="s">
        <v>37</v>
      </c>
      <c r="I6" s="21">
        <f>IF(OPFOKLEGHEN!$H$15="geen warmtewisselaar",0,IF(OPFOKLEGHEN!$H$20="ja",95%,80%))</f>
        <v>0</v>
      </c>
      <c r="J6" s="20"/>
      <c r="L6" s="20" t="s">
        <v>37</v>
      </c>
      <c r="M6" s="24" t="s">
        <v>35</v>
      </c>
      <c r="N6" s="24"/>
      <c r="O6" s="24"/>
      <c r="P6" s="24" t="s">
        <v>34</v>
      </c>
      <c r="Q6"/>
      <c r="R6"/>
      <c r="S6"/>
    </row>
    <row r="7" spans="1:44" ht="13" x14ac:dyDescent="0.3">
      <c r="A7" s="18" t="s">
        <v>172</v>
      </c>
      <c r="I7" s="195">
        <f>OPFOKLEGHEN!$F$25</f>
        <v>0</v>
      </c>
      <c r="J7" s="20"/>
      <c r="M7" s="24"/>
      <c r="N7" s="24"/>
      <c r="O7" s="24"/>
      <c r="P7" s="24"/>
      <c r="Q7" s="24"/>
      <c r="R7" s="24"/>
      <c r="S7" s="24"/>
      <c r="Z7" s="24"/>
      <c r="AA7" s="24"/>
      <c r="AB7" s="24"/>
      <c r="AC7" s="24"/>
      <c r="AD7" s="24"/>
    </row>
    <row r="8" spans="1:44" x14ac:dyDescent="0.25">
      <c r="A8" s="18" t="s">
        <v>15</v>
      </c>
      <c r="I8" s="21">
        <f>OPFOKLEGHEN!$E$28</f>
        <v>0</v>
      </c>
      <c r="J8" s="20" t="str">
        <f>OPFOKLEGHEN!$H$20</f>
        <v>NEE</v>
      </c>
      <c r="K8" s="1" t="s">
        <v>188</v>
      </c>
    </row>
    <row r="9" spans="1:44" x14ac:dyDescent="0.25">
      <c r="A9" s="18" t="s">
        <v>152</v>
      </c>
      <c r="I9" s="21">
        <v>0</v>
      </c>
      <c r="J9" s="1" t="str">
        <f>OPFOKLEGHEN!$L$9</f>
        <v>NEE</v>
      </c>
      <c r="K9" s="1" t="s">
        <v>189</v>
      </c>
      <c r="T9" s="6"/>
    </row>
    <row r="10" spans="1:44" x14ac:dyDescent="0.25">
      <c r="A10" s="18" t="s">
        <v>153</v>
      </c>
      <c r="G10" s="144">
        <f>IF(OPFOKLEGHEN!$L$25="chemische wasser 35%",35%,IF(OPFOKLEGHEN!$L$25="chemische wasser 70%",70%,IF(OPFOKLEGHEN!$L$25="bio wasser 60%",60%,IF(OPFOKLEGHEN!$L$25="bio wasser 75%",75%,IF(OPFOKLEGHEN!$L$25="biofilter",80%,IF(OPFOKLEGHEN!$L$25="waterluchtwassysteem",33%,IF(OPFOKLEGHEN!$L$25="droogfilterwand",40%,IF(OPFOKLEGHEN!$L$25="ionisatiefilter",57%,IF(OPFOKLEGHEN!$L$25="luchtconditioneringsunit",IF(OPFOKLEGHEN!$M$26="Luchtconditioneringsunit niet combineren met techniek buiten stal","error",80%),0)))))))))</f>
        <v>0</v>
      </c>
      <c r="H10" s="144"/>
      <c r="I10" s="170" t="e">
        <f>ROUND(IF(OPFOKLEGHEN!$H$13="SERIE GESCHAKELD MET WARMTEWISSELAAR",AC138*G10,IF(OPFOKLEGHEN!$H$13="PARALLEL GESCHAKELD MET WARMTEWISSELAAR",AD138*G10)),3)</f>
        <v>#DIV/0!</v>
      </c>
      <c r="J10" s="20" t="str">
        <f>OPFOKLEGHEN!$J$18</f>
        <v>NEE</v>
      </c>
      <c r="K10" s="1" t="s">
        <v>7</v>
      </c>
      <c r="N10" s="138"/>
      <c r="O10" s="138"/>
      <c r="AC10" s="169" t="s">
        <v>191</v>
      </c>
      <c r="AD10" s="168" t="s">
        <v>192</v>
      </c>
    </row>
    <row r="11" spans="1:44" x14ac:dyDescent="0.25">
      <c r="A11" s="18"/>
      <c r="E11" s="20" t="s">
        <v>37</v>
      </c>
      <c r="F11" s="20" t="s">
        <v>190</v>
      </c>
      <c r="G11" s="166">
        <f>IF(OPFOKLEGHEN!$H$13="SERIE GESCHAKELD MET WARMTEWISSELAAR",IF(OPFOKLEGHEN!$H$20="nee",0.8,0.65),IF(OPFOKLEGHEN!$H$13="Parallel GESCHAKELD MET WARMTEWISSELAAR",IF(OPFOKLEGHEN!$H$20="nee",1,0.94)))</f>
        <v>1</v>
      </c>
      <c r="H11" s="20"/>
      <c r="I11" s="165"/>
      <c r="R11" s="129"/>
    </row>
    <row r="12" spans="1:44" ht="13" x14ac:dyDescent="0.3">
      <c r="A12" s="18" t="s">
        <v>13</v>
      </c>
      <c r="E12" s="1" t="s">
        <v>37</v>
      </c>
      <c r="G12" s="1" t="s">
        <v>37</v>
      </c>
      <c r="I12" s="22"/>
      <c r="J12" s="24" t="s">
        <v>22</v>
      </c>
      <c r="R12" s="15" t="str">
        <f>OPFOKLEGHEN!$H$23</f>
        <v>GEEN FILTER</v>
      </c>
      <c r="Z12"/>
      <c r="AA12"/>
      <c r="AB12"/>
      <c r="AC12"/>
      <c r="AD12"/>
      <c r="AE12" s="1"/>
      <c r="AF12" s="22"/>
      <c r="AG12" s="22"/>
      <c r="AI12" s="22"/>
      <c r="AJ12" s="22"/>
      <c r="AK12" s="22"/>
    </row>
    <row r="13" spans="1:44" ht="13" x14ac:dyDescent="0.3">
      <c r="A13" s="18"/>
      <c r="D13" s="1">
        <f>IF(OPFOKLEGHEN!$H$13="serie geschakeld met warmtewisselaar",MIN(I$5,C17),MIN(C17,I$5))</f>
        <v>0</v>
      </c>
      <c r="I13" s="22"/>
      <c r="J13" s="24" t="s">
        <v>21</v>
      </c>
      <c r="O13" s="1">
        <f>K34-(D34/C34*K34*I$6*(1-55%))</f>
        <v>0.69523404514079346</v>
      </c>
      <c r="R13" s="21">
        <f>IF(OPFOKLEGHEN!$H$23="DROGE stoffilter 99%",95%,IF(OPFOKLEGHEN!$H$23="droogfilterUNIT 40%",40%,0.00001%))</f>
        <v>1.0000000000000001E-7</v>
      </c>
      <c r="S13" s="21">
        <f>IF(OPFOKLEGHEN!$H$23="DROGE stoffilter 99%",IF(OPFOKLEGHEN!$H$13="parallel geschakeld met warmtewisselaar",93%,93%),IF(OPFOKLEGHEN!$H$23="droogfilterUNIT 40%",IF(OPFOKLEGHEN!$H$13="parallel geschakeld met warmtewisselaar",40%,40%),0%))</f>
        <v>0</v>
      </c>
      <c r="Z13"/>
      <c r="AA13"/>
      <c r="AB13"/>
      <c r="AC13"/>
      <c r="AD13"/>
      <c r="AE13" s="1"/>
      <c r="AF13" s="22"/>
      <c r="AG13" s="22"/>
      <c r="AI13" s="22"/>
      <c r="AJ13" s="22"/>
      <c r="AK13" s="22"/>
      <c r="AL13" s="22"/>
      <c r="AM13" s="24"/>
    </row>
    <row r="14" spans="1:44" ht="13" x14ac:dyDescent="0.3">
      <c r="D14" s="1" t="str">
        <f>OPFOKLEGHEN!$H$13</f>
        <v>PARALLEL GESCHAKELD MET WARMTEWISSELAAR</v>
      </c>
      <c r="N14" s="1">
        <f>(1-$I$6)/(C53-D53)/C53</f>
        <v>4.534403644369676</v>
      </c>
      <c r="O14" s="1" t="e">
        <f>(1-($I$6*(D49-E49)))*$C49/$D49</f>
        <v>#DIV/0!</v>
      </c>
      <c r="T14" s="97"/>
      <c r="U14" s="1"/>
      <c r="V14" s="1"/>
      <c r="W14" s="1"/>
      <c r="X14" s="1"/>
      <c r="Y14" s="1"/>
      <c r="AE14" s="243" t="s">
        <v>154</v>
      </c>
      <c r="AF14" s="244"/>
      <c r="AG14" s="244"/>
      <c r="AH14" s="244"/>
      <c r="AI14" s="244"/>
      <c r="AJ14" s="244"/>
      <c r="AK14" s="244"/>
      <c r="AL14" s="244"/>
      <c r="AM14" s="245"/>
      <c r="AO14" s="2" t="s">
        <v>155</v>
      </c>
    </row>
    <row r="15" spans="1:44" ht="106.5" customHeight="1" x14ac:dyDescent="0.3">
      <c r="A15" s="135" t="s">
        <v>3</v>
      </c>
      <c r="B15" s="135" t="s">
        <v>2</v>
      </c>
      <c r="C15" s="135" t="s">
        <v>1</v>
      </c>
      <c r="D15" s="8" t="s">
        <v>14</v>
      </c>
      <c r="E15" s="8" t="s">
        <v>164</v>
      </c>
      <c r="F15" s="8" t="s">
        <v>165</v>
      </c>
      <c r="G15" s="136" t="s">
        <v>173</v>
      </c>
      <c r="H15" s="136" t="s">
        <v>175</v>
      </c>
      <c r="I15" s="8" t="s">
        <v>10</v>
      </c>
      <c r="J15" s="8" t="s">
        <v>8</v>
      </c>
      <c r="K15" s="9" t="s">
        <v>26</v>
      </c>
      <c r="L15" s="9" t="s">
        <v>176</v>
      </c>
      <c r="M15" s="9" t="s">
        <v>156</v>
      </c>
      <c r="N15" s="128" t="s">
        <v>168</v>
      </c>
      <c r="O15" s="128" t="s">
        <v>169</v>
      </c>
      <c r="P15" s="9" t="s">
        <v>166</v>
      </c>
      <c r="Q15" s="16" t="s">
        <v>167</v>
      </c>
      <c r="R15" s="16" t="s">
        <v>204</v>
      </c>
      <c r="S15" s="16" t="s">
        <v>174</v>
      </c>
      <c r="T15" s="9" t="s">
        <v>157</v>
      </c>
      <c r="U15" s="9" t="s">
        <v>158</v>
      </c>
      <c r="V15" s="9" t="s">
        <v>177</v>
      </c>
      <c r="W15" s="9" t="s">
        <v>181</v>
      </c>
      <c r="X15" s="9" t="s">
        <v>182</v>
      </c>
      <c r="Y15" s="9" t="s">
        <v>183</v>
      </c>
      <c r="Z15" s="9" t="s">
        <v>171</v>
      </c>
      <c r="AA15" s="9"/>
      <c r="AB15" s="9"/>
      <c r="AC15" s="9"/>
      <c r="AD15" s="9"/>
      <c r="AE15" s="25" t="s">
        <v>23</v>
      </c>
      <c r="AF15" s="26" t="s">
        <v>19</v>
      </c>
      <c r="AG15" s="26" t="s">
        <v>27</v>
      </c>
      <c r="AH15" s="27" t="s">
        <v>24</v>
      </c>
      <c r="AI15" s="26" t="s">
        <v>20</v>
      </c>
      <c r="AJ15" s="26" t="s">
        <v>28</v>
      </c>
      <c r="AK15" s="27" t="s">
        <v>25</v>
      </c>
      <c r="AL15" s="26" t="s">
        <v>29</v>
      </c>
      <c r="AM15" s="135" t="s">
        <v>3</v>
      </c>
      <c r="AN15" s="135" t="s">
        <v>2</v>
      </c>
      <c r="AO15" s="12" t="s">
        <v>4</v>
      </c>
      <c r="AP15" s="12" t="s">
        <v>5</v>
      </c>
      <c r="AQ15" s="135" t="s">
        <v>6</v>
      </c>
      <c r="AR15" s="28" t="s">
        <v>30</v>
      </c>
    </row>
    <row r="16" spans="1:44" ht="13" x14ac:dyDescent="0.3">
      <c r="A16" s="1">
        <v>1</v>
      </c>
      <c r="B16" s="1">
        <v>1</v>
      </c>
      <c r="C16" s="4">
        <f>0.000000000384*AQ16^3-0.000000342064*AQ16^2+0.001060852819*AQ16+0.088327034395</f>
        <v>0.135046348130446</v>
      </c>
      <c r="D16" s="7">
        <f t="shared" ref="D16:D70" si="0">MIN(C16,J$5)</f>
        <v>0</v>
      </c>
      <c r="E16" s="7">
        <f>IF(I$3=0,0,IF(OPFOKLEGHEN!$H$13="parallel geschakeld met warmtewisselaar",0,MIN(I$3,C16)))</f>
        <v>0</v>
      </c>
      <c r="F16" s="7">
        <f>IF(I$3=0,0,IF(OPFOKLEGHEN!$H$13="serie geschakeld met warmtewisselaar",0,IF(C16&lt;$I$3,C16-D16,MIN($I$3,C16-D16))))</f>
        <v>0</v>
      </c>
      <c r="G16" s="137">
        <f>IF(C16&lt;$I$7,MAX(0,C16-D16-E16-F16,IF(OPFOKLEGHEN!$H$15="warmtewisselaar",IF(OPFOKLEGHEN!$H$13="serie geschakeld met warmtewisselaar",MIN(I$7,MAX(0,C16-D16-F16)),MIN(I$7,MAX(0,C16-D16-E16-F16))))),IF(OPFOKLEGHEN!$H$13="parallel geschakeld met warmtewisselaar",MIN(I$7,C16-D16-E16-F16,MIN(I$7,C16-E16-F16)),MIN(I$7,MAX(0,C16-D16-F16))))</f>
        <v>0</v>
      </c>
      <c r="H16" s="7">
        <f>IF(OPFOKLEGHEN!$H$13="parallel geschakeld met warmtewisselaar",IF(OPFOKLEGHEN!$L$9="nee",IF(OPFOKLEGHEN!$J$18="ja",C16-F16-G16,C16-D16-F16-G16),IF(OPFOKLEGHEN!$L$9="ja",IF(OPFOKLEGHEN!$J$18="ja",C16-G16,IF(OPFOKLEGHEN!$J$18="nee",C16-D16-G16)))),IF(OPFOKLEGHEN!$H$13="serie geschakeld met warmtewisselaar",IF(OPFOKLEGHEN!$J$18="ja",C16-G16,C16-D16-F16-G16),C16-D16-F16-G16))</f>
        <v>0.135046348130446</v>
      </c>
      <c r="I16" s="99">
        <f>IF(C16-D16-E16&lt;0, 0, C16-D16-E16)</f>
        <v>0.135046348130446</v>
      </c>
      <c r="J16" s="99">
        <v>0.21206634125781271</v>
      </c>
      <c r="K16" s="6">
        <f>(J16/1000)*C16*24*365</f>
        <v>0.25087575614669222</v>
      </c>
      <c r="L16" s="130">
        <f>SUM(K$16:K16)/$K$137</f>
        <v>2.9378557518576937E-4</v>
      </c>
      <c r="M16" s="6">
        <f>(((($J16/1000)*(1-$I$8))*$B16*$C16))</f>
        <v>2.8638784948252538E-5</v>
      </c>
      <c r="N16" s="6">
        <f t="shared" ref="N16:N47" si="1">(((($K16)*(1-($I$6*(D16)/C16)))))</f>
        <v>0.25087575614669222</v>
      </c>
      <c r="O16" s="6">
        <f>IF(E16&lt;I$3,P16*(1-I$6*D16/C16),IF(OPFOKLEGHEN!$H$11="droogtunnel (platen) 55%",P16*(1-$I$6)+(C16-D16)/C16*(K16-P16*(1-I$6)),P16*(1-$I$6)+(C16-D16)/C16*(K16-P16*(1-I$6))))</f>
        <v>0.25087575614669222</v>
      </c>
      <c r="P16" s="129">
        <f t="shared" ref="P16:P47" si="2">IF(E16=0,K16,K16-K16*I$4*E16/C16)</f>
        <v>0.25087575614669222</v>
      </c>
      <c r="Q16" s="134">
        <f t="shared" ref="Q16:Q47" si="3">IF(F16=0,K16,K16-K16*I$4*F16/C16)</f>
        <v>0.25087575614669222</v>
      </c>
      <c r="R16" s="134">
        <f>K16-(G16/C16)*K16*R$13</f>
        <v>0.25087575614669222</v>
      </c>
      <c r="S16" s="199">
        <f>IF(G16&lt;0.1,K16,IF(C16=F16,S16/(1-I$4),IF(I$3=0,K16-(G16/C16)*K16*S$13,IF(OPFOKLEGHEN!$H$13="Parallel geschakeld met warmtewisselaar",K16-(K16-(K16-Q16)/I$4)*(G16/(C16-F16))*S$13,IF(OPFOKLEGHEN!$H$20="ja",K16-(K16-(K16-P16)/I$4)*(G16/(C16-MIN(D16,I$5)))*S$13,K16-(K16-(K16-P16)/I$4)*(G16/(C16-MIN(D16,I$5)))*S$13)))))</f>
        <v>0.25087575614669222</v>
      </c>
      <c r="T16" s="6">
        <f t="shared" ref="T16" si="4">(((($J16/1000)*(1-$I$8))*$B16*$I16)*(1-$I$9))+(((($J16/1000)*(1-$I$8))*$B16*$D16)*(1-$I$6))+(((($J16/1000)*(1-$I$8))*$B16*$E16)*(1-$I$4))</f>
        <v>2.8638784948252538E-5</v>
      </c>
      <c r="U16" s="129" t="e">
        <f>(($AP16/1000)*(1-$I$10)*$D16*$B16)+(($AQ16/1000)*(1-$I$10)*$E16*$B16)</f>
        <v>#DIV/0!</v>
      </c>
      <c r="V16" s="129">
        <f>IF(OPFOKLEGHEN!$J$18="nee",H16/C16*K16,IF(OPFOKLEGHEN!$H$20="ja",O16-(K16-Q16)-(K16-S16),Q16-(K16-O16)-(K16-S16)))</f>
        <v>0.25087575614669222</v>
      </c>
      <c r="W16" s="162">
        <f>IF(H16=0,0,IF(OPFOKLEGHEN!$H$11="geen droogtunnel",IF(OPFOKLEGHEN!$H$15="geen warmtewisselaar",Q16-(K16-R16)))+IF(OPFOKLEGHEN!$H$12&gt;0,IF(OPFOKLEGHEN!$H$13="serie geschakeld met warmtewisselaar",(O16*80%-(K16-S16)),(Q16-(K16-S16)-(K16-T16))),(N16-(K16-S16))))</f>
        <v>0.50175151229338444</v>
      </c>
      <c r="X16" s="162">
        <f>IF(H16=0,0,IF(OPFOKLEGHEN!$H$11="geen droogtunnel",IF(OPFOKLEGHEN!$H$15="geen warmtewisselaar",Q16-(K16-R16)))+IF(OPFOKLEGHEN!$H$12&gt;0,IF(OPFOKLEGHEN!$H$13="serie geschakeld met warmtewisselaar",(O16*80%-(K16-S16)),(Q16-(K16-S16/80%)-(K16-N16/80%))),(N16-(K16-S16))))</f>
        <v>0.50175151229338444</v>
      </c>
      <c r="Y16" s="162">
        <f>IF(H16=0,0,IF(OPFOKLEGHEN!$H$11="geen droogtunnel",IF(OPFOKLEGHEN!$H$15="geen warmtewisselaar",Q16-(K16-R16)))+IF(OPFOKLEGHEN!$H$12&gt;0,IF(OPFOKLEGHEN!$H$13="serie geschakeld met warmtewisselaar",(O16-(K16-S16)),IF(OPFOKLEGHEN!$H$13="parallel geschakeld met warmtewisselaar",IF(OPFOKLEGHEN!$L$9="ja",IF(OPFOKLEGHEN!$J$18="nee",(N16-(K16-Q16)-(K16-S16)),(Q16-(K16-N16/80%)))))),(O16-(K16-S16))))</f>
        <v>0.50175151229338444</v>
      </c>
      <c r="Z16" s="130">
        <f t="shared" ref="Z16:Z47" si="5">Q16/K16</f>
        <v>1</v>
      </c>
      <c r="AA16" s="130"/>
      <c r="AB16" s="130"/>
      <c r="AC16" s="167">
        <f>IF(H16=0,0,IF(OPFOKLEGHEN!$H$11="geen droogtunnel",IF(OPFOKLEGHEN!$H$15="geen warmtewisselaar",(P16-(K16-R16)/R$13),K16-(K16-O16)/I$6-(K16-R16)/95%)+IF(OPFOKLEGHEN!$J$18="ja",(K16-O16)*(1-I$6)),IF(OPFOKLEGHEN!$H$12&gt;=0,IF(OPFOKLEGHEN!$L$9="ja",IF(OPFOKLEGHEN!$J$18="ja",IF(OPFOKLEGHEN!$H$20="ja",O16-(K16-S16),IF(OPFOKLEGHEN!$H$20="nee",(O16-(K16-S16)),(O16-(K16-S16)))),IF(OPFOKLEGHEN!$J$18="nee",IF(OPFOKLEGHEN!$H$20="nee",O16*80%-(K16-S16),0+O16-(K16-S16)))),IF(OPFOKLEGHEN!$L$9="nee",IF(OPFOKLEGHEN!$J$18="nee",IF(OPFOKLEGHEN!$H$20="nee",(O16*80%-(K16-S16)),O16*93%-(K16-S16)),IF(OPFOKLEGHEN!$H$20="nee",IF(OPFOKLEGHEN!$J$18="ja",IF(OPFOKLEGHEN!$L$9="nee",O16-(K16-S16))),O16-(K16-S16))))))))</f>
        <v>0.25087575614669222</v>
      </c>
      <c r="AD16" s="167" t="e">
        <f>IF(H16=0,0,IF(OPFOKLEGHEN!$H$11="geen droogtunnel",IF(OPFOKLEGHEN!$H$15="geen warmtewisselaar",(Q16-(K16-R16)/S$13),N16-(K16-R16)),IF(OPFOKLEGHEN!$H$12&gt;=0,IF(OPFOKLEGHEN!$L$9="ja",IF(OPFOKLEGHEN!$J$18="ja",IF(OPFOKLEGHEN!$H$20="ja",Q16-(K16-N16)-(K16-S16),IF(OPFOKLEGHEN!$H$20="nee",(Q16-(K16-N16)-(K16-S16)),(O16-(K16-S16)))),IF(OPFOKLEGHEN!$J$18="nee",IF(OPFOKLEGHEN!$H$20="nee",1*Q16*$N$135-(K16-N16)-(K16-S16),(Q16-(K16-N16)-(K16-S16))*N$135))),IF(OPFOKLEGHEN!$L$9="nee",IF(OPFOKLEGHEN!$J$18="nee",IF(OPFOKLEGHEN!$H$20="nee",(N16*95%-(K16-Q16)/I$4-(K16-S16)),N16-(K16-Q16)/I$4-(K16-S16)),IF(OPFOKLEGHEN!$H$20="nee",IF(OPFOKLEGHEN!$J$18="ja",IF(OPFOKLEGHEN!$L$9="nee",N16-(K16-Q16)/I$4-(K16-S16))),N16-(K16-Q16)/I$4-(K16-S16))))))))</f>
        <v>#DIV/0!</v>
      </c>
      <c r="AE16" s="29">
        <f t="shared" ref="AE16:AE47" si="6">IF((D16+E16)&lt;$I$3,D16+E16,$I$3)</f>
        <v>0</v>
      </c>
      <c r="AF16" s="6">
        <f t="shared" ref="AF16:AF47" si="7">IF($I$3&gt;0,(J16*(1-$I$8)*(1-$I$4)),(J16*(1-$I$8)))</f>
        <v>0.21206634125781271</v>
      </c>
      <c r="AG16" s="6">
        <f t="shared" ref="AG16:AG47" si="8">($AF16/1000)*$B16*$AE16</f>
        <v>0</v>
      </c>
      <c r="AH16" s="4">
        <f t="shared" ref="AH16:AH47" si="9">D16</f>
        <v>0</v>
      </c>
      <c r="AI16" s="6">
        <f>IF($I$5&gt;0,AF16*(1-$I$6),AF16)</f>
        <v>0.21206634125781271</v>
      </c>
      <c r="AJ16" s="6">
        <f t="shared" ref="AJ16:AJ47" si="10">(AI16/1000)*B16*AH16</f>
        <v>0</v>
      </c>
      <c r="AK16" s="4">
        <f t="shared" ref="AK16:AK47" si="11">IF($I$3&gt;$I$5,C16-AE16,C16-AH16)</f>
        <v>0.135046348130446</v>
      </c>
      <c r="AL16" s="6">
        <f t="shared" ref="AL16:AL47" si="12">((($J16/1000)*(1-$I$8))*$B16*$AK16)*(1-$I$9)</f>
        <v>2.8638784948252538E-5</v>
      </c>
      <c r="AM16" s="1">
        <v>1</v>
      </c>
      <c r="AN16" s="1">
        <v>1</v>
      </c>
      <c r="AO16" s="5">
        <v>45</v>
      </c>
      <c r="AP16" s="5">
        <v>44.3</v>
      </c>
      <c r="AQ16" s="5">
        <f>(AO16+AP16)/2</f>
        <v>44.65</v>
      </c>
      <c r="AR16" s="100" t="e">
        <f t="shared" ref="AR16:AR47" si="13">(($AP16/1000)*(1-$I$10)*$D16*$B16)+(($AQ16/1000)*(1-$I$10)*$E16*$B16)+(($AO16/1000)*(1-$I$10)*$I16*$B16)</f>
        <v>#DIV/0!</v>
      </c>
    </row>
    <row r="17" spans="1:44" ht="13" x14ac:dyDescent="0.3">
      <c r="A17" s="1">
        <v>1</v>
      </c>
      <c r="B17" s="1">
        <v>2</v>
      </c>
      <c r="C17" s="4">
        <f t="shared" ref="C17:C80" si="14">0.000000000384*AQ17^3-0.000000342064*AQ17^2+0.001060852819*AQ17+0.088327034395</f>
        <v>0.13984170733262799</v>
      </c>
      <c r="D17" s="7">
        <f t="shared" si="0"/>
        <v>0</v>
      </c>
      <c r="E17" s="7">
        <f>IF(I$3=0,0,IF(OPFOKLEGHEN!$H$13="parallel geschakeld met warmtewisselaar",0,MIN(I$3,C17)))</f>
        <v>0</v>
      </c>
      <c r="F17" s="7">
        <f>IF(I$3=0,0,IF(OPFOKLEGHEN!$H$13="serie geschakeld met warmtewisselaar",0,IF(C17&lt;$I$3,C17-D17,MIN($I$3,C17-D17))))</f>
        <v>0</v>
      </c>
      <c r="G17" s="137">
        <f>IF(C17&lt;$I$7,MAX(0,C17-D17-E17-F17,IF(OPFOKLEGHEN!$H$15="warmtewisselaar",IF(OPFOKLEGHEN!$H$13="serie geschakeld met warmtewisselaar",MIN(I$7,MAX(0,C17-D17-F17)),MIN(I$7,MAX(0,C17-D17-E17-F17))))),IF(OPFOKLEGHEN!$H$13="parallel geschakeld met warmtewisselaar",MIN(I$7,C17-D17-E17-F17,MIN(I$7,C17-E17-F17)),MIN(I$7,MAX(0,C17-D17-F17))))</f>
        <v>0</v>
      </c>
      <c r="H17" s="7">
        <f>IF(OPFOKLEGHEN!$H$13="parallel geschakeld met warmtewisselaar",IF(OPFOKLEGHEN!$L$9="nee",IF(OPFOKLEGHEN!$J$18="ja",C17-F17-G17,C17-D17-F17-G17),IF(OPFOKLEGHEN!$L$9="ja",IF(OPFOKLEGHEN!$J$18="ja",C17-G17,IF(OPFOKLEGHEN!$J$18="nee",C17-D17-G17)))),IF(OPFOKLEGHEN!$H$13="serie geschakeld met warmtewisselaar",IF(OPFOKLEGHEN!$J$18="ja",C17-G17,C17-D17-F17-G17),C17-D17-F17-G17))</f>
        <v>0.13984170733262799</v>
      </c>
      <c r="I17" s="98">
        <f t="shared" ref="I17:I71" si="15">IF(C17-D17-E17&lt;0, 0, C17-D17-E17)</f>
        <v>0.13984170733262799</v>
      </c>
      <c r="J17" s="99">
        <v>0.21600448172178227</v>
      </c>
      <c r="K17" s="6">
        <f t="shared" ref="K17:K80" si="16">(J17/1000)*C17*24*365</f>
        <v>0.26460837511554758</v>
      </c>
      <c r="L17" s="130">
        <f>SUM(K$16:K17)/$K$137</f>
        <v>6.0365259811499133E-4</v>
      </c>
      <c r="M17" s="6">
        <f t="shared" ref="M17:M80" si="17">(((($J17/1000)*(1-$I$8))*$B17*$C17))</f>
        <v>6.0412871030946938E-5</v>
      </c>
      <c r="N17" s="6">
        <f t="shared" si="1"/>
        <v>0.26460837511554758</v>
      </c>
      <c r="O17" s="6">
        <f>IF(E17&lt;I$3,P17*(1-I$6*D17/C17),IF(OPFOKLEGHEN!$H$11="droogtunnel (platen) 55%",P17*(1-$I$6)+(C17-D17)/C17*(K17-P17*(1-I$6)),P17*(1-$I$6)+(C17-D17)/C17*(K17-P17*(1-I$6))))</f>
        <v>0.26460837511554758</v>
      </c>
      <c r="P17" s="129">
        <f t="shared" si="2"/>
        <v>0.26460837511554758</v>
      </c>
      <c r="Q17" s="134">
        <f t="shared" si="3"/>
        <v>0.26460837511554758</v>
      </c>
      <c r="R17" s="134">
        <f t="shared" ref="R17:R80" si="18">K17-(G17/C17)*K17*R$13</f>
        <v>0.26460837511554758</v>
      </c>
      <c r="S17" s="199">
        <f>IF(G17&lt;0.1,K17,IF(C17=F17,S17/(1-I$4),IF(I$3=0,K17-(G17/C17)*K17*S$13,IF(OPFOKLEGHEN!$H$13="Parallel geschakeld met warmtewisselaar",K17-(K17-(K17-Q17)/I$4)*(G17/(C17-F17))*S$13,IF(OPFOKLEGHEN!$H$20="ja",K17-(K17-(K17-P17)/I$4)*(G17/(C17-MIN(D17,I$5)))*S$13,K17-(K17-(K17-P17)/I$4)*(G17/(C17-MIN(D17,I$5)))*S$13)))))</f>
        <v>0.26460837511554758</v>
      </c>
      <c r="T17" s="17">
        <f>$K17*(1-($I$6*(D17)/C17))</f>
        <v>0.26460837511554758</v>
      </c>
      <c r="U17" s="129" t="e">
        <f>(($AP17/1000)*(1-$I$10)*$D17*$B17)+(($AQ17/1000)*(1-$I$10)*$E17*$B17)+(($AO17/1000)*(1-$I$10)*$I17*$B17)</f>
        <v>#DIV/0!</v>
      </c>
      <c r="V17" s="129">
        <f>IF(OPFOKLEGHEN!$J$18="nee",H17/C17*K17,IF(OPFOKLEGHEN!$H$20="ja",O17-(K17-Q17)-(K17-S17),Q17-(K17-O17)-(K17-S17)))</f>
        <v>0.26460837511554758</v>
      </c>
      <c r="W17" s="162">
        <f>IF(H17=0,0,IF(OPFOKLEGHEN!$H$11="geen droogtunnel",IF(OPFOKLEGHEN!$H$15="geen warmtewisselaar",Q17-(K17-R17)))+IF(OPFOKLEGHEN!$H$12&gt;0,IF(OPFOKLEGHEN!$H$13="serie geschakeld met warmtewisselaar",(O17*80%-(K17-S17)),(Q17-(K17-S17)-(K17-T17))),(N17-(K17-S17))))</f>
        <v>0.52921675023109516</v>
      </c>
      <c r="X17" s="162">
        <f>IF(H17=0,0,IF(OPFOKLEGHEN!$H$11="geen droogtunnel",IF(OPFOKLEGHEN!$H$15="geen warmtewisselaar",Q17-(K17-R17)))+IF(OPFOKLEGHEN!$H$12&gt;0,IF(OPFOKLEGHEN!$H$13="serie geschakeld met warmtewisselaar",3*(O17*80%-(K17-S17)),(Q17-(K17-S17)-(K17-N17))),(N17-(K17-S17))))</f>
        <v>0.52921675023109516</v>
      </c>
      <c r="Y17" s="162">
        <f>IF(H17=0,0,IF(OPFOKLEGHEN!$H$11="geen droogtunnel",IF(OPFOKLEGHEN!$H$15="geen warmtewisselaar",Q17-(K17-R17)))+IF(OPFOKLEGHEN!$H$12&gt;0,IF(OPFOKLEGHEN!$H$13="serie geschakeld met warmtewisselaar",(O17-(K17-S17)),IF(OPFOKLEGHEN!$H$13="parallel geschakeld met warmtewisselaar",IF(OPFOKLEGHEN!$L$9="ja",IF(OPFOKLEGHEN!$J$18="nee",(N17-(K17-Q17)-(K17-S17)),(Q17-(K17-N17/80%)))))),(O17-(K17-S17))))</f>
        <v>0.52921675023109516</v>
      </c>
      <c r="Z17" s="130">
        <f t="shared" si="5"/>
        <v>1</v>
      </c>
      <c r="AA17" s="130"/>
      <c r="AB17" s="130"/>
      <c r="AC17" s="167">
        <f>IF(H17=0,0,IF(OPFOKLEGHEN!$H$11="geen droogtunnel",IF(OPFOKLEGHEN!$H$15="geen warmtewisselaar",(P17-(K17-R17)/R$13),K17-(K17-O17)/I$6-(K17-R17)/95%)+IF(OPFOKLEGHEN!$J$18="ja",(K17-O17)*(1-I$6)),IF(OPFOKLEGHEN!$H$12&gt;=0,IF(OPFOKLEGHEN!$L$9="ja",IF(OPFOKLEGHEN!$J$18="ja",IF(OPFOKLEGHEN!$H$20="ja",O17-(K17-S17),IF(OPFOKLEGHEN!$H$20="nee",(O17-(K17-S17)),(O17-(K17-S17)))),IF(OPFOKLEGHEN!$J$18="nee",IF(OPFOKLEGHEN!$H$20="nee",O17*80%-(K17-S17),0+O17-(K17-S17)))),IF(OPFOKLEGHEN!$L$9="nee",IF(OPFOKLEGHEN!$J$18="nee",IF(OPFOKLEGHEN!$H$20="nee",(O17*80%-(K17-S17)),O17*93%-(K17-S17)),IF(OPFOKLEGHEN!$H$20="nee",IF(OPFOKLEGHEN!$J$18="ja",IF(OPFOKLEGHEN!$L$9="nee",O17-(K17-S17))),O17-(K17-S17))))))))</f>
        <v>0.26460837511554758</v>
      </c>
      <c r="AD17" s="167" t="e">
        <f>IF(H17=0,0,IF(OPFOKLEGHEN!$H$11="geen droogtunnel",IF(OPFOKLEGHEN!$H$15="geen warmtewisselaar",(Q17-(K17-R17)/S$13),N17-(K17-R17)),IF(OPFOKLEGHEN!$H$12&gt;=0,IF(OPFOKLEGHEN!$L$9="ja",IF(OPFOKLEGHEN!$J$18="ja",IF(OPFOKLEGHEN!$H$20="ja",Q17-(K17-N17)-(K17-S17),IF(OPFOKLEGHEN!$H$20="nee",(Q17-(K17-N17)-(K17-S17)),(O17-(K17-S17)))),IF(OPFOKLEGHEN!$J$18="nee",IF(OPFOKLEGHEN!$H$20="nee",1*Q17*$N$135-(K17-N17)-(K17-S17),(Q17-(K17-N17)-(K17-S17))*N$135))),IF(OPFOKLEGHEN!$L$9="nee",IF(OPFOKLEGHEN!$J$18="nee",IF(OPFOKLEGHEN!$H$20="nee",(N17*95%-(K17-Q17)/I$4-(K17-S17)),N17-(K17-Q17)/I$4-(K17-S17)),IF(OPFOKLEGHEN!$H$20="nee",IF(OPFOKLEGHEN!$J$18="ja",IF(OPFOKLEGHEN!$L$9="nee",N17-(K17-Q17)/I$4-(K17-S17))),N17-(K17-Q17)/I$4-(K17-S17))))))))</f>
        <v>#DIV/0!</v>
      </c>
      <c r="AE17" s="29">
        <f t="shared" si="6"/>
        <v>0</v>
      </c>
      <c r="AF17" s="6">
        <f t="shared" si="7"/>
        <v>0.21600448172178227</v>
      </c>
      <c r="AG17" s="6">
        <f t="shared" si="8"/>
        <v>0</v>
      </c>
      <c r="AH17" s="4">
        <f t="shared" si="9"/>
        <v>0</v>
      </c>
      <c r="AI17" s="6">
        <f t="shared" ref="AI17:AI71" si="19">IF($I$5&gt;0,AF17*(1-$I$6),AF17)</f>
        <v>0.21600448172178227</v>
      </c>
      <c r="AJ17" s="6">
        <f t="shared" si="10"/>
        <v>0</v>
      </c>
      <c r="AK17" s="4">
        <f t="shared" si="11"/>
        <v>0.13984170733262799</v>
      </c>
      <c r="AL17" s="6">
        <f t="shared" si="12"/>
        <v>6.0412871030946938E-5</v>
      </c>
      <c r="AM17" s="1">
        <v>1</v>
      </c>
      <c r="AN17" s="1">
        <v>2</v>
      </c>
      <c r="AO17" s="5">
        <v>50</v>
      </c>
      <c r="AP17" s="5">
        <v>48.6</v>
      </c>
      <c r="AQ17" s="5">
        <f t="shared" ref="AQ17:AQ80" si="20">(AO17+AP17)/2</f>
        <v>49.3</v>
      </c>
      <c r="AR17" s="100" t="e">
        <f t="shared" si="13"/>
        <v>#DIV/0!</v>
      </c>
    </row>
    <row r="18" spans="1:44" ht="13" x14ac:dyDescent="0.3">
      <c r="A18" s="1">
        <v>1</v>
      </c>
      <c r="B18" s="1">
        <v>3</v>
      </c>
      <c r="C18" s="4">
        <f t="shared" si="14"/>
        <v>0.144624730016362</v>
      </c>
      <c r="D18" s="7">
        <f t="shared" si="0"/>
        <v>0</v>
      </c>
      <c r="E18" s="7">
        <f>IF(I$3=0,0,IF(OPFOKLEGHEN!$H$13="parallel geschakeld met warmtewisselaar",0,MIN(I$3,C18)))</f>
        <v>0</v>
      </c>
      <c r="F18" s="7">
        <f>IF(I$3=0,0,IF(OPFOKLEGHEN!$H$13="serie geschakeld met warmtewisselaar",0,IF(C18&lt;$I$3,C18-D18,MIN($I$3,C18-D18))))</f>
        <v>0</v>
      </c>
      <c r="G18" s="137">
        <f>IF(C18&lt;$I$7,MAX(0,C18-D18-E18-F18,IF(OPFOKLEGHEN!$H$15="warmtewisselaar",IF(OPFOKLEGHEN!$H$13="serie geschakeld met warmtewisselaar",MIN(I$7,MAX(0,C18-D18-F18)),MIN(I$7,MAX(0,C18-D18-E18-F18))))),IF(OPFOKLEGHEN!$H$13="parallel geschakeld met warmtewisselaar",MIN(I$7,C18-D18-E18-F18,MIN(I$7,C18-E18-F18)),MIN(I$7,MAX(0,C18-D18-F18))))</f>
        <v>0</v>
      </c>
      <c r="H18" s="7">
        <f>IF(OPFOKLEGHEN!$H$13="parallel geschakeld met warmtewisselaar",IF(OPFOKLEGHEN!$L$9="nee",IF(OPFOKLEGHEN!$J$18="ja",C18-F18-G18,C18-D18-F18-G18),IF(OPFOKLEGHEN!$L$9="ja",IF(OPFOKLEGHEN!$J$18="ja",C18-G18,IF(OPFOKLEGHEN!$J$18="nee",C18-D18-G18)))),IF(OPFOKLEGHEN!$H$13="serie geschakeld met warmtewisselaar",IF(OPFOKLEGHEN!$J$18="ja",C18-G18,C18-D18-F18-G18),C18-D18-F18-G18))</f>
        <v>0.144624730016362</v>
      </c>
      <c r="I18" s="98">
        <f t="shared" si="15"/>
        <v>0.144624730016362</v>
      </c>
      <c r="J18" s="99">
        <v>0.22001575472636142</v>
      </c>
      <c r="K18" s="6">
        <f t="shared" si="16"/>
        <v>0.27874073954942025</v>
      </c>
      <c r="L18" s="130">
        <f>SUM(K$16:K18)/$K$137</f>
        <v>9.3006918676435599E-4</v>
      </c>
      <c r="M18" s="6">
        <f t="shared" si="17"/>
        <v>9.5459157379938436E-5</v>
      </c>
      <c r="N18" s="6">
        <f t="shared" si="1"/>
        <v>0.27874073954942025</v>
      </c>
      <c r="O18" s="6">
        <f>IF(E18&lt;I$3,P18*(1-I$6*D18/C18),IF(OPFOKLEGHEN!$H$11="droogtunnel (platen) 55%",P18*(1-$I$6)+(C18-D18)/C18*(K18-P18*(1-I$6)),P18*(1-$I$6)+(C18-D18)/C18*(K18-P18*(1-I$6))))</f>
        <v>0.27874073954942025</v>
      </c>
      <c r="P18" s="129">
        <f t="shared" si="2"/>
        <v>0.27874073954942025</v>
      </c>
      <c r="Q18" s="134">
        <f t="shared" si="3"/>
        <v>0.27874073954942025</v>
      </c>
      <c r="R18" s="134">
        <f t="shared" si="18"/>
        <v>0.27874073954942025</v>
      </c>
      <c r="S18" s="199">
        <f>IF(G18&lt;0.1,K18,IF(C18=F18,S18/(1-I$4),IF(I$3=0,K18-(G18/C18)*K18*S$13,IF(OPFOKLEGHEN!$H$13="Parallel geschakeld met warmtewisselaar",K18-(K18-(K18-Q18)/I$4)*(G18/(C18-F18))*S$13,IF(OPFOKLEGHEN!$H$20="ja",K18-(K18-(K18-P18)/I$4)*(G18/(C18-MIN(D18,I$5)))*S$13,K18-(K18-(K18-P18)/I$4)*(G18/(C18-MIN(D18,I$5)))*S$13)))))</f>
        <v>0.27874073954942025</v>
      </c>
      <c r="T18" s="17">
        <f t="shared" ref="T18:T49" si="21">$K18*(1-($I$6*(D18)/C18))-($I$4*F18/C18)</f>
        <v>0.27874073954942025</v>
      </c>
      <c r="U18" s="129" t="e">
        <f>(($AP18/1000)*(1-$I$10)*$D18*$B18)+(($AQ18/1000)*(1-$I$10)*$E18*$B18)+(($AO18/1000)*(1-$I$10)*$I18*$B18)</f>
        <v>#DIV/0!</v>
      </c>
      <c r="V18" s="129">
        <f>IF(OPFOKLEGHEN!$J$18="nee",H18/C18*K18,IF(OPFOKLEGHEN!$H$20="ja",O18-(K18-Q18)-(K18-S18),Q18-(K18-O18)-(K18-S18)))</f>
        <v>0.27874073954942025</v>
      </c>
      <c r="W18" s="162">
        <f>IF(H18=0,0,IF(OPFOKLEGHEN!$H$11="geen droogtunnel",IF(OPFOKLEGHEN!$H$15="geen warmtewisselaar",Q18-(K18-R18)))+IF(OPFOKLEGHEN!$H$12&gt;0,IF(OPFOKLEGHEN!$H$13="serie geschakeld met warmtewisselaar",(O18*80%-(K18-S18)),(Q18-(K18-S18)-(K18-T18))),(N18-(K18-S18))))</f>
        <v>0.55748147909884049</v>
      </c>
      <c r="X18" s="162">
        <f>IF(H18=0,0,IF(OPFOKLEGHEN!$H$11="geen droogtunnel",IF(OPFOKLEGHEN!$H$15="geen warmtewisselaar",Q18-(K18-R18)))+IF(OPFOKLEGHEN!$H$12&gt;0,IF(OPFOKLEGHEN!$H$13="serie geschakeld met warmtewisselaar",3*(O18*80%-(K18-S18)),(Q18-(K18-S18)-(K18-N18))),(N18-(K18-S18))))</f>
        <v>0.55748147909884049</v>
      </c>
      <c r="Y18" s="162">
        <f>IF(H18=0,0,IF(OPFOKLEGHEN!$H$11="geen droogtunnel",IF(OPFOKLEGHEN!$H$15="geen warmtewisselaar",Q18-(K18-R18)))+IF(OPFOKLEGHEN!$H$12&gt;0,IF(OPFOKLEGHEN!$H$13="serie geschakeld met warmtewisselaar",(O18-(K18-S18)),IF(OPFOKLEGHEN!$H$13="parallel geschakeld met warmtewisselaar",IF(OPFOKLEGHEN!$L$9="ja",IF(OPFOKLEGHEN!$J$18="nee",(N18-(K18-Q18)-(K18-S18)),(Q18-(K18-N18/80%)))))),(O18-(K18-S18))))</f>
        <v>0.55748147909884049</v>
      </c>
      <c r="Z18" s="130">
        <f t="shared" si="5"/>
        <v>1</v>
      </c>
      <c r="AA18" s="130"/>
      <c r="AB18" s="130"/>
      <c r="AC18" s="167">
        <f>IF(H18=0,0,IF(OPFOKLEGHEN!$H$11="geen droogtunnel",IF(OPFOKLEGHEN!$H$15="geen warmtewisselaar",(P18-(K18-R18)/R$13),K18-(K18-O18)/I$6-(K18-R18)/95%)+IF(OPFOKLEGHEN!$J$18="ja",(K18-O18)*(1-I$6)),IF(OPFOKLEGHEN!$H$12&gt;=0,IF(OPFOKLEGHEN!$L$9="ja",IF(OPFOKLEGHEN!$J$18="ja",IF(OPFOKLEGHEN!$H$20="ja",O18-(K18-S18),IF(OPFOKLEGHEN!$H$20="nee",(O18-(K18-S18)),(O18-(K18-S18)))),IF(OPFOKLEGHEN!$J$18="nee",IF(OPFOKLEGHEN!$H$20="nee",O18*80%-(K18-S18),0+O18-(K18-S18)))),IF(OPFOKLEGHEN!$L$9="nee",IF(OPFOKLEGHEN!$J$18="nee",IF(OPFOKLEGHEN!$H$20="nee",(O18*80%-(K18-S18)),O18*93%-(K18-S18)),IF(OPFOKLEGHEN!$H$20="nee",IF(OPFOKLEGHEN!$J$18="ja",IF(OPFOKLEGHEN!$L$9="nee",O18-(K18-S18))),O18-(K18-S18))))))))</f>
        <v>0.27874073954942025</v>
      </c>
      <c r="AD18" s="167" t="e">
        <f>IF(H18=0,0,IF(OPFOKLEGHEN!$H$11="geen droogtunnel",IF(OPFOKLEGHEN!$H$15="geen warmtewisselaar",(Q18-(K18-R18)/S$13),N18-(K18-R18)),IF(OPFOKLEGHEN!$H$12&gt;=0,IF(OPFOKLEGHEN!$L$9="ja",IF(OPFOKLEGHEN!$J$18="ja",IF(OPFOKLEGHEN!$H$20="ja",Q18-(K18-N18)-(K18-S18),IF(OPFOKLEGHEN!$H$20="nee",(Q18-(K18-N18)-(K18-S18)),(O18-(K18-S18)))),IF(OPFOKLEGHEN!$J$18="nee",IF(OPFOKLEGHEN!$H$20="nee",1*Q18*$N$135-(K18-N18)-(K18-S18),(Q18-(K18-N18)-(K18-S18))*N$135))),IF(OPFOKLEGHEN!$L$9="nee",IF(OPFOKLEGHEN!$J$18="nee",IF(OPFOKLEGHEN!$H$20="nee",(N18*95%-(K18-Q18)/I$4-(K18-S18)),N18-(K18-Q18)/I$4-(K18-S18)),IF(OPFOKLEGHEN!$H$20="nee",IF(OPFOKLEGHEN!$J$18="ja",IF(OPFOKLEGHEN!$L$9="nee",N18-(K18-Q18)/I$4-(K18-S18))),N18-(K18-Q18)/I$4-(K18-S18))))))))</f>
        <v>#DIV/0!</v>
      </c>
      <c r="AE18" s="29">
        <f t="shared" si="6"/>
        <v>0</v>
      </c>
      <c r="AF18" s="6">
        <f t="shared" si="7"/>
        <v>0.22001575472636142</v>
      </c>
      <c r="AG18" s="6">
        <f t="shared" si="8"/>
        <v>0</v>
      </c>
      <c r="AH18" s="4">
        <f t="shared" si="9"/>
        <v>0</v>
      </c>
      <c r="AI18" s="6">
        <f t="shared" si="19"/>
        <v>0.22001575472636142</v>
      </c>
      <c r="AJ18" s="6">
        <f t="shared" si="10"/>
        <v>0</v>
      </c>
      <c r="AK18" s="4">
        <f t="shared" si="11"/>
        <v>0.144624730016362</v>
      </c>
      <c r="AL18" s="6">
        <f t="shared" si="12"/>
        <v>9.5459157379938436E-5</v>
      </c>
      <c r="AM18" s="1">
        <v>1</v>
      </c>
      <c r="AN18" s="1">
        <v>3</v>
      </c>
      <c r="AO18" s="5">
        <v>55</v>
      </c>
      <c r="AP18" s="5">
        <v>52.9</v>
      </c>
      <c r="AQ18" s="5">
        <f t="shared" si="20"/>
        <v>53.95</v>
      </c>
      <c r="AR18" s="100" t="e">
        <f t="shared" si="13"/>
        <v>#DIV/0!</v>
      </c>
    </row>
    <row r="19" spans="1:44" ht="13" x14ac:dyDescent="0.3">
      <c r="A19" s="1">
        <v>1</v>
      </c>
      <c r="B19" s="1">
        <v>4</v>
      </c>
      <c r="C19" s="4">
        <f t="shared" si="14"/>
        <v>0.149395647836464</v>
      </c>
      <c r="D19" s="7">
        <f t="shared" si="0"/>
        <v>0</v>
      </c>
      <c r="E19" s="7">
        <f>IF(I$3=0,0,IF(OPFOKLEGHEN!$H$13="parallel geschakeld met warmtewisselaar",0,MIN(I$3,C19)))</f>
        <v>0</v>
      </c>
      <c r="F19" s="7">
        <f>IF(I$3=0,0,IF(OPFOKLEGHEN!$H$13="serie geschakeld met warmtewisselaar",0,IF(C19&lt;$I$3,C19-D19,MIN($I$3,C19-D19))))</f>
        <v>0</v>
      </c>
      <c r="G19" s="137">
        <f>IF(C19&lt;$I$7,MAX(0,C19-D19-E19-F19,IF(OPFOKLEGHEN!$H$15="warmtewisselaar",IF(OPFOKLEGHEN!$H$13="serie geschakeld met warmtewisselaar",MIN(I$7,MAX(0,C19-D19-F19)),MIN(I$7,MAX(0,C19-D19-E19-F19))))),IF(OPFOKLEGHEN!$H$13="parallel geschakeld met warmtewisselaar",MIN(I$7,C19-D19-E19-F19,MIN(I$7,C19-E19-F19)),MIN(I$7,MAX(0,C19-D19-F19))))</f>
        <v>0</v>
      </c>
      <c r="H19" s="7">
        <f>IF(OPFOKLEGHEN!$H$13="parallel geschakeld met warmtewisselaar",IF(OPFOKLEGHEN!$L$9="nee",IF(OPFOKLEGHEN!$J$18="ja",C19-F19-G19,C19-D19-F19-G19),IF(OPFOKLEGHEN!$L$9="ja",IF(OPFOKLEGHEN!$J$18="ja",C19-G19,IF(OPFOKLEGHEN!$J$18="nee",C19-D19-G19)))),IF(OPFOKLEGHEN!$H$13="serie geschakeld met warmtewisselaar",IF(OPFOKLEGHEN!$J$18="ja",C19-G19,C19-D19-F19-G19),C19-D19-F19-G19))</f>
        <v>0.149395647836464</v>
      </c>
      <c r="I19" s="98">
        <f t="shared" si="15"/>
        <v>0.149395647836464</v>
      </c>
      <c r="J19" s="99">
        <v>0.22410151836645426</v>
      </c>
      <c r="K19" s="6">
        <f t="shared" si="16"/>
        <v>0.29328297369322703</v>
      </c>
      <c r="L19" s="130">
        <f>SUM(K$16:K19)/$K$137</f>
        <v>1.2735153150075201E-3</v>
      </c>
      <c r="M19" s="6">
        <f t="shared" si="17"/>
        <v>1.3391916606996667E-4</v>
      </c>
      <c r="N19" s="6">
        <f t="shared" si="1"/>
        <v>0.29328297369322703</v>
      </c>
      <c r="O19" s="6">
        <f>IF(E19&lt;I$3,P19*(1-I$6*D19/C19),IF(OPFOKLEGHEN!$H$11="droogtunnel (platen) 55%",P19*(1-$I$6)+(C19-D19)/C19*(K19-P19*(1-I$6)),P19*(1-$I$6)+(C19-D19)/C19*(K19-P19*(1-I$6))))</f>
        <v>0.29328297369322703</v>
      </c>
      <c r="P19" s="129">
        <f t="shared" si="2"/>
        <v>0.29328297369322703</v>
      </c>
      <c r="Q19" s="134">
        <f t="shared" si="3"/>
        <v>0.29328297369322703</v>
      </c>
      <c r="R19" s="134">
        <f t="shared" si="18"/>
        <v>0.29328297369322703</v>
      </c>
      <c r="S19" s="199">
        <f>IF(G19&lt;0.1,K19,IF(C19=F19,S19/(1-I$4),IF(I$3=0,K19-(G19/C19)*K19*S$13,IF(OPFOKLEGHEN!$H$13="Parallel geschakeld met warmtewisselaar",K19-(K19-(K19-Q19)/I$4)*(G19/(C19-F19))*S$13,IF(OPFOKLEGHEN!$H$20="ja",K19-(K19-(K19-P19)/I$4)*(G19/(C19-MIN(D19,I$5)))*S$13,K19-(K19-(K19-P19)/I$4)*(G19/(C19-MIN(D19,I$5)))*S$13)))))</f>
        <v>0.29328297369322703</v>
      </c>
      <c r="T19" s="17">
        <f t="shared" si="21"/>
        <v>0.29328297369322703</v>
      </c>
      <c r="U19" s="129" t="e">
        <f>(($AP19/1000)*(1-$I$10)*$D19*$B19)+(($AQ19/1000)*(1-$I$10)*$E19*$B19)+(($AO19/1000)*(1-$I$10)*$I19*$B19)</f>
        <v>#DIV/0!</v>
      </c>
      <c r="V19" s="129">
        <f>IF(OPFOKLEGHEN!$J$18="nee",H19/C19*K19,IF(OPFOKLEGHEN!$H$20="ja",O19-(K19-Q19)-(K19-S19),Q19-(K19-O19)-(K19-S19)))</f>
        <v>0.29328297369322703</v>
      </c>
      <c r="W19" s="162">
        <f>IF(H19=0,0,IF(OPFOKLEGHEN!$H$11="geen droogtunnel",IF(OPFOKLEGHEN!$H$15="geen warmtewisselaar",Q19-(K19-R19)))+IF(OPFOKLEGHEN!$H$12&gt;0,IF(OPFOKLEGHEN!$H$13="serie geschakeld met warmtewisselaar",(O19*80%-(K19-S19)),(Q19-(K19-S19)-(K19-T19))),(N19-(K19-S19))))</f>
        <v>0.58656594738645407</v>
      </c>
      <c r="X19" s="162">
        <f>IF(H19=0,0,IF(OPFOKLEGHEN!$H$11="geen droogtunnel",IF(OPFOKLEGHEN!$H$15="geen warmtewisselaar",Q19-(K19-R19)))+IF(OPFOKLEGHEN!$H$12&gt;0,IF(OPFOKLEGHEN!$H$13="serie geschakeld met warmtewisselaar",3*(O19*80%-(K19-S19)),(Q19-(K19-S19)-(K19-N19))),(N19-(K19-S19))))</f>
        <v>0.58656594738645407</v>
      </c>
      <c r="Y19" s="162">
        <f>IF(H19=0,0,IF(OPFOKLEGHEN!$H$11="geen droogtunnel",IF(OPFOKLEGHEN!$H$15="geen warmtewisselaar",Q19-(K19-R19)))+IF(OPFOKLEGHEN!$H$12&gt;0,IF(OPFOKLEGHEN!$H$13="serie geschakeld met warmtewisselaar",(O19-(K19-S19)),IF(OPFOKLEGHEN!$H$13="parallel geschakeld met warmtewisselaar",IF(OPFOKLEGHEN!$L$9="ja",IF(OPFOKLEGHEN!$J$18="nee",(N19-(K19-Q19)-(K19-S19)),(Q19-(K19-N19/80%)))))),(O19-(K19-S19))))</f>
        <v>0.58656594738645407</v>
      </c>
      <c r="Z19" s="130">
        <f t="shared" si="5"/>
        <v>1</v>
      </c>
      <c r="AA19" s="130"/>
      <c r="AB19" s="130"/>
      <c r="AC19" s="167">
        <f>IF(H19=0,0,IF(OPFOKLEGHEN!$H$11="geen droogtunnel",IF(OPFOKLEGHEN!$H$15="geen warmtewisselaar",(P19-(K19-R19)/R$13),K19-(K19-O19)/I$6-(K19-R19)/95%)+IF(OPFOKLEGHEN!$J$18="ja",(K19-O19)*(1-I$6)),IF(OPFOKLEGHEN!$H$12&gt;=0,IF(OPFOKLEGHEN!$L$9="ja",IF(OPFOKLEGHEN!$J$18="ja",IF(OPFOKLEGHEN!$H$20="ja",O19-(K19-S19),IF(OPFOKLEGHEN!$H$20="nee",(O19-(K19-S19)),(O19-(K19-S19)))),IF(OPFOKLEGHEN!$J$18="nee",IF(OPFOKLEGHEN!$H$20="nee",O19*80%-(K19-S19),0+O19-(K19-S19)))),IF(OPFOKLEGHEN!$L$9="nee",IF(OPFOKLEGHEN!$J$18="nee",IF(OPFOKLEGHEN!$H$20="nee",(O19*80%-(K19-S19)),O19*93%-(K19-S19)),IF(OPFOKLEGHEN!$H$20="nee",IF(OPFOKLEGHEN!$J$18="ja",IF(OPFOKLEGHEN!$L$9="nee",O19-(K19-S19))),O19-(K19-S19))))))))</f>
        <v>0.29328297369322703</v>
      </c>
      <c r="AD19" s="167" t="e">
        <f>IF(H19=0,0,IF(OPFOKLEGHEN!$H$11="geen droogtunnel",IF(OPFOKLEGHEN!$H$15="geen warmtewisselaar",(Q19-(K19-R19)/S$13),N19-(K19-R19)),IF(OPFOKLEGHEN!$H$12&gt;=0,IF(OPFOKLEGHEN!$L$9="ja",IF(OPFOKLEGHEN!$J$18="ja",IF(OPFOKLEGHEN!$H$20="ja",Q19-(K19-N19)-(K19-S19),IF(OPFOKLEGHEN!$H$20="nee",(Q19-(K19-N19)-(K19-S19)),(O19-(K19-S19)))),IF(OPFOKLEGHEN!$J$18="nee",IF(OPFOKLEGHEN!$H$20="nee",1*Q19*$N$135-(K19-N19)-(K19-S19),(Q19-(K19-N19)-(K19-S19))*N$135))),IF(OPFOKLEGHEN!$L$9="nee",IF(OPFOKLEGHEN!$J$18="nee",IF(OPFOKLEGHEN!$H$20="nee",(N19*95%-(K19-Q19)/I$4-(K19-S19)),N19-(K19-Q19)/I$4-(K19-S19)),IF(OPFOKLEGHEN!$H$20="nee",IF(OPFOKLEGHEN!$J$18="ja",IF(OPFOKLEGHEN!$L$9="nee",N19-(K19-Q19)/I$4-(K19-S19))),N19-(K19-Q19)/I$4-(K19-S19))))))))</f>
        <v>#DIV/0!</v>
      </c>
      <c r="AE19" s="29">
        <f t="shared" si="6"/>
        <v>0</v>
      </c>
      <c r="AF19" s="6">
        <f t="shared" si="7"/>
        <v>0.22410151836645426</v>
      </c>
      <c r="AG19" s="6">
        <f t="shared" si="8"/>
        <v>0</v>
      </c>
      <c r="AH19" s="4">
        <f t="shared" si="9"/>
        <v>0</v>
      </c>
      <c r="AI19" s="6">
        <f t="shared" si="19"/>
        <v>0.22410151836645426</v>
      </c>
      <c r="AJ19" s="6">
        <f t="shared" si="10"/>
        <v>0</v>
      </c>
      <c r="AK19" s="4">
        <f t="shared" si="11"/>
        <v>0.149395647836464</v>
      </c>
      <c r="AL19" s="6">
        <f t="shared" si="12"/>
        <v>1.3391916606996667E-4</v>
      </c>
      <c r="AM19" s="1">
        <v>1</v>
      </c>
      <c r="AN19" s="1">
        <v>4</v>
      </c>
      <c r="AO19" s="5">
        <v>60</v>
      </c>
      <c r="AP19" s="5">
        <v>57.2</v>
      </c>
      <c r="AQ19" s="5">
        <f t="shared" si="20"/>
        <v>58.6</v>
      </c>
      <c r="AR19" s="100" t="e">
        <f t="shared" si="13"/>
        <v>#DIV/0!</v>
      </c>
    </row>
    <row r="20" spans="1:44" ht="13" x14ac:dyDescent="0.3">
      <c r="A20" s="1">
        <v>1</v>
      </c>
      <c r="B20" s="1">
        <v>5</v>
      </c>
      <c r="C20" s="4">
        <f t="shared" si="14"/>
        <v>0.15415469244774999</v>
      </c>
      <c r="D20" s="7">
        <f t="shared" si="0"/>
        <v>0</v>
      </c>
      <c r="E20" s="7">
        <f>IF(I$3=0,0,IF(OPFOKLEGHEN!$H$13="parallel geschakeld met warmtewisselaar",0,MIN(I$3,C20)))</f>
        <v>0</v>
      </c>
      <c r="F20" s="7">
        <f>IF(I$3=0,0,IF(OPFOKLEGHEN!$H$13="serie geschakeld met warmtewisselaar",0,IF(C20&lt;$I$3,C20-D20,MIN($I$3,C20-D20))))</f>
        <v>0</v>
      </c>
      <c r="G20" s="137">
        <f>IF(C20&lt;$I$7,MAX(0,C20-D20-E20-F20,IF(OPFOKLEGHEN!$H$15="warmtewisselaar",IF(OPFOKLEGHEN!$H$13="serie geschakeld met warmtewisselaar",MIN(I$7,MAX(0,C20-D20-F20)),MIN(I$7,MAX(0,C20-D20-E20-F20))))),IF(OPFOKLEGHEN!$H$13="parallel geschakeld met warmtewisselaar",MIN(I$7,C20-D20-E20-F20,MIN(I$7,C20-E20-F20)),MIN(I$7,MAX(0,C20-D20-F20))))</f>
        <v>0</v>
      </c>
      <c r="H20" s="7">
        <f>IF(OPFOKLEGHEN!$H$13="parallel geschakeld met warmtewisselaar",IF(OPFOKLEGHEN!$L$9="nee",IF(OPFOKLEGHEN!$J$18="ja",C20-F20-G20,C20-D20-F20-G20),IF(OPFOKLEGHEN!$L$9="ja",IF(OPFOKLEGHEN!$J$18="ja",C20-G20,IF(OPFOKLEGHEN!$J$18="nee",C20-D20-G20)))),IF(OPFOKLEGHEN!$H$13="serie geschakeld met warmtewisselaar",IF(OPFOKLEGHEN!$J$18="ja",C20-G20,C20-D20-F20-G20),C20-D20-F20-G20))</f>
        <v>0.15415469244774999</v>
      </c>
      <c r="I20" s="98">
        <f t="shared" si="15"/>
        <v>0.15415469244774999</v>
      </c>
      <c r="J20" s="99">
        <v>0.22826315595722607</v>
      </c>
      <c r="K20" s="6">
        <f t="shared" si="16"/>
        <v>0.30824544864875342</v>
      </c>
      <c r="L20" s="130">
        <f>SUM(K$16:K20)/$K$137</f>
        <v>1.6344831016944024E-3</v>
      </c>
      <c r="M20" s="6">
        <f t="shared" si="17"/>
        <v>1.7593918301869488E-4</v>
      </c>
      <c r="N20" s="6">
        <f t="shared" si="1"/>
        <v>0.30824544864875342</v>
      </c>
      <c r="O20" s="6">
        <f>IF(E20&lt;I$3,P20*(1-I$6*D20/C20),IF(OPFOKLEGHEN!$H$11="droogtunnel (platen) 55%",P20*(1-$I$6)+(C20-D20)/C20*(K20-P20*(1-I$6)),P20*(1-$I$6)+(C20-D20)/C20*(K20-P20*(1-I$6))))</f>
        <v>0.30824544864875342</v>
      </c>
      <c r="P20" s="129">
        <f t="shared" si="2"/>
        <v>0.30824544864875342</v>
      </c>
      <c r="Q20" s="134">
        <f t="shared" si="3"/>
        <v>0.30824544864875342</v>
      </c>
      <c r="R20" s="134">
        <f t="shared" si="18"/>
        <v>0.30824544864875342</v>
      </c>
      <c r="S20" s="199">
        <f>IF(G20&lt;0.1,K20,IF(C20=F20,S20/(1-I$4),IF(I$3=0,K20-(G20/C20)*K20*S$13,IF(OPFOKLEGHEN!$H$13="Parallel geschakeld met warmtewisselaar",K20-(K20-(K20-Q20)/I$4)*(G20/(C20-F20))*S$13,IF(OPFOKLEGHEN!$H$20="ja",K20-(K20-(K20-P20)/I$4)*(G20/(C20-MIN(D20,I$5)))*S$13,K20-(K20-(K20-P20)/I$4)*(G20/(C20-MIN(D20,I$5)))*S$13)))))</f>
        <v>0.30824544864875342</v>
      </c>
      <c r="T20" s="17">
        <f t="shared" si="21"/>
        <v>0.30824544864875342</v>
      </c>
      <c r="U20" s="129" t="e">
        <f t="shared" ref="U20:U71" si="22">AR20</f>
        <v>#DIV/0!</v>
      </c>
      <c r="V20" s="129">
        <f>IF(OPFOKLEGHEN!$J$18="nee",H20/C20*K20,IF(OPFOKLEGHEN!$H$20="ja",O20-(K20-Q20)-(K20-S20),Q20-(K20-O20)-(K20-S20)))</f>
        <v>0.30824544864875342</v>
      </c>
      <c r="W20" s="162">
        <f>IF(H20=0,0,IF(OPFOKLEGHEN!$H$11="geen droogtunnel",IF(OPFOKLEGHEN!$H$15="geen warmtewisselaar",Q20-(K20-R20)))+IF(OPFOKLEGHEN!$H$12&gt;0,IF(OPFOKLEGHEN!$H$13="serie geschakeld met warmtewisselaar",(O20*80%-(K20-S20)),(Q20-(K20-S20)-(K20-T20))),(N20-(K20-S20))))</f>
        <v>0.61649089729750683</v>
      </c>
      <c r="X20" s="162">
        <f>IF(H20=0,0,IF(OPFOKLEGHEN!$H$11="geen droogtunnel",IF(OPFOKLEGHEN!$H$15="geen warmtewisselaar",Q20-(K20-R20)))+IF(OPFOKLEGHEN!$H$12&gt;0,IF(OPFOKLEGHEN!$H$13="serie geschakeld met warmtewisselaar",3*(O20*80%-(K20-S20)),(Q20-(K20-S20)-(K20-N20))),(N20-(K20-S20))))</f>
        <v>0.61649089729750683</v>
      </c>
      <c r="Y20" s="162">
        <f>IF(H20=0,0,IF(OPFOKLEGHEN!$H$11="geen droogtunnel",IF(OPFOKLEGHEN!$H$15="geen warmtewisselaar",Q20-(K20-R20)))+IF(OPFOKLEGHEN!$H$12&gt;0,IF(OPFOKLEGHEN!$H$13="serie geschakeld met warmtewisselaar",(O20-(K20-S20)),IF(OPFOKLEGHEN!$H$13="parallel geschakeld met warmtewisselaar",IF(OPFOKLEGHEN!$L$9="ja",IF(OPFOKLEGHEN!$J$18="nee",(N20-(K20-Q20)-(K20-S20)),(Q20-(K20-N20/80%)))))),(O20-(K20-S20))))</f>
        <v>0.61649089729750683</v>
      </c>
      <c r="Z20" s="130">
        <f t="shared" si="5"/>
        <v>1</v>
      </c>
      <c r="AA20" s="130"/>
      <c r="AB20" s="130"/>
      <c r="AC20" s="167">
        <f>IF(H20=0,0,IF(OPFOKLEGHEN!$H$11="geen droogtunnel",IF(OPFOKLEGHEN!$H$15="geen warmtewisselaar",(P20-(K20-R20)/R$13),K20-(K20-O20)/I$6-(K20-R20)/95%)+IF(OPFOKLEGHEN!$J$18="ja",(K20-O20)*(1-I$6)),IF(OPFOKLEGHEN!$H$12&gt;=0,IF(OPFOKLEGHEN!$L$9="ja",IF(OPFOKLEGHEN!$J$18="ja",IF(OPFOKLEGHEN!$H$20="ja",O20-(K20-S20),IF(OPFOKLEGHEN!$H$20="nee",(O20-(K20-S20)),(O20-(K20-S20)))),IF(OPFOKLEGHEN!$J$18="nee",IF(OPFOKLEGHEN!$H$20="nee",O20*80%-(K20-S20),0+O20-(K20-S20)))),IF(OPFOKLEGHEN!$L$9="nee",IF(OPFOKLEGHEN!$J$18="nee",IF(OPFOKLEGHEN!$H$20="nee",(O20*80%-(K20-S20)),O20*93%-(K20-S20)),IF(OPFOKLEGHEN!$H$20="nee",IF(OPFOKLEGHEN!$J$18="ja",IF(OPFOKLEGHEN!$L$9="nee",O20-(K20-S20))),O20-(K20-S20))))))))</f>
        <v>0.30824544864875342</v>
      </c>
      <c r="AD20" s="167" t="e">
        <f>IF(H20=0,0,IF(OPFOKLEGHEN!$H$11="geen droogtunnel",IF(OPFOKLEGHEN!$H$15="geen warmtewisselaar",(Q20-(K20-R20)/S$13),N20-(K20-R20)),IF(OPFOKLEGHEN!$H$12&gt;=0,IF(OPFOKLEGHEN!$L$9="ja",IF(OPFOKLEGHEN!$J$18="ja",IF(OPFOKLEGHEN!$H$20="ja",Q20-(K20-N20)-(K20-S20),IF(OPFOKLEGHEN!$H$20="nee",(Q20-(K20-N20)-(K20-S20)),(O20-(K20-S20)))),IF(OPFOKLEGHEN!$J$18="nee",IF(OPFOKLEGHEN!$H$20="nee",1*Q20*$N$135-(K20-N20)-(K20-S20),(Q20-(K20-N20)-(K20-S20))*N$135))),IF(OPFOKLEGHEN!$L$9="nee",IF(OPFOKLEGHEN!$J$18="nee",IF(OPFOKLEGHEN!$H$20="nee",(N20*95%-(K20-Q20)/I$4-(K20-S20)),N20-(K20-Q20)/I$4-(K20-S20)),IF(OPFOKLEGHEN!$H$20="nee",IF(OPFOKLEGHEN!$J$18="ja",IF(OPFOKLEGHEN!$L$9="nee",N20-(K20-Q20)/I$4-(K20-S20))),N20-(K20-Q20)/I$4-(K20-S20))))))))</f>
        <v>#DIV/0!</v>
      </c>
      <c r="AE20" s="29">
        <f t="shared" si="6"/>
        <v>0</v>
      </c>
      <c r="AF20" s="6">
        <f t="shared" si="7"/>
        <v>0.22826315595722607</v>
      </c>
      <c r="AG20" s="6">
        <f t="shared" si="8"/>
        <v>0</v>
      </c>
      <c r="AH20" s="4">
        <f t="shared" si="9"/>
        <v>0</v>
      </c>
      <c r="AI20" s="6">
        <f t="shared" si="19"/>
        <v>0.22826315595722607</v>
      </c>
      <c r="AJ20" s="6">
        <f t="shared" si="10"/>
        <v>0</v>
      </c>
      <c r="AK20" s="4">
        <f t="shared" si="11"/>
        <v>0.15415469244774999</v>
      </c>
      <c r="AL20" s="6">
        <f t="shared" si="12"/>
        <v>1.7593918301869488E-4</v>
      </c>
      <c r="AM20" s="1">
        <v>1</v>
      </c>
      <c r="AN20" s="1">
        <v>5</v>
      </c>
      <c r="AO20" s="5">
        <v>65</v>
      </c>
      <c r="AP20" s="5">
        <v>61.5</v>
      </c>
      <c r="AQ20" s="5">
        <f t="shared" si="20"/>
        <v>63.25</v>
      </c>
      <c r="AR20" s="100" t="e">
        <f t="shared" si="13"/>
        <v>#DIV/0!</v>
      </c>
    </row>
    <row r="21" spans="1:44" ht="13" x14ac:dyDescent="0.3">
      <c r="A21" s="1">
        <v>1</v>
      </c>
      <c r="B21" s="1">
        <v>6</v>
      </c>
      <c r="C21" s="4">
        <f t="shared" si="14"/>
        <v>0.15890209550503601</v>
      </c>
      <c r="D21" s="7">
        <f t="shared" si="0"/>
        <v>0</v>
      </c>
      <c r="E21" s="7">
        <f>IF(I$3=0,0,IF(OPFOKLEGHEN!$H$13="parallel geschakeld met warmtewisselaar",0,MIN(I$3,C21)))</f>
        <v>0</v>
      </c>
      <c r="F21" s="7">
        <f>IF(I$3=0,0,IF(OPFOKLEGHEN!$H$13="serie geschakeld met warmtewisselaar",0,IF(C21&lt;$I$3,C21-D21,MIN($I$3,C21-D21))))</f>
        <v>0</v>
      </c>
      <c r="G21" s="137">
        <f>IF(C21&lt;$I$7,MAX(0,C21-D21-E21-F21,IF(OPFOKLEGHEN!$H$15="warmtewisselaar",IF(OPFOKLEGHEN!$H$13="serie geschakeld met warmtewisselaar",MIN(I$7,MAX(0,C21-D21-F21)),MIN(I$7,MAX(0,C21-D21-E21-F21))))),IF(OPFOKLEGHEN!$H$13="parallel geschakeld met warmtewisselaar",MIN(I$7,C21-D21-E21-F21,MIN(I$7,C21-E21-F21)),MIN(I$7,MAX(0,C21-D21-F21))))</f>
        <v>0</v>
      </c>
      <c r="H21" s="7">
        <f>IF(OPFOKLEGHEN!$H$13="parallel geschakeld met warmtewisselaar",IF(OPFOKLEGHEN!$L$9="nee",IF(OPFOKLEGHEN!$J$18="ja",C21-F21-G21,C21-D21-F21-G21),IF(OPFOKLEGHEN!$L$9="ja",IF(OPFOKLEGHEN!$J$18="ja",C21-G21,IF(OPFOKLEGHEN!$J$18="nee",C21-D21-G21)))),IF(OPFOKLEGHEN!$H$13="serie geschakeld met warmtewisselaar",IF(OPFOKLEGHEN!$J$18="ja",C21-G21,C21-D21-F21-G21),C21-D21-F21-G21))</f>
        <v>0.15890209550503601</v>
      </c>
      <c r="I21" s="98">
        <f t="shared" si="15"/>
        <v>0.15890209550503601</v>
      </c>
      <c r="J21" s="99">
        <v>0.23250207650245164</v>
      </c>
      <c r="K21" s="6">
        <f t="shared" si="16"/>
        <v>0.32363878836988297</v>
      </c>
      <c r="L21" s="130">
        <f>SUM(K$16:K21)/$K$137</f>
        <v>2.0134771067511371E-3</v>
      </c>
      <c r="M21" s="6">
        <f t="shared" si="17"/>
        <v>2.2167040299307057E-4</v>
      </c>
      <c r="N21" s="6">
        <f t="shared" si="1"/>
        <v>0.32363878836988297</v>
      </c>
      <c r="O21" s="6">
        <f>IF(E21&lt;I$3,P21*(1-I$6*D21/C21),IF(OPFOKLEGHEN!$H$11="droogtunnel (platen) 55%",P21*(1-$I$6)+(C21-D21)/C21*(K21-P21*(1-I$6)),P21*(1-$I$6)+(C21-D21)/C21*(K21-P21*(1-I$6))))</f>
        <v>0.32363878836988297</v>
      </c>
      <c r="P21" s="129">
        <f t="shared" si="2"/>
        <v>0.32363878836988297</v>
      </c>
      <c r="Q21" s="134">
        <f t="shared" si="3"/>
        <v>0.32363878836988297</v>
      </c>
      <c r="R21" s="134">
        <f t="shared" si="18"/>
        <v>0.32363878836988297</v>
      </c>
      <c r="S21" s="199">
        <f>IF(G21&lt;0.1,K21,IF(C21=F21,S21/(1-I$4),IF(I$3=0,K21-(G21/C21)*K21*S$13,IF(OPFOKLEGHEN!$H$13="Parallel geschakeld met warmtewisselaar",K21-(K21-(K21-Q21)/I$4)*(G21/(C21-F21))*S$13,IF(OPFOKLEGHEN!$H$20="ja",K21-(K21-(K21-P21)/I$4)*(G21/(C21-MIN(D21,I$5)))*S$13,K21-(K21-(K21-P21)/I$4)*(G21/(C21-MIN(D21,I$5)))*S$13)))))</f>
        <v>0.32363878836988297</v>
      </c>
      <c r="T21" s="17">
        <f t="shared" si="21"/>
        <v>0.32363878836988297</v>
      </c>
      <c r="U21" s="6" t="e">
        <f t="shared" si="22"/>
        <v>#DIV/0!</v>
      </c>
      <c r="V21" s="129">
        <f>IF(OPFOKLEGHEN!$J$18="nee",H21/C21*K21,IF(OPFOKLEGHEN!$H$20="ja",O21-(K21-Q21)-(K21-S21),Q21-(K21-O21)-(K21-S21)))</f>
        <v>0.32363878836988297</v>
      </c>
      <c r="W21" s="162">
        <f>IF(H21=0,0,IF(OPFOKLEGHEN!$H$11="geen droogtunnel",IF(OPFOKLEGHEN!$H$15="geen warmtewisselaar",Q21-(K21-R21)))+IF(OPFOKLEGHEN!$H$12&gt;0,IF(OPFOKLEGHEN!$H$13="serie geschakeld met warmtewisselaar",(O21*80%-(K21-S21)),(Q21-(K21-S21)-(K21-T21))),(N21-(K21-S21))))</f>
        <v>0.64727757673976594</v>
      </c>
      <c r="X21" s="162">
        <f>IF(H21=0,0,IF(OPFOKLEGHEN!$H$11="geen droogtunnel",IF(OPFOKLEGHEN!$H$15="geen warmtewisselaar",Q21-(K21-R21)))+IF(OPFOKLEGHEN!$H$12&gt;0,IF(OPFOKLEGHEN!$H$13="serie geschakeld met warmtewisselaar",3*(O21*80%-(K21-S21)),(Q21-(K21-S21)-(K21-N21))),(N21-(K21-S21))))</f>
        <v>0.64727757673976594</v>
      </c>
      <c r="Y21" s="162">
        <f>IF(H21=0,0,IF(OPFOKLEGHEN!$H$11="geen droogtunnel",IF(OPFOKLEGHEN!$H$15="geen warmtewisselaar",Q21-(K21-R21)))+IF(OPFOKLEGHEN!$H$12&gt;0,IF(OPFOKLEGHEN!$H$13="serie geschakeld met warmtewisselaar",(O21-(K21-S21)),IF(OPFOKLEGHEN!$H$13="parallel geschakeld met warmtewisselaar",IF(OPFOKLEGHEN!$L$9="ja",IF(OPFOKLEGHEN!$J$18="nee",(N21-(K21-Q21)-(K21-S21)),(Q21-(K21-N21/80%)))))),(O21-(K21-S21))))</f>
        <v>0.64727757673976594</v>
      </c>
      <c r="Z21" s="130">
        <f t="shared" si="5"/>
        <v>1</v>
      </c>
      <c r="AA21" s="130"/>
      <c r="AB21" s="130"/>
      <c r="AC21" s="167">
        <f>IF(H21=0,0,IF(OPFOKLEGHEN!$H$11="geen droogtunnel",IF(OPFOKLEGHEN!$H$15="geen warmtewisselaar",(P21-(K21-R21)/R$13),K21-(K21-O21)/I$6-(K21-R21)/95%)+IF(OPFOKLEGHEN!$J$18="ja",(K21-O21)*(1-I$6)),IF(OPFOKLEGHEN!$H$12&gt;=0,IF(OPFOKLEGHEN!$L$9="ja",IF(OPFOKLEGHEN!$J$18="ja",IF(OPFOKLEGHEN!$H$20="ja",O21-(K21-S21),IF(OPFOKLEGHEN!$H$20="nee",(O21-(K21-S21)),(O21-(K21-S21)))),IF(OPFOKLEGHEN!$J$18="nee",IF(OPFOKLEGHEN!$H$20="nee",O21*80%-(K21-S21),0+O21-(K21-S21)))),IF(OPFOKLEGHEN!$L$9="nee",IF(OPFOKLEGHEN!$J$18="nee",IF(OPFOKLEGHEN!$H$20="nee",(O21*80%-(K21-S21)),O21*93%-(K21-S21)),IF(OPFOKLEGHEN!$H$20="nee",IF(OPFOKLEGHEN!$J$18="ja",IF(OPFOKLEGHEN!$L$9="nee",O21-(K21-S21))),O21-(K21-S21))))))))</f>
        <v>0.32363878836988297</v>
      </c>
      <c r="AD21" s="167" t="e">
        <f>IF(H21=0,0,IF(OPFOKLEGHEN!$H$11="geen droogtunnel",IF(OPFOKLEGHEN!$H$15="geen warmtewisselaar",(Q21-(K21-R21)/S$13),N21-(K21-R21)),IF(OPFOKLEGHEN!$H$12&gt;=0,IF(OPFOKLEGHEN!$L$9="ja",IF(OPFOKLEGHEN!$J$18="ja",IF(OPFOKLEGHEN!$H$20="ja",Q21-(K21-N21)-(K21-S21),IF(OPFOKLEGHEN!$H$20="nee",(Q21-(K21-N21)-(K21-S21)),(O21-(K21-S21)))),IF(OPFOKLEGHEN!$J$18="nee",IF(OPFOKLEGHEN!$H$20="nee",1*Q21*$N$135-(K21-N21)-(K21-S21),(Q21-(K21-N21)-(K21-S21))*N$135))),IF(OPFOKLEGHEN!$L$9="nee",IF(OPFOKLEGHEN!$J$18="nee",IF(OPFOKLEGHEN!$H$20="nee",(N21*95%-(K21-Q21)/I$4-(K21-S21)),N21-(K21-Q21)/I$4-(K21-S21)),IF(OPFOKLEGHEN!$H$20="nee",IF(OPFOKLEGHEN!$J$18="ja",IF(OPFOKLEGHEN!$L$9="nee",N21-(K21-Q21)/I$4-(K21-S21))),N21-(K21-Q21)/I$4-(K21-S21))))))))</f>
        <v>#DIV/0!</v>
      </c>
      <c r="AE21" s="29">
        <f t="shared" si="6"/>
        <v>0</v>
      </c>
      <c r="AF21" s="6">
        <f t="shared" si="7"/>
        <v>0.23250207650245164</v>
      </c>
      <c r="AG21" s="6">
        <f t="shared" si="8"/>
        <v>0</v>
      </c>
      <c r="AH21" s="4">
        <f t="shared" si="9"/>
        <v>0</v>
      </c>
      <c r="AI21" s="6">
        <f t="shared" si="19"/>
        <v>0.23250207650245164</v>
      </c>
      <c r="AJ21" s="6">
        <f t="shared" si="10"/>
        <v>0</v>
      </c>
      <c r="AK21" s="4">
        <f t="shared" si="11"/>
        <v>0.15890209550503601</v>
      </c>
      <c r="AL21" s="6">
        <f t="shared" si="12"/>
        <v>2.2167040299307057E-4</v>
      </c>
      <c r="AM21" s="1">
        <v>1</v>
      </c>
      <c r="AN21" s="1">
        <v>6</v>
      </c>
      <c r="AO21" s="5">
        <v>70</v>
      </c>
      <c r="AP21" s="5">
        <v>65.8</v>
      </c>
      <c r="AQ21" s="5">
        <f t="shared" si="20"/>
        <v>67.900000000000006</v>
      </c>
      <c r="AR21" s="100" t="e">
        <f t="shared" si="13"/>
        <v>#DIV/0!</v>
      </c>
    </row>
    <row r="22" spans="1:44" ht="13" x14ac:dyDescent="0.3">
      <c r="A22" s="1">
        <v>1</v>
      </c>
      <c r="B22" s="1">
        <v>7</v>
      </c>
      <c r="C22" s="4">
        <f t="shared" si="14"/>
        <v>0.16358722387249999</v>
      </c>
      <c r="D22" s="7">
        <f t="shared" si="0"/>
        <v>0</v>
      </c>
      <c r="E22" s="7">
        <f>IF(I$3=0,0,IF(OPFOKLEGHEN!$H$13="parallel geschakeld met warmtewisselaar",0,MIN(I$3,C22)))</f>
        <v>0</v>
      </c>
      <c r="F22" s="7">
        <f>IF(I$3=0,0,IF(OPFOKLEGHEN!$H$13="serie geschakeld met warmtewisselaar",0,IF(C22&lt;$I$3,C22-D22,MIN($I$3,C22-D22))))</f>
        <v>0</v>
      </c>
      <c r="G22" s="137">
        <f>IF(C22&lt;$I$7,MAX(0,C22-D22-E22-F22,IF(OPFOKLEGHEN!$H$15="warmtewisselaar",IF(OPFOKLEGHEN!$H$13="serie geschakeld met warmtewisselaar",MIN(I$7,MAX(0,C22-D22-F22)),MIN(I$7,MAX(0,C22-D22-E22-F22))))),IF(OPFOKLEGHEN!$H$13="parallel geschakeld met warmtewisselaar",MIN(I$7,C22-D22-E22-F22,MIN(I$7,C22-E22-F22)),MIN(I$7,MAX(0,C22-D22-F22))))</f>
        <v>0</v>
      </c>
      <c r="H22" s="7">
        <f>IF(OPFOKLEGHEN!$H$13="parallel geschakeld met warmtewisselaar",IF(OPFOKLEGHEN!$L$9="nee",IF(OPFOKLEGHEN!$J$18="ja",C22-F22-G22,C22-D22-F22-G22),IF(OPFOKLEGHEN!$L$9="ja",IF(OPFOKLEGHEN!$J$18="ja",C22-G22,IF(OPFOKLEGHEN!$J$18="nee",C22-D22-G22)))),IF(OPFOKLEGHEN!$H$13="serie geschakeld met warmtewisselaar",IF(OPFOKLEGHEN!$J$18="ja",C22-G22,C22-D22-F22-G22),C22-D22-F22-G22))</f>
        <v>0.16358722387249999</v>
      </c>
      <c r="I22" s="98">
        <f t="shared" si="15"/>
        <v>0.16358722387249999</v>
      </c>
      <c r="J22" s="99">
        <v>0.23681971517156092</v>
      </c>
      <c r="K22" s="6">
        <f t="shared" si="16"/>
        <v>0.33936835472556032</v>
      </c>
      <c r="L22" s="130">
        <f>SUM(K$16:K22)/$K$137</f>
        <v>2.4108910650556589E-3</v>
      </c>
      <c r="M22" s="6">
        <f t="shared" si="17"/>
        <v>2.7118475834234275E-4</v>
      </c>
      <c r="N22" s="6">
        <f t="shared" si="1"/>
        <v>0.33936835472556032</v>
      </c>
      <c r="O22" s="6">
        <f>IF(E22&lt;I$3,P22*(1-I$6*D22/C22),IF(OPFOKLEGHEN!$H$11="droogtunnel (platen) 55%",P22*(1-$I$6)+(C22-D22)/C22*(K22-P22*(1-I$6)),P22*(1-$I$6)+(C22-D22)/C22*(K22-P22*(1-I$6))))</f>
        <v>0.33936835472556032</v>
      </c>
      <c r="P22" s="129">
        <f t="shared" si="2"/>
        <v>0.33936835472556032</v>
      </c>
      <c r="Q22" s="134">
        <f t="shared" si="3"/>
        <v>0.33936835472556032</v>
      </c>
      <c r="R22" s="134">
        <f t="shared" si="18"/>
        <v>0.33936835472556032</v>
      </c>
      <c r="S22" s="199">
        <f>IF(G22&lt;0.1,K22,IF(C22=F22,S22/(1-I$4),IF(I$3=0,K22-(G22/C22)*K22*S$13,IF(OPFOKLEGHEN!$H$13="Parallel geschakeld met warmtewisselaar",K22-(K22-(K22-Q22)/I$4)*(G22/(C22-F22))*S$13,IF(OPFOKLEGHEN!$H$20="ja",K22-(K22-(K22-P22)/I$4)*(G22/(C22-MIN(D22,I$5)))*S$13,K22-(K22-(K22-P22)/I$4)*(G22/(C22-MIN(D22,I$5)))*S$13)))))</f>
        <v>0.33936835472556032</v>
      </c>
      <c r="T22" s="17">
        <f t="shared" si="21"/>
        <v>0.33936835472556032</v>
      </c>
      <c r="U22" s="6" t="e">
        <f t="shared" si="22"/>
        <v>#DIV/0!</v>
      </c>
      <c r="V22" s="129">
        <f>IF(OPFOKLEGHEN!$J$18="nee",H22/C22*K22,IF(OPFOKLEGHEN!$H$20="ja",O22-(K22-Q22)-(K22-S22),Q22-(K22-O22)-(K22-S22)))</f>
        <v>0.33936835472556032</v>
      </c>
      <c r="W22" s="162">
        <f>IF(H22=0,0,IF(OPFOKLEGHEN!$H$11="geen droogtunnel",IF(OPFOKLEGHEN!$H$15="geen warmtewisselaar",Q22-(K22-R22)))+IF(OPFOKLEGHEN!$H$12&gt;0,IF(OPFOKLEGHEN!$H$13="serie geschakeld met warmtewisselaar",(O22*80%-(K22-S22)),(Q22-(K22-S22)-(K22-T22))),(N22-(K22-S22))))</f>
        <v>0.67873670945112063</v>
      </c>
      <c r="X22" s="162">
        <f>IF(H22=0,0,IF(OPFOKLEGHEN!$H$11="geen droogtunnel",IF(OPFOKLEGHEN!$H$15="geen warmtewisselaar",Q22-(K22-R22)))+IF(OPFOKLEGHEN!$H$12&gt;0,IF(OPFOKLEGHEN!$H$13="serie geschakeld met warmtewisselaar",3*(O22*80%-(K22-S22)),(Q22-(K22-S22)-(K22-N22))),(N22-(K22-S22))))</f>
        <v>0.67873670945112063</v>
      </c>
      <c r="Y22" s="162">
        <f>IF(H22=0,0,IF(OPFOKLEGHEN!$H$11="geen droogtunnel",IF(OPFOKLEGHEN!$H$15="geen warmtewisselaar",Q22-(K22-R22)))+IF(OPFOKLEGHEN!$H$12&gt;0,IF(OPFOKLEGHEN!$H$13="serie geschakeld met warmtewisselaar",(O22-(K22-S22)),IF(OPFOKLEGHEN!$H$13="parallel geschakeld met warmtewisselaar",IF(OPFOKLEGHEN!$L$9="ja",IF(OPFOKLEGHEN!$J$18="nee",(N22-(K22-Q22)-(K22-S22)),(Q22-(K22-N22/80%)))))),(O22-(K22-S22))))</f>
        <v>0.67873670945112063</v>
      </c>
      <c r="Z22" s="130">
        <f t="shared" si="5"/>
        <v>1</v>
      </c>
      <c r="AA22" s="130"/>
      <c r="AB22" s="130"/>
      <c r="AC22" s="167">
        <f>IF(H22=0,0,IF(OPFOKLEGHEN!$H$11="geen droogtunnel",IF(OPFOKLEGHEN!$H$15="geen warmtewisselaar",(P22-(K22-R22)/R$13),K22-(K22-O22)/I$6-(K22-R22)/95%)+IF(OPFOKLEGHEN!$J$18="ja",(K22-O22)*(1-I$6)),IF(OPFOKLEGHEN!$H$12&gt;=0,IF(OPFOKLEGHEN!$L$9="ja",IF(OPFOKLEGHEN!$J$18="ja",IF(OPFOKLEGHEN!$H$20="ja",O22-(K22-S22),IF(OPFOKLEGHEN!$H$20="nee",(O22-(K22-S22)),(O22-(K22-S22)))),IF(OPFOKLEGHEN!$J$18="nee",IF(OPFOKLEGHEN!$H$20="nee",O22*80%-(K22-S22),0+O22-(K22-S22)))),IF(OPFOKLEGHEN!$L$9="nee",IF(OPFOKLEGHEN!$J$18="nee",IF(OPFOKLEGHEN!$H$20="nee",(O22*80%-(K22-S22)),O22*93%-(K22-S22)),IF(OPFOKLEGHEN!$H$20="nee",IF(OPFOKLEGHEN!$J$18="ja",IF(OPFOKLEGHEN!$L$9="nee",O22-(K22-S22))),O22-(K22-S22))))))))</f>
        <v>0.33936835472556032</v>
      </c>
      <c r="AD22" s="167" t="e">
        <f>IF(H22=0,0,IF(OPFOKLEGHEN!$H$11="geen droogtunnel",IF(OPFOKLEGHEN!$H$15="geen warmtewisselaar",(Q22-(K22-R22)/S$13),N22-(K22-R22)),IF(OPFOKLEGHEN!$H$12&gt;=0,IF(OPFOKLEGHEN!$L$9="ja",IF(OPFOKLEGHEN!$J$18="ja",IF(OPFOKLEGHEN!$H$20="ja",Q22-(K22-N22)-(K22-S22),IF(OPFOKLEGHEN!$H$20="nee",(Q22-(K22-N22)-(K22-S22)),(O22-(K22-S22)))),IF(OPFOKLEGHEN!$J$18="nee",IF(OPFOKLEGHEN!$H$20="nee",1*Q22*$N$135-(K22-N22)-(K22-S22),(Q22-(K22-N22)-(K22-S22))*N$135))),IF(OPFOKLEGHEN!$L$9="nee",IF(OPFOKLEGHEN!$J$18="nee",IF(OPFOKLEGHEN!$H$20="nee",(N22*95%-(K22-Q22)/I$4-(K22-S22)),N22-(K22-Q22)/I$4-(K22-S22)),IF(OPFOKLEGHEN!$H$20="nee",IF(OPFOKLEGHEN!$J$18="ja",IF(OPFOKLEGHEN!$L$9="nee",N22-(K22-Q22)/I$4-(K22-S22))),N22-(K22-Q22)/I$4-(K22-S22))))))))</f>
        <v>#DIV/0!</v>
      </c>
      <c r="AE22" s="29">
        <f t="shared" si="6"/>
        <v>0</v>
      </c>
      <c r="AF22" s="6">
        <f t="shared" si="7"/>
        <v>0.23681971517156092</v>
      </c>
      <c r="AG22" s="6">
        <f t="shared" si="8"/>
        <v>0</v>
      </c>
      <c r="AH22" s="4">
        <f t="shared" si="9"/>
        <v>0</v>
      </c>
      <c r="AI22" s="6">
        <f t="shared" si="19"/>
        <v>0.23681971517156092</v>
      </c>
      <c r="AJ22" s="6">
        <f t="shared" si="10"/>
        <v>0</v>
      </c>
      <c r="AK22" s="4">
        <f t="shared" si="11"/>
        <v>0.16358722387249999</v>
      </c>
      <c r="AL22" s="6">
        <f t="shared" si="12"/>
        <v>2.7118475834234275E-4</v>
      </c>
      <c r="AM22" s="1">
        <v>1</v>
      </c>
      <c r="AN22" s="1">
        <v>7</v>
      </c>
      <c r="AO22" s="5">
        <v>75</v>
      </c>
      <c r="AP22" s="5">
        <v>70</v>
      </c>
      <c r="AQ22" s="5">
        <f t="shared" si="20"/>
        <v>72.5</v>
      </c>
      <c r="AR22" s="100" t="e">
        <f t="shared" si="13"/>
        <v>#DIV/0!</v>
      </c>
    </row>
    <row r="23" spans="1:44" ht="13" x14ac:dyDescent="0.3">
      <c r="A23" s="1">
        <v>2</v>
      </c>
      <c r="B23" s="1">
        <v>8</v>
      </c>
      <c r="C23" s="4">
        <f t="shared" si="14"/>
        <v>0.17191198275905201</v>
      </c>
      <c r="D23" s="7">
        <f t="shared" si="0"/>
        <v>0</v>
      </c>
      <c r="E23" s="7">
        <f>IF(I$3=0,0,IF(OPFOKLEGHEN!$H$13="parallel geschakeld met warmtewisselaar",0,MIN(I$3,C23)))</f>
        <v>0</v>
      </c>
      <c r="F23" s="7">
        <f>IF(I$3=0,0,IF(OPFOKLEGHEN!$H$13="serie geschakeld met warmtewisselaar",0,IF(C23&lt;$I$3,C23-D23,MIN($I$3,C23-D23))))</f>
        <v>0</v>
      </c>
      <c r="G23" s="137">
        <f>IF(C23&lt;$I$7,MAX(0,C23-D23-E23-F23,IF(OPFOKLEGHEN!$H$15="warmtewisselaar",IF(OPFOKLEGHEN!$H$13="serie geschakeld met warmtewisselaar",MIN(I$7,MAX(0,C23-D23-F23)),MIN(I$7,MAX(0,C23-D23-E23-F23))))),IF(OPFOKLEGHEN!$H$13="parallel geschakeld met warmtewisselaar",MIN(I$7,C23-D23-E23-F23,MIN(I$7,C23-E23-F23)),MIN(I$7,MAX(0,C23-D23-F23))))</f>
        <v>0</v>
      </c>
      <c r="H23" s="7">
        <f>IF(OPFOKLEGHEN!$H$13="parallel geschakeld met warmtewisselaar",IF(OPFOKLEGHEN!$L$9="nee",IF(OPFOKLEGHEN!$J$18="ja",C23-F23-G23,C23-D23-F23-G23),IF(OPFOKLEGHEN!$L$9="ja",IF(OPFOKLEGHEN!$J$18="ja",C23-G23,IF(OPFOKLEGHEN!$J$18="nee",C23-D23-G23)))),IF(OPFOKLEGHEN!$H$13="serie geschakeld met warmtewisselaar",IF(OPFOKLEGHEN!$J$18="ja",C23-G23,C23-D23-F23-G23),C23-D23-F23-G23))</f>
        <v>0.17191198275905201</v>
      </c>
      <c r="I23" s="98">
        <f t="shared" si="15"/>
        <v>0.17191198275905201</v>
      </c>
      <c r="J23" s="99">
        <v>0.24121753378554392</v>
      </c>
      <c r="K23" s="6">
        <f t="shared" si="16"/>
        <v>0.36326129630165616</v>
      </c>
      <c r="L23" s="130">
        <f>SUM(K$16:K23)/$K$137</f>
        <v>2.8362846164927628E-3</v>
      </c>
      <c r="M23" s="6">
        <f t="shared" si="17"/>
        <v>3.3174547607457179E-4</v>
      </c>
      <c r="N23" s="6">
        <f t="shared" si="1"/>
        <v>0.36326129630165616</v>
      </c>
      <c r="O23" s="6">
        <f>IF(E23&lt;I$3,P23*(1-I$6*D23/C23),IF(OPFOKLEGHEN!$H$11="droogtunnel (platen) 55%",P23*(1-$I$6)+(C23-D23)/C23*(K23-P23*(1-I$6)),P23*(1-$I$6)+(C23-D23)/C23*(K23-P23*(1-I$6))))</f>
        <v>0.36326129630165616</v>
      </c>
      <c r="P23" s="129">
        <f t="shared" si="2"/>
        <v>0.36326129630165616</v>
      </c>
      <c r="Q23" s="134">
        <f t="shared" si="3"/>
        <v>0.36326129630165616</v>
      </c>
      <c r="R23" s="134">
        <f t="shared" si="18"/>
        <v>0.36326129630165616</v>
      </c>
      <c r="S23" s="199">
        <f>IF(G23&lt;0.1,K23,IF(C23=F23,S23/(1-I$4),IF(I$3=0,K23-(G23/C23)*K23*S$13,IF(OPFOKLEGHEN!$H$13="Parallel geschakeld met warmtewisselaar",K23-(K23-(K23-Q23)/I$4)*(G23/(C23-F23))*S$13,IF(OPFOKLEGHEN!$H$20="ja",K23-(K23-(K23-P23)/I$4)*(G23/(C23-MIN(D23,I$5)))*S$13,K23-(K23-(K23-P23)/I$4)*(G23/(C23-MIN(D23,I$5)))*S$13)))))</f>
        <v>0.36326129630165616</v>
      </c>
      <c r="T23" s="17">
        <f t="shared" si="21"/>
        <v>0.36326129630165616</v>
      </c>
      <c r="U23" s="6" t="e">
        <f t="shared" si="22"/>
        <v>#DIV/0!</v>
      </c>
      <c r="V23" s="129">
        <f>IF(OPFOKLEGHEN!$J$18="nee",H23/C23*K23,IF(OPFOKLEGHEN!$H$20="ja",O23-(K23-Q23)-(K23-S23),Q23-(K23-O23)-(K23-S23)))</f>
        <v>0.36326129630165616</v>
      </c>
      <c r="W23" s="162">
        <f>IF(H23=0,0,IF(OPFOKLEGHEN!$H$11="geen droogtunnel",IF(OPFOKLEGHEN!$H$15="geen warmtewisselaar",Q23-(K23-R23)))+IF(OPFOKLEGHEN!$H$12&gt;0,IF(OPFOKLEGHEN!$H$13="serie geschakeld met warmtewisselaar",(O23*80%-(K23-S23)),(Q23-(K23-S23)-(K23-T23))),(N23-(K23-S23))))</f>
        <v>0.72652259260331231</v>
      </c>
      <c r="X23" s="162">
        <f>IF(H23=0,0,IF(OPFOKLEGHEN!$H$11="geen droogtunnel",IF(OPFOKLEGHEN!$H$15="geen warmtewisselaar",Q23-(K23-R23)))+IF(OPFOKLEGHEN!$H$12&gt;0,IF(OPFOKLEGHEN!$H$13="serie geschakeld met warmtewisselaar",3*(O23*80%-(K23-S23)),(Q23-(K23-S23)-(K23-N23))),(N23-(K23-S23))))</f>
        <v>0.72652259260331231</v>
      </c>
      <c r="Y23" s="162">
        <f>IF(H23=0,0,IF(OPFOKLEGHEN!$H$11="geen droogtunnel",IF(OPFOKLEGHEN!$H$15="geen warmtewisselaar",Q23-(K23-R23)))+IF(OPFOKLEGHEN!$H$12&gt;0,IF(OPFOKLEGHEN!$H$13="serie geschakeld met warmtewisselaar",(O23-(K23-S23)),IF(OPFOKLEGHEN!$H$13="parallel geschakeld met warmtewisselaar",IF(OPFOKLEGHEN!$L$9="ja",IF(OPFOKLEGHEN!$J$18="nee",(N23-(K23-Q23)-(K23-S23)),(Q23-(K23-N23/80%)))))),(O23-(K23-S23))))</f>
        <v>0.72652259260331231</v>
      </c>
      <c r="Z23" s="130">
        <f t="shared" si="5"/>
        <v>1</v>
      </c>
      <c r="AA23" s="130"/>
      <c r="AB23" s="130"/>
      <c r="AC23" s="167">
        <f>IF(H23=0,0,IF(OPFOKLEGHEN!$H$11="geen droogtunnel",IF(OPFOKLEGHEN!$H$15="geen warmtewisselaar",(P23-(K23-R23)/R$13),K23-(K23-O23)/I$6-(K23-R23)/95%)+IF(OPFOKLEGHEN!$J$18="ja",(K23-O23)*(1-I$6)),IF(OPFOKLEGHEN!$H$12&gt;=0,IF(OPFOKLEGHEN!$L$9="ja",IF(OPFOKLEGHEN!$J$18="ja",IF(OPFOKLEGHEN!$H$20="ja",O23-(K23-S23),IF(OPFOKLEGHEN!$H$20="nee",(O23-(K23-S23)),(O23-(K23-S23)))),IF(OPFOKLEGHEN!$J$18="nee",IF(OPFOKLEGHEN!$H$20="nee",O23*80%-(K23-S23),0+O23-(K23-S23)))),IF(OPFOKLEGHEN!$L$9="nee",IF(OPFOKLEGHEN!$J$18="nee",IF(OPFOKLEGHEN!$H$20="nee",(O23*80%-(K23-S23)),O23*93%-(K23-S23)),IF(OPFOKLEGHEN!$H$20="nee",IF(OPFOKLEGHEN!$J$18="ja",IF(OPFOKLEGHEN!$L$9="nee",O23-(K23-S23))),O23-(K23-S23))))))))</f>
        <v>0.36326129630165616</v>
      </c>
      <c r="AD23" s="167" t="e">
        <f>IF(H23=0,0,IF(OPFOKLEGHEN!$H$11="geen droogtunnel",IF(OPFOKLEGHEN!$H$15="geen warmtewisselaar",(Q23-(K23-R23)/S$13),N23-(K23-R23)),IF(OPFOKLEGHEN!$H$12&gt;=0,IF(OPFOKLEGHEN!$L$9="ja",IF(OPFOKLEGHEN!$J$18="ja",IF(OPFOKLEGHEN!$H$20="ja",Q23-(K23-N23)-(K23-S23),IF(OPFOKLEGHEN!$H$20="nee",(Q23-(K23-N23)-(K23-S23)),(O23-(K23-S23)))),IF(OPFOKLEGHEN!$J$18="nee",IF(OPFOKLEGHEN!$H$20="nee",1*Q23*$N$135-(K23-N23)-(K23-S23),(Q23-(K23-N23)-(K23-S23))*N$135))),IF(OPFOKLEGHEN!$L$9="nee",IF(OPFOKLEGHEN!$J$18="nee",IF(OPFOKLEGHEN!$H$20="nee",(N23*95%-(K23-Q23)/I$4-(K23-S23)),N23-(K23-Q23)/I$4-(K23-S23)),IF(OPFOKLEGHEN!$H$20="nee",IF(OPFOKLEGHEN!$J$18="ja",IF(OPFOKLEGHEN!$L$9="nee",N23-(K23-Q23)/I$4-(K23-S23))),N23-(K23-Q23)/I$4-(K23-S23))))))))</f>
        <v>#DIV/0!</v>
      </c>
      <c r="AE23" s="29">
        <f t="shared" si="6"/>
        <v>0</v>
      </c>
      <c r="AF23" s="6">
        <f t="shared" si="7"/>
        <v>0.24121753378554392</v>
      </c>
      <c r="AG23" s="6">
        <f t="shared" si="8"/>
        <v>0</v>
      </c>
      <c r="AH23" s="4">
        <f t="shared" si="9"/>
        <v>0</v>
      </c>
      <c r="AI23" s="6">
        <f t="shared" si="19"/>
        <v>0.24121753378554392</v>
      </c>
      <c r="AJ23" s="6">
        <f t="shared" si="10"/>
        <v>0</v>
      </c>
      <c r="AK23" s="4">
        <f t="shared" si="11"/>
        <v>0.17191198275905201</v>
      </c>
      <c r="AL23" s="6">
        <f t="shared" si="12"/>
        <v>3.3174547607457179E-4</v>
      </c>
      <c r="AM23" s="1">
        <v>2</v>
      </c>
      <c r="AN23" s="1">
        <v>8</v>
      </c>
      <c r="AO23" s="5">
        <f t="shared" ref="AO23:AO28" si="23">AO22+8.6</f>
        <v>83.6</v>
      </c>
      <c r="AP23" s="5">
        <f t="shared" ref="AP23:AP28" si="24">AP22+7.8</f>
        <v>77.8</v>
      </c>
      <c r="AQ23" s="5">
        <f t="shared" si="20"/>
        <v>80.699999999999989</v>
      </c>
      <c r="AR23" s="100" t="e">
        <f t="shared" si="13"/>
        <v>#DIV/0!</v>
      </c>
    </row>
    <row r="24" spans="1:44" ht="13" x14ac:dyDescent="0.3">
      <c r="A24" s="1">
        <v>2</v>
      </c>
      <c r="B24" s="1">
        <v>9</v>
      </c>
      <c r="C24" s="4">
        <f t="shared" si="14"/>
        <v>0.18020324300035601</v>
      </c>
      <c r="D24" s="7">
        <f t="shared" si="0"/>
        <v>0</v>
      </c>
      <c r="E24" s="7">
        <f>IF(I$3=0,0,IF(OPFOKLEGHEN!$H$13="parallel geschakeld met warmtewisselaar",0,MIN(I$3,C24)))</f>
        <v>0</v>
      </c>
      <c r="F24" s="7">
        <f>IF(I$3=0,0,IF(OPFOKLEGHEN!$H$13="serie geschakeld met warmtewisselaar",0,IF(C24&lt;$I$3,C24-D24,MIN($I$3,C24-D24))))</f>
        <v>0</v>
      </c>
      <c r="G24" s="137">
        <f>IF(C24&lt;$I$7,MAX(0,C24-D24-E24-F24,IF(OPFOKLEGHEN!$H$15="warmtewisselaar",IF(OPFOKLEGHEN!$H$13="serie geschakeld met warmtewisselaar",MIN(I$7,MAX(0,C24-D24-F24)),MIN(I$7,MAX(0,C24-D24-E24-F24))))),IF(OPFOKLEGHEN!$H$13="parallel geschakeld met warmtewisselaar",MIN(I$7,C24-D24-E24-F24,MIN(I$7,C24-E24-F24)),MIN(I$7,MAX(0,C24-D24-F24))))</f>
        <v>0</v>
      </c>
      <c r="H24" s="7">
        <f>IF(OPFOKLEGHEN!$H$13="parallel geschakeld met warmtewisselaar",IF(OPFOKLEGHEN!$L$9="nee",IF(OPFOKLEGHEN!$J$18="ja",C24-F24-G24,C24-D24-F24-G24),IF(OPFOKLEGHEN!$L$9="ja",IF(OPFOKLEGHEN!$J$18="ja",C24-G24,IF(OPFOKLEGHEN!$J$18="nee",C24-D24-G24)))),IF(OPFOKLEGHEN!$H$13="serie geschakeld met warmtewisselaar",IF(OPFOKLEGHEN!$J$18="ja",C24-G24,C24-D24-F24-G24),C24-D24-F24-G24))</f>
        <v>0.18020324300035601</v>
      </c>
      <c r="I24" s="98">
        <f t="shared" si="15"/>
        <v>0.18020324300035601</v>
      </c>
      <c r="J24" s="99">
        <v>0.24569702131187857</v>
      </c>
      <c r="K24" s="6">
        <f t="shared" si="16"/>
        <v>0.38785250431473017</v>
      </c>
      <c r="L24" s="130">
        <f>SUM(K$16:K24)/$K$137</f>
        <v>3.2904754590734938E-3</v>
      </c>
      <c r="M24" s="6">
        <f t="shared" si="17"/>
        <v>3.9847860032335289E-4</v>
      </c>
      <c r="N24" s="6">
        <f t="shared" si="1"/>
        <v>0.38785250431473017</v>
      </c>
      <c r="O24" s="6">
        <f>IF(E24&lt;I$3,P24*(1-I$6*D24/C24),IF(OPFOKLEGHEN!$H$11="droogtunnel (platen) 55%",P24*(1-$I$6)+(C24-D24)/C24*(K24-P24*(1-I$6)),P24*(1-$I$6)+(C24-D24)/C24*(K24-P24*(1-I$6))))</f>
        <v>0.38785250431473017</v>
      </c>
      <c r="P24" s="129">
        <f t="shared" si="2"/>
        <v>0.38785250431473017</v>
      </c>
      <c r="Q24" s="134">
        <f t="shared" si="3"/>
        <v>0.38785250431473017</v>
      </c>
      <c r="R24" s="134">
        <f t="shared" si="18"/>
        <v>0.38785250431473017</v>
      </c>
      <c r="S24" s="199">
        <f>IF(G24&lt;0.1,K24,IF(C24=F24,S24/(1-I$4),IF(I$3=0,K24-(G24/C24)*K24*S$13,IF(OPFOKLEGHEN!$H$13="Parallel geschakeld met warmtewisselaar",K24-(K24-(K24-Q24)/I$4)*(G24/(C24-F24))*S$13,IF(OPFOKLEGHEN!$H$20="ja",K24-(K24-(K24-P24)/I$4)*(G24/(C24-MIN(D24,I$5)))*S$13,K24-(K24-(K24-P24)/I$4)*(G24/(C24-MIN(D24,I$5)))*S$13)))))</f>
        <v>0.38785250431473017</v>
      </c>
      <c r="T24" s="17">
        <f t="shared" si="21"/>
        <v>0.38785250431473017</v>
      </c>
      <c r="U24" s="6" t="e">
        <f t="shared" si="22"/>
        <v>#DIV/0!</v>
      </c>
      <c r="V24" s="129">
        <f>IF(OPFOKLEGHEN!$J$18="nee",H24/C24*K24,IF(OPFOKLEGHEN!$H$20="ja",O24-(K24-Q24)-(K24-S24),Q24-(K24-O24)-(K24-S24)))</f>
        <v>0.38785250431473017</v>
      </c>
      <c r="W24" s="162">
        <f>IF(H24=0,0,IF(OPFOKLEGHEN!$H$11="geen droogtunnel",IF(OPFOKLEGHEN!$H$15="geen warmtewisselaar",Q24-(K24-R24)))+IF(OPFOKLEGHEN!$H$12&gt;0,IF(OPFOKLEGHEN!$H$13="serie geschakeld met warmtewisselaar",(O24*80%-(K24-S24)),(Q24-(K24-S24)-(K24-T24))),(N24-(K24-S24))))</f>
        <v>0.77570500862946035</v>
      </c>
      <c r="X24" s="162">
        <f>IF(H24=0,0,IF(OPFOKLEGHEN!$H$11="geen droogtunnel",IF(OPFOKLEGHEN!$H$15="geen warmtewisselaar",Q24-(K24-R24)))+IF(OPFOKLEGHEN!$H$12&gt;0,IF(OPFOKLEGHEN!$H$13="serie geschakeld met warmtewisselaar",3*(O24*80%-(K24-S24)),(Q24-(K24-S24)-(K24-N24))),(N24-(K24-S24))))</f>
        <v>0.77570500862946035</v>
      </c>
      <c r="Y24" s="162">
        <f>IF(H24=0,0,IF(OPFOKLEGHEN!$H$11="geen droogtunnel",IF(OPFOKLEGHEN!$H$15="geen warmtewisselaar",Q24-(K24-R24)))+IF(OPFOKLEGHEN!$H$12&gt;0,IF(OPFOKLEGHEN!$H$13="serie geschakeld met warmtewisselaar",(O24-(K24-S24)),IF(OPFOKLEGHEN!$H$13="parallel geschakeld met warmtewisselaar",IF(OPFOKLEGHEN!$L$9="ja",IF(OPFOKLEGHEN!$J$18="nee",(N24-(K24-Q24)-(K24-S24)),(Q24-(K24-N24/80%)))))),(O24-(K24-S24))))</f>
        <v>0.77570500862946035</v>
      </c>
      <c r="Z24" s="130">
        <f t="shared" si="5"/>
        <v>1</v>
      </c>
      <c r="AA24" s="130"/>
      <c r="AB24" s="130"/>
      <c r="AC24" s="167">
        <f>IF(H24=0,0,IF(OPFOKLEGHEN!$H$11="geen droogtunnel",IF(OPFOKLEGHEN!$H$15="geen warmtewisselaar",(P24-(K24-R24)/R$13),K24-(K24-O24)/I$6-(K24-R24)/95%)+IF(OPFOKLEGHEN!$J$18="ja",(K24-O24)*(1-I$6)),IF(OPFOKLEGHEN!$H$12&gt;=0,IF(OPFOKLEGHEN!$L$9="ja",IF(OPFOKLEGHEN!$J$18="ja",IF(OPFOKLEGHEN!$H$20="ja",O24-(K24-S24),IF(OPFOKLEGHEN!$H$20="nee",(O24-(K24-S24)),(O24-(K24-S24)))),IF(OPFOKLEGHEN!$J$18="nee",IF(OPFOKLEGHEN!$H$20="nee",O24*80%-(K24-S24),0+O24-(K24-S24)))),IF(OPFOKLEGHEN!$L$9="nee",IF(OPFOKLEGHEN!$J$18="nee",IF(OPFOKLEGHEN!$H$20="nee",(O24*80%-(K24-S24)),O24*93%-(K24-S24)),IF(OPFOKLEGHEN!$H$20="nee",IF(OPFOKLEGHEN!$J$18="ja",IF(OPFOKLEGHEN!$L$9="nee",O24-(K24-S24))),O24-(K24-S24))))))))</f>
        <v>0.38785250431473017</v>
      </c>
      <c r="AD24" s="167" t="e">
        <f>IF(H24=0,0,IF(OPFOKLEGHEN!$H$11="geen droogtunnel",IF(OPFOKLEGHEN!$H$15="geen warmtewisselaar",(Q24-(K24-R24)/S$13),N24-(K24-R24)),IF(OPFOKLEGHEN!$H$12&gt;=0,IF(OPFOKLEGHEN!$L$9="ja",IF(OPFOKLEGHEN!$J$18="ja",IF(OPFOKLEGHEN!$H$20="ja",Q24-(K24-N24)-(K24-S24),IF(OPFOKLEGHEN!$H$20="nee",(Q24-(K24-N24)-(K24-S24)),(O24-(K24-S24)))),IF(OPFOKLEGHEN!$J$18="nee",IF(OPFOKLEGHEN!$H$20="nee",1*Q24*$N$135-(K24-N24)-(K24-S24),(Q24-(K24-N24)-(K24-S24))*N$135))),IF(OPFOKLEGHEN!$L$9="nee",IF(OPFOKLEGHEN!$J$18="nee",IF(OPFOKLEGHEN!$H$20="nee",(N24*95%-(K24-Q24)/I$4-(K24-S24)),N24-(K24-Q24)/I$4-(K24-S24)),IF(OPFOKLEGHEN!$H$20="nee",IF(OPFOKLEGHEN!$J$18="ja",IF(OPFOKLEGHEN!$L$9="nee",N24-(K24-Q24)/I$4-(K24-S24))),N24-(K24-Q24)/I$4-(K24-S24))))))))</f>
        <v>#DIV/0!</v>
      </c>
      <c r="AE24" s="29">
        <f t="shared" si="6"/>
        <v>0</v>
      </c>
      <c r="AF24" s="6">
        <f t="shared" si="7"/>
        <v>0.24569702131187857</v>
      </c>
      <c r="AG24" s="6">
        <f t="shared" si="8"/>
        <v>0</v>
      </c>
      <c r="AH24" s="4">
        <f t="shared" si="9"/>
        <v>0</v>
      </c>
      <c r="AI24" s="6">
        <f t="shared" si="19"/>
        <v>0.24569702131187857</v>
      </c>
      <c r="AJ24" s="6">
        <f t="shared" si="10"/>
        <v>0</v>
      </c>
      <c r="AK24" s="4">
        <f t="shared" si="11"/>
        <v>0.18020324300035601</v>
      </c>
      <c r="AL24" s="6">
        <f t="shared" si="12"/>
        <v>3.9847860032335289E-4</v>
      </c>
      <c r="AM24" s="1">
        <v>2</v>
      </c>
      <c r="AN24" s="1">
        <v>9</v>
      </c>
      <c r="AO24" s="5">
        <f t="shared" si="23"/>
        <v>92.199999999999989</v>
      </c>
      <c r="AP24" s="5">
        <f t="shared" si="24"/>
        <v>85.6</v>
      </c>
      <c r="AQ24" s="5">
        <f t="shared" si="20"/>
        <v>88.899999999999991</v>
      </c>
      <c r="AR24" s="100" t="e">
        <f t="shared" si="13"/>
        <v>#DIV/0!</v>
      </c>
    </row>
    <row r="25" spans="1:44" ht="13" x14ac:dyDescent="0.3">
      <c r="A25" s="1">
        <v>2</v>
      </c>
      <c r="B25" s="1">
        <v>10</v>
      </c>
      <c r="C25" s="4">
        <f t="shared" si="14"/>
        <v>0.18846227494828399</v>
      </c>
      <c r="D25" s="7">
        <f t="shared" si="0"/>
        <v>0</v>
      </c>
      <c r="E25" s="7">
        <f>IF(I$3=0,0,IF(OPFOKLEGHEN!$H$13="parallel geschakeld met warmtewisselaar",0,MIN(I$3,C25)))</f>
        <v>0</v>
      </c>
      <c r="F25" s="7">
        <f>IF(I$3=0,0,IF(OPFOKLEGHEN!$H$13="serie geschakeld met warmtewisselaar",0,IF(C25&lt;$I$3,C25-D25,MIN($I$3,C25-D25))))</f>
        <v>0</v>
      </c>
      <c r="G25" s="137">
        <f>IF(C25&lt;$I$7,MAX(0,C25-D25-E25-F25,IF(OPFOKLEGHEN!$H$15="warmtewisselaar",IF(OPFOKLEGHEN!$H$13="serie geschakeld met warmtewisselaar",MIN(I$7,MAX(0,C25-D25-F25)),MIN(I$7,MAX(0,C25-D25-E25-F25))))),IF(OPFOKLEGHEN!$H$13="parallel geschakeld met warmtewisselaar",MIN(I$7,C25-D25-E25-F25,MIN(I$7,C25-E25-F25)),MIN(I$7,MAX(0,C25-D25-F25))))</f>
        <v>0</v>
      </c>
      <c r="H25" s="7">
        <f>IF(OPFOKLEGHEN!$H$13="parallel geschakeld met warmtewisselaar",IF(OPFOKLEGHEN!$L$9="nee",IF(OPFOKLEGHEN!$J$18="ja",C25-F25-G25,C25-D25-F25-G25),IF(OPFOKLEGHEN!$L$9="ja",IF(OPFOKLEGHEN!$J$18="ja",C25-G25,IF(OPFOKLEGHEN!$J$18="nee",C25-D25-G25)))),IF(OPFOKLEGHEN!$H$13="serie geschakeld met warmtewisselaar",IF(OPFOKLEGHEN!$J$18="ja",C25-G25,C25-D25-F25-G25),C25-D25-F25-G25))</f>
        <v>0.18846227494828399</v>
      </c>
      <c r="I25" s="98">
        <f t="shared" si="15"/>
        <v>0.18846227494828399</v>
      </c>
      <c r="J25" s="99">
        <v>0.25025969436864992</v>
      </c>
      <c r="K25" s="6">
        <f t="shared" si="16"/>
        <v>0.41316111923834348</v>
      </c>
      <c r="L25" s="130">
        <f>SUM(K$16:K25)/$K$137</f>
        <v>3.7743037050713218E-3</v>
      </c>
      <c r="M25" s="6">
        <f t="shared" si="17"/>
        <v>4.7164511328578025E-4</v>
      </c>
      <c r="N25" s="6">
        <f t="shared" si="1"/>
        <v>0.41316111923834348</v>
      </c>
      <c r="O25" s="6">
        <f>IF(E25&lt;I$3,P25*(1-I$6*D25/C25),IF(OPFOKLEGHEN!$H$11="droogtunnel (platen) 55%",P25*(1-$I$6)+(C25-D25)/C25*(K25-P25*(1-I$6)),P25*(1-$I$6)+(C25-D25)/C25*(K25-P25*(1-I$6))))</f>
        <v>0.41316111923834348</v>
      </c>
      <c r="P25" s="129">
        <f t="shared" si="2"/>
        <v>0.41316111923834348</v>
      </c>
      <c r="Q25" s="134">
        <f t="shared" si="3"/>
        <v>0.41316111923834348</v>
      </c>
      <c r="R25" s="134">
        <f t="shared" si="18"/>
        <v>0.41316111923834348</v>
      </c>
      <c r="S25" s="199">
        <f>IF(G25&lt;0.1,K25,IF(C25=F25,S25/(1-I$4),IF(I$3=0,K25-(G25/C25)*K25*S$13,IF(OPFOKLEGHEN!$H$13="Parallel geschakeld met warmtewisselaar",K25-(K25-(K25-Q25)/I$4)*(G25/(C25-F25))*S$13,IF(OPFOKLEGHEN!$H$20="ja",K25-(K25-(K25-P25)/I$4)*(G25/(C25-MIN(D25,I$5)))*S$13,K25-(K25-(K25-P25)/I$4)*(G25/(C25-MIN(D25,I$5)))*S$13)))))</f>
        <v>0.41316111923834348</v>
      </c>
      <c r="T25" s="17">
        <f t="shared" si="21"/>
        <v>0.41316111923834348</v>
      </c>
      <c r="U25" s="6" t="e">
        <f t="shared" si="22"/>
        <v>#DIV/0!</v>
      </c>
      <c r="V25" s="129">
        <f>IF(OPFOKLEGHEN!$J$18="nee",H25/C25*K25,IF(OPFOKLEGHEN!$H$20="ja",O25-(K25-Q25)-(K25-S25),Q25-(K25-O25)-(K25-S25)))</f>
        <v>0.41316111923834348</v>
      </c>
      <c r="W25" s="162">
        <f>IF(H25=0,0,IF(OPFOKLEGHEN!$H$11="geen droogtunnel",IF(OPFOKLEGHEN!$H$15="geen warmtewisselaar",Q25-(K25-R25)))+IF(OPFOKLEGHEN!$H$12&gt;0,IF(OPFOKLEGHEN!$H$13="serie geschakeld met warmtewisselaar",(O25*80%-(K25-S25)),(Q25-(K25-S25)-(K25-T25))),(N25-(K25-S25))))</f>
        <v>0.82632223847668695</v>
      </c>
      <c r="X25" s="162">
        <f>IF(H25=0,0,IF(OPFOKLEGHEN!$H$11="geen droogtunnel",IF(OPFOKLEGHEN!$H$15="geen warmtewisselaar",Q25-(K25-R25)))+IF(OPFOKLEGHEN!$H$12&gt;0,IF(OPFOKLEGHEN!$H$13="serie geschakeld met warmtewisselaar",3*(O25*80%-(K25-S25)),(Q25-(K25-S25)-(K25-N25))),(N25-(K25-S25))))</f>
        <v>0.82632223847668695</v>
      </c>
      <c r="Y25" s="162">
        <f>IF(H25=0,0,IF(OPFOKLEGHEN!$H$11="geen droogtunnel",IF(OPFOKLEGHEN!$H$15="geen warmtewisselaar",Q25-(K25-R25)))+IF(OPFOKLEGHEN!$H$12&gt;0,IF(OPFOKLEGHEN!$H$13="serie geschakeld met warmtewisselaar",(O25-(K25-S25)),IF(OPFOKLEGHEN!$H$13="parallel geschakeld met warmtewisselaar",IF(OPFOKLEGHEN!$L$9="ja",IF(OPFOKLEGHEN!$J$18="nee",(N25-(K25-Q25)-(K25-S25)),(Q25-(K25-N25/80%)))))),(O25-(K25-S25))))</f>
        <v>0.82632223847668695</v>
      </c>
      <c r="Z25" s="130">
        <f t="shared" si="5"/>
        <v>1</v>
      </c>
      <c r="AA25" s="130"/>
      <c r="AB25" s="130"/>
      <c r="AC25" s="167">
        <f>IF(H25=0,0,IF(OPFOKLEGHEN!$H$11="geen droogtunnel",IF(OPFOKLEGHEN!$H$15="geen warmtewisselaar",(P25-(K25-R25)/R$13),K25-(K25-O25)/I$6-(K25-R25)/95%)+IF(OPFOKLEGHEN!$J$18="ja",(K25-O25)*(1-I$6)),IF(OPFOKLEGHEN!$H$12&gt;=0,IF(OPFOKLEGHEN!$L$9="ja",IF(OPFOKLEGHEN!$J$18="ja",IF(OPFOKLEGHEN!$H$20="ja",O25-(K25-S25),IF(OPFOKLEGHEN!$H$20="nee",(O25-(K25-S25)),(O25-(K25-S25)))),IF(OPFOKLEGHEN!$J$18="nee",IF(OPFOKLEGHEN!$H$20="nee",O25*80%-(K25-S25),0+O25-(K25-S25)))),IF(OPFOKLEGHEN!$L$9="nee",IF(OPFOKLEGHEN!$J$18="nee",IF(OPFOKLEGHEN!$H$20="nee",(O25*80%-(K25-S25)),O25*93%-(K25-S25)),IF(OPFOKLEGHEN!$H$20="nee",IF(OPFOKLEGHEN!$J$18="ja",IF(OPFOKLEGHEN!$L$9="nee",O25-(K25-S25))),O25-(K25-S25))))))))</f>
        <v>0.41316111923834348</v>
      </c>
      <c r="AD25" s="167" t="e">
        <f>IF(H25=0,0,IF(OPFOKLEGHEN!$H$11="geen droogtunnel",IF(OPFOKLEGHEN!$H$15="geen warmtewisselaar",(Q25-(K25-R25)/S$13),N25-(K25-R25)),IF(OPFOKLEGHEN!$H$12&gt;=0,IF(OPFOKLEGHEN!$L$9="ja",IF(OPFOKLEGHEN!$J$18="ja",IF(OPFOKLEGHEN!$H$20="ja",Q25-(K25-N25)-(K25-S25),IF(OPFOKLEGHEN!$H$20="nee",(Q25-(K25-N25)-(K25-S25)),(O25-(K25-S25)))),IF(OPFOKLEGHEN!$J$18="nee",IF(OPFOKLEGHEN!$H$20="nee",1*Q25*$N$135-(K25-N25)-(K25-S25),(Q25-(K25-N25)-(K25-S25))*N$135))),IF(OPFOKLEGHEN!$L$9="nee",IF(OPFOKLEGHEN!$J$18="nee",IF(OPFOKLEGHEN!$H$20="nee",(N25*95%-(K25-Q25)/I$4-(K25-S25)),N25-(K25-Q25)/I$4-(K25-S25)),IF(OPFOKLEGHEN!$H$20="nee",IF(OPFOKLEGHEN!$J$18="ja",IF(OPFOKLEGHEN!$L$9="nee",N25-(K25-Q25)/I$4-(K25-S25))),N25-(K25-Q25)/I$4-(K25-S25))))))))</f>
        <v>#DIV/0!</v>
      </c>
      <c r="AE25" s="29">
        <f t="shared" si="6"/>
        <v>0</v>
      </c>
      <c r="AF25" s="6">
        <f t="shared" si="7"/>
        <v>0.25025969436864992</v>
      </c>
      <c r="AG25" s="6">
        <f t="shared" si="8"/>
        <v>0</v>
      </c>
      <c r="AH25" s="4">
        <f t="shared" si="9"/>
        <v>0</v>
      </c>
      <c r="AI25" s="6">
        <f t="shared" si="19"/>
        <v>0.25025969436864992</v>
      </c>
      <c r="AJ25" s="6">
        <f t="shared" si="10"/>
        <v>0</v>
      </c>
      <c r="AK25" s="4">
        <f t="shared" si="11"/>
        <v>0.18846227494828399</v>
      </c>
      <c r="AL25" s="6">
        <f t="shared" si="12"/>
        <v>4.7164511328578025E-4</v>
      </c>
      <c r="AM25" s="1">
        <v>2</v>
      </c>
      <c r="AN25" s="1">
        <v>10</v>
      </c>
      <c r="AO25" s="5">
        <f t="shared" si="23"/>
        <v>100.79999999999998</v>
      </c>
      <c r="AP25" s="5">
        <f t="shared" si="24"/>
        <v>93.399999999999991</v>
      </c>
      <c r="AQ25" s="5">
        <f t="shared" si="20"/>
        <v>97.1</v>
      </c>
      <c r="AR25" s="100" t="e">
        <f t="shared" si="13"/>
        <v>#DIV/0!</v>
      </c>
    </row>
    <row r="26" spans="1:44" ht="13" x14ac:dyDescent="0.3">
      <c r="A26" s="1">
        <v>2</v>
      </c>
      <c r="B26" s="1">
        <v>11</v>
      </c>
      <c r="C26" s="4">
        <f t="shared" si="14"/>
        <v>0.19669034895470799</v>
      </c>
      <c r="D26" s="7">
        <f t="shared" si="0"/>
        <v>0</v>
      </c>
      <c r="E26" s="7">
        <f>IF(I$3=0,0,IF(OPFOKLEGHEN!$H$13="parallel geschakeld met warmtewisselaar",0,MIN(I$3,C26)))</f>
        <v>0</v>
      </c>
      <c r="F26" s="7">
        <f>IF(I$3=0,0,IF(OPFOKLEGHEN!$H$13="serie geschakeld met warmtewisselaar",0,IF(C26&lt;$I$3,C26-D26,MIN($I$3,C26-D26))))</f>
        <v>0</v>
      </c>
      <c r="G26" s="137">
        <f>IF(C26&lt;$I$7,MAX(0,C26-D26-E26-F26,IF(OPFOKLEGHEN!$H$15="warmtewisselaar",IF(OPFOKLEGHEN!$H$13="serie geschakeld met warmtewisselaar",MIN(I$7,MAX(0,C26-D26-F26)),MIN(I$7,MAX(0,C26-D26-E26-F26))))),IF(OPFOKLEGHEN!$H$13="parallel geschakeld met warmtewisselaar",MIN(I$7,C26-D26-E26-F26,MIN(I$7,C26-E26-F26)),MIN(I$7,MAX(0,C26-D26-F26))))</f>
        <v>0</v>
      </c>
      <c r="H26" s="7">
        <f>IF(OPFOKLEGHEN!$H$13="parallel geschakeld met warmtewisselaar",IF(OPFOKLEGHEN!$L$9="nee",IF(OPFOKLEGHEN!$J$18="ja",C26-F26-G26,C26-D26-F26-G26),IF(OPFOKLEGHEN!$L$9="ja",IF(OPFOKLEGHEN!$J$18="ja",C26-G26,IF(OPFOKLEGHEN!$J$18="nee",C26-D26-G26)))),IF(OPFOKLEGHEN!$H$13="serie geschakeld met warmtewisselaar",IF(OPFOKLEGHEN!$J$18="ja",C26-G26,C26-D26-F26-G26),C26-D26-F26-G26))</f>
        <v>0.19669034895470799</v>
      </c>
      <c r="I26" s="98">
        <f t="shared" si="15"/>
        <v>0.19669034895470799</v>
      </c>
      <c r="J26" s="99">
        <v>0.25490709773803089</v>
      </c>
      <c r="K26" s="6">
        <f t="shared" si="16"/>
        <v>0.43920683020489637</v>
      </c>
      <c r="L26" s="130">
        <f>SUM(K$16:K26)/$K$137</f>
        <v>4.2886325235236555E-3</v>
      </c>
      <c r="M26" s="6">
        <f t="shared" si="17"/>
        <v>5.5151542605637674E-4</v>
      </c>
      <c r="N26" s="6">
        <f t="shared" si="1"/>
        <v>0.43920683020489637</v>
      </c>
      <c r="O26" s="6">
        <f>IF(E26&lt;I$3,P26*(1-I$6*D26/C26),IF(OPFOKLEGHEN!$H$11="droogtunnel (platen) 55%",P26*(1-$I$6)+(C26-D26)/C26*(K26-P26*(1-I$6)),P26*(1-$I$6)+(C26-D26)/C26*(K26-P26*(1-I$6))))</f>
        <v>0.43920683020489637</v>
      </c>
      <c r="P26" s="129">
        <f t="shared" si="2"/>
        <v>0.43920683020489637</v>
      </c>
      <c r="Q26" s="134">
        <f t="shared" si="3"/>
        <v>0.43920683020489637</v>
      </c>
      <c r="R26" s="134">
        <f t="shared" si="18"/>
        <v>0.43920683020489637</v>
      </c>
      <c r="S26" s="199">
        <f>IF(G26&lt;0.1,K26,IF(C26=F26,S26/(1-I$4),IF(I$3=0,K26-(G26/C26)*K26*S$13,IF(OPFOKLEGHEN!$H$13="Parallel geschakeld met warmtewisselaar",K26-(K26-(K26-Q26)/I$4)*(G26/(C26-F26))*S$13,IF(OPFOKLEGHEN!$H$20="ja",K26-(K26-(K26-P26)/I$4)*(G26/(C26-MIN(D26,I$5)))*S$13,K26-(K26-(K26-P26)/I$4)*(G26/(C26-MIN(D26,I$5)))*S$13)))))</f>
        <v>0.43920683020489637</v>
      </c>
      <c r="T26" s="17">
        <f t="shared" si="21"/>
        <v>0.43920683020489637</v>
      </c>
      <c r="U26" s="6" t="e">
        <f t="shared" si="22"/>
        <v>#DIV/0!</v>
      </c>
      <c r="V26" s="129">
        <f>IF(OPFOKLEGHEN!$J$18="nee",H26/C26*K26,IF(OPFOKLEGHEN!$H$20="ja",O26-(K26-Q26)-(K26-S26),Q26-(K26-O26)-(K26-S26)))</f>
        <v>0.43920683020489637</v>
      </c>
      <c r="W26" s="162">
        <f>IF(H26=0,0,IF(OPFOKLEGHEN!$H$11="geen droogtunnel",IF(OPFOKLEGHEN!$H$15="geen warmtewisselaar",Q26-(K26-R26)))+IF(OPFOKLEGHEN!$H$12&gt;0,IF(OPFOKLEGHEN!$H$13="serie geschakeld met warmtewisselaar",(O26*80%-(K26-S26)),(Q26-(K26-S26)-(K26-T26))),(N26-(K26-S26))))</f>
        <v>0.87841366040979274</v>
      </c>
      <c r="X26" s="162">
        <f>IF(H26=0,0,IF(OPFOKLEGHEN!$H$11="geen droogtunnel",IF(OPFOKLEGHEN!$H$15="geen warmtewisselaar",Q26-(K26-R26)))+IF(OPFOKLEGHEN!$H$12&gt;0,IF(OPFOKLEGHEN!$H$13="serie geschakeld met warmtewisselaar",3*(O26*80%-(K26-S26)),(Q26-(K26-S26)-(K26-N26))),(N26-(K26-S26))))</f>
        <v>0.87841366040979274</v>
      </c>
      <c r="Y26" s="162">
        <f>IF(H26=0,0,IF(OPFOKLEGHEN!$H$11="geen droogtunnel",IF(OPFOKLEGHEN!$H$15="geen warmtewisselaar",Q26-(K26-R26)))+IF(OPFOKLEGHEN!$H$12&gt;0,IF(OPFOKLEGHEN!$H$13="serie geschakeld met warmtewisselaar",(O26-(K26-S26)),IF(OPFOKLEGHEN!$H$13="parallel geschakeld met warmtewisselaar",IF(OPFOKLEGHEN!$L$9="ja",IF(OPFOKLEGHEN!$J$18="nee",(N26-(K26-Q26)-(K26-S26)),(Q26-(K26-N26/80%)))))),(O26-(K26-S26))))</f>
        <v>0.87841366040979274</v>
      </c>
      <c r="Z26" s="130">
        <f t="shared" si="5"/>
        <v>1</v>
      </c>
      <c r="AA26" s="130"/>
      <c r="AB26" s="130"/>
      <c r="AC26" s="167">
        <f>IF(H26=0,0,IF(OPFOKLEGHEN!$H$11="geen droogtunnel",IF(OPFOKLEGHEN!$H$15="geen warmtewisselaar",(P26-(K26-R26)/R$13),K26-(K26-O26)/I$6-(K26-R26)/95%)+IF(OPFOKLEGHEN!$J$18="ja",(K26-O26)*(1-I$6)),IF(OPFOKLEGHEN!$H$12&gt;=0,IF(OPFOKLEGHEN!$L$9="ja",IF(OPFOKLEGHEN!$J$18="ja",IF(OPFOKLEGHEN!$H$20="ja",O26-(K26-S26),IF(OPFOKLEGHEN!$H$20="nee",(O26-(K26-S26)),(O26-(K26-S26)))),IF(OPFOKLEGHEN!$J$18="nee",IF(OPFOKLEGHEN!$H$20="nee",O26*80%-(K26-S26),0+O26-(K26-S26)))),IF(OPFOKLEGHEN!$L$9="nee",IF(OPFOKLEGHEN!$J$18="nee",IF(OPFOKLEGHEN!$H$20="nee",(O26*80%-(K26-S26)),O26*93%-(K26-S26)),IF(OPFOKLEGHEN!$H$20="nee",IF(OPFOKLEGHEN!$J$18="ja",IF(OPFOKLEGHEN!$L$9="nee",O26-(K26-S26))),O26-(K26-S26))))))))</f>
        <v>0.43920683020489637</v>
      </c>
      <c r="AD26" s="167" t="e">
        <f>IF(H26=0,0,IF(OPFOKLEGHEN!$H$11="geen droogtunnel",IF(OPFOKLEGHEN!$H$15="geen warmtewisselaar",(Q26-(K26-R26)/S$13),N26-(K26-R26)),IF(OPFOKLEGHEN!$H$12&gt;=0,IF(OPFOKLEGHEN!$L$9="ja",IF(OPFOKLEGHEN!$J$18="ja",IF(OPFOKLEGHEN!$H$20="ja",Q26-(K26-N26)-(K26-S26),IF(OPFOKLEGHEN!$H$20="nee",(Q26-(K26-N26)-(K26-S26)),(O26-(K26-S26)))),IF(OPFOKLEGHEN!$J$18="nee",IF(OPFOKLEGHEN!$H$20="nee",1*Q26*$N$135-(K26-N26)-(K26-S26),(Q26-(K26-N26)-(K26-S26))*N$135))),IF(OPFOKLEGHEN!$L$9="nee",IF(OPFOKLEGHEN!$J$18="nee",IF(OPFOKLEGHEN!$H$20="nee",(N26*95%-(K26-Q26)/I$4-(K26-S26)),N26-(K26-Q26)/I$4-(K26-S26)),IF(OPFOKLEGHEN!$H$20="nee",IF(OPFOKLEGHEN!$J$18="ja",IF(OPFOKLEGHEN!$L$9="nee",N26-(K26-Q26)/I$4-(K26-S26))),N26-(K26-Q26)/I$4-(K26-S26))))))))</f>
        <v>#DIV/0!</v>
      </c>
      <c r="AE26" s="29">
        <f t="shared" si="6"/>
        <v>0</v>
      </c>
      <c r="AF26" s="6">
        <f t="shared" si="7"/>
        <v>0.25490709773803089</v>
      </c>
      <c r="AG26" s="6">
        <f t="shared" si="8"/>
        <v>0</v>
      </c>
      <c r="AH26" s="4">
        <f t="shared" si="9"/>
        <v>0</v>
      </c>
      <c r="AI26" s="6">
        <f t="shared" si="19"/>
        <v>0.25490709773803089</v>
      </c>
      <c r="AJ26" s="6">
        <f t="shared" si="10"/>
        <v>0</v>
      </c>
      <c r="AK26" s="4">
        <f t="shared" si="11"/>
        <v>0.19669034895470799</v>
      </c>
      <c r="AL26" s="6">
        <f t="shared" si="12"/>
        <v>5.5151542605637674E-4</v>
      </c>
      <c r="AM26" s="1">
        <v>2</v>
      </c>
      <c r="AN26" s="1">
        <v>11</v>
      </c>
      <c r="AO26" s="5">
        <f t="shared" si="23"/>
        <v>109.39999999999998</v>
      </c>
      <c r="AP26" s="5">
        <f t="shared" si="24"/>
        <v>101.19999999999999</v>
      </c>
      <c r="AQ26" s="5">
        <f t="shared" si="20"/>
        <v>105.29999999999998</v>
      </c>
      <c r="AR26" s="100" t="e">
        <f t="shared" si="13"/>
        <v>#DIV/0!</v>
      </c>
    </row>
    <row r="27" spans="1:44" ht="13" x14ac:dyDescent="0.3">
      <c r="A27" s="1">
        <v>2</v>
      </c>
      <c r="B27" s="1">
        <v>12</v>
      </c>
      <c r="C27" s="4">
        <f t="shared" si="14"/>
        <v>0.20488873537149999</v>
      </c>
      <c r="D27" s="7">
        <f t="shared" si="0"/>
        <v>0</v>
      </c>
      <c r="E27" s="7">
        <f>IF(I$3=0,0,IF(OPFOKLEGHEN!$H$13="parallel geschakeld met warmtewisselaar",0,MIN(I$3,C27)))</f>
        <v>0</v>
      </c>
      <c r="F27" s="7">
        <f>IF(I$3=0,0,IF(OPFOKLEGHEN!$H$13="serie geschakeld met warmtewisselaar",0,IF(C27&lt;$I$3,C27-D27,MIN($I$3,C27-D27))))</f>
        <v>0</v>
      </c>
      <c r="G27" s="137">
        <f>IF(C27&lt;$I$7,MAX(0,C27-D27-E27-F27,IF(OPFOKLEGHEN!$H$15="warmtewisselaar",IF(OPFOKLEGHEN!$H$13="serie geschakeld met warmtewisselaar",MIN(I$7,MAX(0,C27-D27-F27)),MIN(I$7,MAX(0,C27-D27-E27-F27))))),IF(OPFOKLEGHEN!$H$13="parallel geschakeld met warmtewisselaar",MIN(I$7,C27-D27-E27-F27,MIN(I$7,C27-E27-F27)),MIN(I$7,MAX(0,C27-D27-F27))))</f>
        <v>0</v>
      </c>
      <c r="H27" s="7">
        <f>IF(OPFOKLEGHEN!$H$13="parallel geschakeld met warmtewisselaar",IF(OPFOKLEGHEN!$L$9="nee",IF(OPFOKLEGHEN!$J$18="ja",C27-F27-G27,C27-D27-F27-G27),IF(OPFOKLEGHEN!$L$9="ja",IF(OPFOKLEGHEN!$J$18="ja",C27-G27,IF(OPFOKLEGHEN!$J$18="nee",C27-D27-G27)))),IF(OPFOKLEGHEN!$H$13="serie geschakeld met warmtewisselaar",IF(OPFOKLEGHEN!$J$18="ja",C27-G27,C27-D27-F27-G27),C27-D27-F27-G27))</f>
        <v>0.20488873537149999</v>
      </c>
      <c r="I27" s="98">
        <f t="shared" si="15"/>
        <v>0.20488873537149999</v>
      </c>
      <c r="J27" s="99">
        <v>0.25964080488929814</v>
      </c>
      <c r="K27" s="6">
        <f t="shared" si="16"/>
        <v>0.46600989120195435</v>
      </c>
      <c r="L27" s="130">
        <f>SUM(K$16:K27)/$K$137</f>
        <v>4.8343488016999005E-3</v>
      </c>
      <c r="M27" s="6">
        <f t="shared" si="17"/>
        <v>6.383697139752799E-4</v>
      </c>
      <c r="N27" s="6">
        <f t="shared" si="1"/>
        <v>0.46600989120195435</v>
      </c>
      <c r="O27" s="6">
        <f>IF(E27&lt;I$3,P27*(1-I$6*D27/C27),IF(OPFOKLEGHEN!$H$11="droogtunnel (platen) 55%",P27*(1-$I$6)+(C27-D27)/C27*(K27-P27*(1-I$6)),P27*(1-$I$6)+(C27-D27)/C27*(K27-P27*(1-I$6))))</f>
        <v>0.46600989120195435</v>
      </c>
      <c r="P27" s="129">
        <f t="shared" si="2"/>
        <v>0.46600989120195435</v>
      </c>
      <c r="Q27" s="134">
        <f t="shared" si="3"/>
        <v>0.46600989120195435</v>
      </c>
      <c r="R27" s="134">
        <f t="shared" si="18"/>
        <v>0.46600989120195435</v>
      </c>
      <c r="S27" s="199">
        <f>IF(G27&lt;0.1,K27,IF(C27=F27,S27/(1-I$4),IF(I$3=0,K27-(G27/C27)*K27*S$13,IF(OPFOKLEGHEN!$H$13="Parallel geschakeld met warmtewisselaar",K27-(K27-(K27-Q27)/I$4)*(G27/(C27-F27))*S$13,IF(OPFOKLEGHEN!$H$20="ja",K27-(K27-(K27-P27)/I$4)*(G27/(C27-MIN(D27,I$5)))*S$13,K27-(K27-(K27-P27)/I$4)*(G27/(C27-MIN(D27,I$5)))*S$13)))))</f>
        <v>0.46600989120195435</v>
      </c>
      <c r="T27" s="17">
        <f t="shared" si="21"/>
        <v>0.46600989120195435</v>
      </c>
      <c r="U27" s="6" t="e">
        <f t="shared" si="22"/>
        <v>#DIV/0!</v>
      </c>
      <c r="V27" s="129">
        <f>IF(OPFOKLEGHEN!$J$18="nee",H27/C27*K27,IF(OPFOKLEGHEN!$H$20="ja",O27-(K27-Q27)-(K27-S27),Q27-(K27-O27)-(K27-S27)))</f>
        <v>0.46600989120195435</v>
      </c>
      <c r="W27" s="162">
        <f>IF(H27=0,0,IF(OPFOKLEGHEN!$H$11="geen droogtunnel",IF(OPFOKLEGHEN!$H$15="geen warmtewisselaar",Q27-(K27-R27)))+IF(OPFOKLEGHEN!$H$12&gt;0,IF(OPFOKLEGHEN!$H$13="serie geschakeld met warmtewisselaar",(O27*80%-(K27-S27)),(Q27-(K27-S27)-(K27-T27))),(N27-(K27-S27))))</f>
        <v>0.9320197824039087</v>
      </c>
      <c r="X27" s="162">
        <f>IF(H27=0,0,IF(OPFOKLEGHEN!$H$11="geen droogtunnel",IF(OPFOKLEGHEN!$H$15="geen warmtewisselaar",Q27-(K27-R27)))+IF(OPFOKLEGHEN!$H$12&gt;0,IF(OPFOKLEGHEN!$H$13="serie geschakeld met warmtewisselaar",3*(O27*80%-(K27-S27)),(Q27-(K27-S27)-(K27-N27))),(N27-(K27-S27))))</f>
        <v>0.9320197824039087</v>
      </c>
      <c r="Y27" s="162">
        <f>IF(H27=0,0,IF(OPFOKLEGHEN!$H$11="geen droogtunnel",IF(OPFOKLEGHEN!$H$15="geen warmtewisselaar",Q27-(K27-R27)))+IF(OPFOKLEGHEN!$H$12&gt;0,IF(OPFOKLEGHEN!$H$13="serie geschakeld met warmtewisselaar",(O27-(K27-S27)),IF(OPFOKLEGHEN!$H$13="parallel geschakeld met warmtewisselaar",IF(OPFOKLEGHEN!$L$9="ja",IF(OPFOKLEGHEN!$J$18="nee",(N27-(K27-Q27)-(K27-S27)),(Q27-(K27-N27/80%)))))),(O27-(K27-S27))))</f>
        <v>0.9320197824039087</v>
      </c>
      <c r="Z27" s="130">
        <f t="shared" si="5"/>
        <v>1</v>
      </c>
      <c r="AA27" s="130"/>
      <c r="AB27" s="130"/>
      <c r="AC27" s="167">
        <f>IF(H27=0,0,IF(OPFOKLEGHEN!$H$11="geen droogtunnel",IF(OPFOKLEGHEN!$H$15="geen warmtewisselaar",(P27-(K27-R27)/R$13),K27-(K27-O27)/I$6-(K27-R27)/95%)+IF(OPFOKLEGHEN!$J$18="ja",(K27-O27)*(1-I$6)),IF(OPFOKLEGHEN!$H$12&gt;=0,IF(OPFOKLEGHEN!$L$9="ja",IF(OPFOKLEGHEN!$J$18="ja",IF(OPFOKLEGHEN!$H$20="ja",O27-(K27-S27),IF(OPFOKLEGHEN!$H$20="nee",(O27-(K27-S27)),(O27-(K27-S27)))),IF(OPFOKLEGHEN!$J$18="nee",IF(OPFOKLEGHEN!$H$20="nee",O27*80%-(K27-S27),0+O27-(K27-S27)))),IF(OPFOKLEGHEN!$L$9="nee",IF(OPFOKLEGHEN!$J$18="nee",IF(OPFOKLEGHEN!$H$20="nee",(O27*80%-(K27-S27)),O27*93%-(K27-S27)),IF(OPFOKLEGHEN!$H$20="nee",IF(OPFOKLEGHEN!$J$18="ja",IF(OPFOKLEGHEN!$L$9="nee",O27-(K27-S27))),O27-(K27-S27))))))))</f>
        <v>0.46600989120195435</v>
      </c>
      <c r="AD27" s="167" t="e">
        <f>IF(H27=0,0,IF(OPFOKLEGHEN!$H$11="geen droogtunnel",IF(OPFOKLEGHEN!$H$15="geen warmtewisselaar",(Q27-(K27-R27)/S$13),N27-(K27-R27)),IF(OPFOKLEGHEN!$H$12&gt;=0,IF(OPFOKLEGHEN!$L$9="ja",IF(OPFOKLEGHEN!$J$18="ja",IF(OPFOKLEGHEN!$H$20="ja",Q27-(K27-N27)-(K27-S27),IF(OPFOKLEGHEN!$H$20="nee",(Q27-(K27-N27)-(K27-S27)),(O27-(K27-S27)))),IF(OPFOKLEGHEN!$J$18="nee",IF(OPFOKLEGHEN!$H$20="nee",1*Q27*$N$135-(K27-N27)-(K27-S27),(Q27-(K27-N27)-(K27-S27))*N$135))),IF(OPFOKLEGHEN!$L$9="nee",IF(OPFOKLEGHEN!$J$18="nee",IF(OPFOKLEGHEN!$H$20="nee",(N27*95%-(K27-Q27)/I$4-(K27-S27)),N27-(K27-Q27)/I$4-(K27-S27)),IF(OPFOKLEGHEN!$H$20="nee",IF(OPFOKLEGHEN!$J$18="ja",IF(OPFOKLEGHEN!$L$9="nee",N27-(K27-Q27)/I$4-(K27-S27))),N27-(K27-Q27)/I$4-(K27-S27))))))))</f>
        <v>#DIV/0!</v>
      </c>
      <c r="AE27" s="29">
        <f t="shared" si="6"/>
        <v>0</v>
      </c>
      <c r="AF27" s="6">
        <f t="shared" si="7"/>
        <v>0.25964080488929814</v>
      </c>
      <c r="AG27" s="6">
        <f t="shared" si="8"/>
        <v>0</v>
      </c>
      <c r="AH27" s="4">
        <f t="shared" si="9"/>
        <v>0</v>
      </c>
      <c r="AI27" s="6">
        <f t="shared" si="19"/>
        <v>0.25964080488929814</v>
      </c>
      <c r="AJ27" s="6">
        <f t="shared" si="10"/>
        <v>0</v>
      </c>
      <c r="AK27" s="4">
        <f t="shared" si="11"/>
        <v>0.20488873537149999</v>
      </c>
      <c r="AL27" s="6">
        <f t="shared" si="12"/>
        <v>6.383697139752799E-4</v>
      </c>
      <c r="AM27" s="1">
        <v>2</v>
      </c>
      <c r="AN27" s="1">
        <v>12</v>
      </c>
      <c r="AO27" s="5">
        <f t="shared" si="23"/>
        <v>117.99999999999997</v>
      </c>
      <c r="AP27" s="5">
        <f t="shared" si="24"/>
        <v>108.99999999999999</v>
      </c>
      <c r="AQ27" s="5">
        <f t="shared" si="20"/>
        <v>113.49999999999997</v>
      </c>
      <c r="AR27" s="100" t="e">
        <f t="shared" si="13"/>
        <v>#DIV/0!</v>
      </c>
    </row>
    <row r="28" spans="1:44" ht="13" x14ac:dyDescent="0.3">
      <c r="A28" s="1">
        <v>2</v>
      </c>
      <c r="B28" s="1">
        <v>13</v>
      </c>
      <c r="C28" s="4">
        <f t="shared" si="14"/>
        <v>0.213058704550532</v>
      </c>
      <c r="D28" s="7">
        <f t="shared" si="0"/>
        <v>0</v>
      </c>
      <c r="E28" s="7">
        <f>IF(I$3=0,0,IF(OPFOKLEGHEN!$H$13="parallel geschakeld met warmtewisselaar",0,MIN(I$3,C28)))</f>
        <v>0</v>
      </c>
      <c r="F28" s="7">
        <f>IF(I$3=0,0,IF(OPFOKLEGHEN!$H$13="serie geschakeld met warmtewisselaar",0,IF(C28&lt;$I$3,C28-D28,MIN($I$3,C28-D28))))</f>
        <v>0</v>
      </c>
      <c r="G28" s="137">
        <f>IF(C28&lt;$I$7,MAX(0,C28-D28-E28-F28,IF(OPFOKLEGHEN!$H$15="warmtewisselaar",IF(OPFOKLEGHEN!$H$13="serie geschakeld met warmtewisselaar",MIN(I$7,MAX(0,C28-D28-F28)),MIN(I$7,MAX(0,C28-D28-E28-F28))))),IF(OPFOKLEGHEN!$H$13="parallel geschakeld met warmtewisselaar",MIN(I$7,C28-D28-E28-F28,MIN(I$7,C28-E28-F28)),MIN(I$7,MAX(0,C28-D28-F28))))</f>
        <v>0</v>
      </c>
      <c r="H28" s="7">
        <f>IF(OPFOKLEGHEN!$H$13="parallel geschakeld met warmtewisselaar",IF(OPFOKLEGHEN!$L$9="nee",IF(OPFOKLEGHEN!$J$18="ja",C28-F28-G28,C28-D28-F28-G28),IF(OPFOKLEGHEN!$L$9="ja",IF(OPFOKLEGHEN!$J$18="ja",C28-G28,IF(OPFOKLEGHEN!$J$18="nee",C28-D28-G28)))),IF(OPFOKLEGHEN!$H$13="serie geschakeld met warmtewisselaar",IF(OPFOKLEGHEN!$J$18="ja",C28-G28,C28-D28-F28-G28),C28-D28-F28-G28))</f>
        <v>0.213058704550532</v>
      </c>
      <c r="I28" s="98">
        <f t="shared" si="15"/>
        <v>0.213058704550532</v>
      </c>
      <c r="J28" s="99">
        <v>0.26446241851156127</v>
      </c>
      <c r="K28" s="6">
        <f t="shared" si="16"/>
        <v>0.49359113774367519</v>
      </c>
      <c r="L28" s="130">
        <f>SUM(K$16:K28)/$K$137</f>
        <v>5.4123638260924279E-3</v>
      </c>
      <c r="M28" s="6">
        <f t="shared" si="17"/>
        <v>7.324982637748604E-4</v>
      </c>
      <c r="N28" s="6">
        <f t="shared" si="1"/>
        <v>0.49359113774367519</v>
      </c>
      <c r="O28" s="6">
        <f>IF(E28&lt;I$3,P28*(1-I$6*D28/C28),IF(OPFOKLEGHEN!$H$11="droogtunnel (platen) 55%",P28*(1-$I$6)+(C28-D28)/C28*(K28-P28*(1-I$6)),P28*(1-$I$6)+(C28-D28)/C28*(K28-P28*(1-I$6))))</f>
        <v>0.49359113774367519</v>
      </c>
      <c r="P28" s="129">
        <f t="shared" si="2"/>
        <v>0.49359113774367519</v>
      </c>
      <c r="Q28" s="134">
        <f t="shared" si="3"/>
        <v>0.49359113774367519</v>
      </c>
      <c r="R28" s="134">
        <f t="shared" si="18"/>
        <v>0.49359113774367519</v>
      </c>
      <c r="S28" s="199">
        <f>IF(G28&lt;0.1,K28,IF(C28=F28,S28/(1-I$4),IF(I$3=0,K28-(G28/C28)*K28*S$13,IF(OPFOKLEGHEN!$H$13="Parallel geschakeld met warmtewisselaar",K28-(K28-(K28-Q28)/I$4)*(G28/(C28-F28))*S$13,IF(OPFOKLEGHEN!$H$20="ja",K28-(K28-(K28-P28)/I$4)*(G28/(C28-MIN(D28,I$5)))*S$13,K28-(K28-(K28-P28)/I$4)*(G28/(C28-MIN(D28,I$5)))*S$13)))))</f>
        <v>0.49359113774367519</v>
      </c>
      <c r="T28" s="17">
        <f t="shared" si="21"/>
        <v>0.49359113774367519</v>
      </c>
      <c r="U28" s="6" t="e">
        <f t="shared" si="22"/>
        <v>#DIV/0!</v>
      </c>
      <c r="V28" s="129">
        <f>IF(OPFOKLEGHEN!$J$18="nee",H28/C28*K28,IF(OPFOKLEGHEN!$H$20="ja",O28-(K28-Q28)-(K28-S28),Q28-(K28-O28)-(K28-S28)))</f>
        <v>0.49359113774367519</v>
      </c>
      <c r="W28" s="162">
        <f>IF(H28=0,0,IF(OPFOKLEGHEN!$H$11="geen droogtunnel",IF(OPFOKLEGHEN!$H$15="geen warmtewisselaar",Q28-(K28-R28)))+IF(OPFOKLEGHEN!$H$12&gt;0,IF(OPFOKLEGHEN!$H$13="serie geschakeld met warmtewisselaar",(O28*80%-(K28-S28)),(Q28-(K28-S28)-(K28-T28))),(N28-(K28-S28))))</f>
        <v>0.98718227548735038</v>
      </c>
      <c r="X28" s="162">
        <f>IF(H28=0,0,IF(OPFOKLEGHEN!$H$11="geen droogtunnel",IF(OPFOKLEGHEN!$H$15="geen warmtewisselaar",Q28-(K28-R28)))+IF(OPFOKLEGHEN!$H$12&gt;0,IF(OPFOKLEGHEN!$H$13="serie geschakeld met warmtewisselaar",3*(O28*80%-(K28-S28)),(Q28-(K28-S28)-(K28-N28))),(N28-(K28-S28))))</f>
        <v>0.98718227548735038</v>
      </c>
      <c r="Y28" s="162">
        <f>IF(H28=0,0,IF(OPFOKLEGHEN!$H$11="geen droogtunnel",IF(OPFOKLEGHEN!$H$15="geen warmtewisselaar",Q28-(K28-R28)))+IF(OPFOKLEGHEN!$H$12&gt;0,IF(OPFOKLEGHEN!$H$13="serie geschakeld met warmtewisselaar",(O28-(K28-S28)),IF(OPFOKLEGHEN!$H$13="parallel geschakeld met warmtewisselaar",IF(OPFOKLEGHEN!$L$9="ja",IF(OPFOKLEGHEN!$J$18="nee",(N28-(K28-Q28)-(K28-S28)),(Q28-(K28-N28/80%)))))),(O28-(K28-S28))))</f>
        <v>0.98718227548735038</v>
      </c>
      <c r="Z28" s="130">
        <f t="shared" si="5"/>
        <v>1</v>
      </c>
      <c r="AA28" s="130"/>
      <c r="AB28" s="130"/>
      <c r="AC28" s="167">
        <f>IF(H28=0,0,IF(OPFOKLEGHEN!$H$11="geen droogtunnel",IF(OPFOKLEGHEN!$H$15="geen warmtewisselaar",(P28-(K28-R28)/R$13),K28-(K28-O28)/I$6-(K28-R28)/95%)+IF(OPFOKLEGHEN!$J$18="ja",(K28-O28)*(1-I$6)),IF(OPFOKLEGHEN!$H$12&gt;=0,IF(OPFOKLEGHEN!$L$9="ja",IF(OPFOKLEGHEN!$J$18="ja",IF(OPFOKLEGHEN!$H$20="ja",O28-(K28-S28),IF(OPFOKLEGHEN!$H$20="nee",(O28-(K28-S28)),(O28-(K28-S28)))),IF(OPFOKLEGHEN!$J$18="nee",IF(OPFOKLEGHEN!$H$20="nee",O28*80%-(K28-S28),0+O28-(K28-S28)))),IF(OPFOKLEGHEN!$L$9="nee",IF(OPFOKLEGHEN!$J$18="nee",IF(OPFOKLEGHEN!$H$20="nee",(O28*80%-(K28-S28)),O28*93%-(K28-S28)),IF(OPFOKLEGHEN!$H$20="nee",IF(OPFOKLEGHEN!$J$18="ja",IF(OPFOKLEGHEN!$L$9="nee",O28-(K28-S28))),O28-(K28-S28))))))))</f>
        <v>0.49359113774367519</v>
      </c>
      <c r="AD28" s="167" t="e">
        <f>IF(H28=0,0,IF(OPFOKLEGHEN!$H$11="geen droogtunnel",IF(OPFOKLEGHEN!$H$15="geen warmtewisselaar",(Q28-(K28-R28)/S$13),N28-(K28-R28)),IF(OPFOKLEGHEN!$H$12&gt;=0,IF(OPFOKLEGHEN!$L$9="ja",IF(OPFOKLEGHEN!$J$18="ja",IF(OPFOKLEGHEN!$H$20="ja",Q28-(K28-N28)-(K28-S28),IF(OPFOKLEGHEN!$H$20="nee",(Q28-(K28-N28)-(K28-S28)),(O28-(K28-S28)))),IF(OPFOKLEGHEN!$J$18="nee",IF(OPFOKLEGHEN!$H$20="nee",1*Q28*$N$135-(K28-N28)-(K28-S28),(Q28-(K28-N28)-(K28-S28))*N$135))),IF(OPFOKLEGHEN!$L$9="nee",IF(OPFOKLEGHEN!$J$18="nee",IF(OPFOKLEGHEN!$H$20="nee",(N28*95%-(K28-Q28)/I$4-(K28-S28)),N28-(K28-Q28)/I$4-(K28-S28)),IF(OPFOKLEGHEN!$H$20="nee",IF(OPFOKLEGHEN!$J$18="ja",IF(OPFOKLEGHEN!$L$9="nee",N28-(K28-Q28)/I$4-(K28-S28))),N28-(K28-Q28)/I$4-(K28-S28))))))))</f>
        <v>#DIV/0!</v>
      </c>
      <c r="AE28" s="29">
        <f t="shared" si="6"/>
        <v>0</v>
      </c>
      <c r="AF28" s="6">
        <f t="shared" si="7"/>
        <v>0.26446241851156127</v>
      </c>
      <c r="AG28" s="6">
        <f t="shared" si="8"/>
        <v>0</v>
      </c>
      <c r="AH28" s="4">
        <f t="shared" si="9"/>
        <v>0</v>
      </c>
      <c r="AI28" s="6">
        <f t="shared" si="19"/>
        <v>0.26446241851156127</v>
      </c>
      <c r="AJ28" s="6">
        <f t="shared" si="10"/>
        <v>0</v>
      </c>
      <c r="AK28" s="4">
        <f t="shared" si="11"/>
        <v>0.213058704550532</v>
      </c>
      <c r="AL28" s="6">
        <f t="shared" si="12"/>
        <v>7.324982637748604E-4</v>
      </c>
      <c r="AM28" s="1">
        <v>2</v>
      </c>
      <c r="AN28" s="1">
        <v>13</v>
      </c>
      <c r="AO28" s="5">
        <f t="shared" si="23"/>
        <v>126.59999999999997</v>
      </c>
      <c r="AP28" s="5">
        <f t="shared" si="24"/>
        <v>116.79999999999998</v>
      </c>
      <c r="AQ28" s="5">
        <f t="shared" si="20"/>
        <v>121.69999999999997</v>
      </c>
      <c r="AR28" s="100" t="e">
        <f t="shared" si="13"/>
        <v>#DIV/0!</v>
      </c>
    </row>
    <row r="29" spans="1:44" ht="13" x14ac:dyDescent="0.3">
      <c r="A29" s="1">
        <v>2</v>
      </c>
      <c r="B29" s="1">
        <v>14</v>
      </c>
      <c r="C29" s="4">
        <f t="shared" si="14"/>
        <v>0.22130066726499997</v>
      </c>
      <c r="D29" s="7">
        <f t="shared" si="0"/>
        <v>0</v>
      </c>
      <c r="E29" s="7">
        <f>IF(I$3=0,0,IF(OPFOKLEGHEN!$H$13="parallel geschakeld met warmtewisselaar",0,MIN(I$3,C29)))</f>
        <v>0</v>
      </c>
      <c r="F29" s="7">
        <f>IF(I$3=0,0,IF(OPFOKLEGHEN!$H$13="serie geschakeld met warmtewisselaar",0,IF(C29&lt;$I$3,C29-D29,MIN($I$3,C29-D29))))</f>
        <v>0</v>
      </c>
      <c r="G29" s="137">
        <f>IF(C29&lt;$I$7,MAX(0,C29-D29-E29-F29,IF(OPFOKLEGHEN!$H$15="warmtewisselaar",IF(OPFOKLEGHEN!$H$13="serie geschakeld met warmtewisselaar",MIN(I$7,MAX(0,C29-D29-F29)),MIN(I$7,MAX(0,C29-D29-E29-F29))))),IF(OPFOKLEGHEN!$H$13="parallel geschakeld met warmtewisselaar",MIN(I$7,C29-D29-E29-F29,MIN(I$7,C29-E29-F29)),MIN(I$7,MAX(0,C29-D29-F29))))</f>
        <v>0</v>
      </c>
      <c r="H29" s="7">
        <f>IF(OPFOKLEGHEN!$H$13="parallel geschakeld met warmtewisselaar",IF(OPFOKLEGHEN!$L$9="nee",IF(OPFOKLEGHEN!$J$18="ja",C29-F29-G29,C29-D29-F29-G29),IF(OPFOKLEGHEN!$L$9="ja",IF(OPFOKLEGHEN!$J$18="ja",C29-G29,IF(OPFOKLEGHEN!$J$18="nee",C29-D29-G29)))),IF(OPFOKLEGHEN!$H$13="serie geschakeld met warmtewisselaar",IF(OPFOKLEGHEN!$J$18="ja",C29-G29,C29-D29-F29-G29),C29-D29-F29-G29))</f>
        <v>0.22130066726499997</v>
      </c>
      <c r="I29" s="98">
        <f t="shared" si="15"/>
        <v>0.22130066726499997</v>
      </c>
      <c r="J29" s="99">
        <v>0.26937357105638443</v>
      </c>
      <c r="K29" s="6">
        <f t="shared" si="16"/>
        <v>0.52220594692060374</v>
      </c>
      <c r="L29" s="130">
        <f>SUM(K$16:K29)/$K$137</f>
        <v>6.023887940011961E-3</v>
      </c>
      <c r="M29" s="6">
        <f t="shared" si="17"/>
        <v>8.3457571425667263E-4</v>
      </c>
      <c r="N29" s="6">
        <f t="shared" si="1"/>
        <v>0.52220594692060374</v>
      </c>
      <c r="O29" s="6">
        <f>IF(E29&lt;I$3,P29*(1-I$6*D29/C29),IF(OPFOKLEGHEN!$H$11="droogtunnel (platen) 55%",P29*(1-$I$6)+(C29-D29)/C29*(K29-P29*(1-I$6)),P29*(1-$I$6)+(C29-D29)/C29*(K29-P29*(1-I$6))))</f>
        <v>0.52220594692060374</v>
      </c>
      <c r="P29" s="129">
        <f t="shared" si="2"/>
        <v>0.52220594692060374</v>
      </c>
      <c r="Q29" s="134">
        <f t="shared" si="3"/>
        <v>0.52220594692060374</v>
      </c>
      <c r="R29" s="134">
        <f t="shared" si="18"/>
        <v>0.52220594692060374</v>
      </c>
      <c r="S29" s="199">
        <f>IF(G29&lt;0.1,K29,IF(C29=F29,S29/(1-I$4),IF(I$3=0,K29-(G29/C29)*K29*S$13,IF(OPFOKLEGHEN!$H$13="Parallel geschakeld met warmtewisselaar",K29-(K29-(K29-Q29)/I$4)*(G29/(C29-F29))*S$13,IF(OPFOKLEGHEN!$H$20="ja",K29-(K29-(K29-P29)/I$4)*(G29/(C29-MIN(D29,I$5)))*S$13,K29-(K29-(K29-P29)/I$4)*(G29/(C29-MIN(D29,I$5)))*S$13)))))</f>
        <v>0.52220594692060374</v>
      </c>
      <c r="T29" s="17">
        <f t="shared" si="21"/>
        <v>0.52220594692060374</v>
      </c>
      <c r="U29" s="6" t="e">
        <f t="shared" si="22"/>
        <v>#DIV/0!</v>
      </c>
      <c r="V29" s="129">
        <f>IF(OPFOKLEGHEN!$J$18="nee",H29/C29*K29,IF(OPFOKLEGHEN!$H$20="ja",O29-(K29-Q29)-(K29-S29),Q29-(K29-O29)-(K29-S29)))</f>
        <v>0.52220594692060374</v>
      </c>
      <c r="W29" s="162">
        <f>IF(H29=0,0,IF(OPFOKLEGHEN!$H$11="geen droogtunnel",IF(OPFOKLEGHEN!$H$15="geen warmtewisselaar",Q29-(K29-R29)))+IF(OPFOKLEGHEN!$H$12&gt;0,IF(OPFOKLEGHEN!$H$13="serie geschakeld met warmtewisselaar",(O29*80%-(K29-S29)),(Q29-(K29-S29)-(K29-T29))),(N29-(K29-S29))))</f>
        <v>1.0444118938412075</v>
      </c>
      <c r="X29" s="162">
        <f>IF(H29=0,0,IF(OPFOKLEGHEN!$H$11="geen droogtunnel",IF(OPFOKLEGHEN!$H$15="geen warmtewisselaar",Q29-(K29-R29)))+IF(OPFOKLEGHEN!$H$12&gt;0,IF(OPFOKLEGHEN!$H$13="serie geschakeld met warmtewisselaar",3*(O29*80%-(K29-S29)),(Q29-(K29-S29)-(K29-N29))),(N29-(K29-S29))))</f>
        <v>1.0444118938412075</v>
      </c>
      <c r="Y29" s="162">
        <f>IF(H29=0,0,IF(OPFOKLEGHEN!$H$11="geen droogtunnel",IF(OPFOKLEGHEN!$H$15="geen warmtewisselaar",Q29-(K29-R29)))+IF(OPFOKLEGHEN!$H$12&gt;0,IF(OPFOKLEGHEN!$H$13="serie geschakeld met warmtewisselaar",(O29-(K29-S29)),IF(OPFOKLEGHEN!$H$13="parallel geschakeld met warmtewisselaar",IF(OPFOKLEGHEN!$L$9="ja",IF(OPFOKLEGHEN!$J$18="nee",(N29-(K29-Q29)-(K29-S29)),(Q29-(K29-N29/80%)))))),(O29-(K29-S29))))</f>
        <v>1.0444118938412075</v>
      </c>
      <c r="Z29" s="130">
        <f t="shared" si="5"/>
        <v>1</v>
      </c>
      <c r="AA29" s="130"/>
      <c r="AB29" s="130"/>
      <c r="AC29" s="167">
        <f>IF(H29=0,0,IF(OPFOKLEGHEN!$H$11="geen droogtunnel",IF(OPFOKLEGHEN!$H$15="geen warmtewisselaar",(P29-(K29-R29)/R$13),K29-(K29-O29)/I$6-(K29-R29)/95%)+IF(OPFOKLEGHEN!$J$18="ja",(K29-O29)*(1-I$6)),IF(OPFOKLEGHEN!$H$12&gt;=0,IF(OPFOKLEGHEN!$L$9="ja",IF(OPFOKLEGHEN!$J$18="ja",IF(OPFOKLEGHEN!$H$20="ja",O29-(K29-S29),IF(OPFOKLEGHEN!$H$20="nee",(O29-(K29-S29)),(O29-(K29-S29)))),IF(OPFOKLEGHEN!$J$18="nee",IF(OPFOKLEGHEN!$H$20="nee",O29*80%-(K29-S29),0+O29-(K29-S29)))),IF(OPFOKLEGHEN!$L$9="nee",IF(OPFOKLEGHEN!$J$18="nee",IF(OPFOKLEGHEN!$H$20="nee",(O29*80%-(K29-S29)),O29*93%-(K29-S29)),IF(OPFOKLEGHEN!$H$20="nee",IF(OPFOKLEGHEN!$J$18="ja",IF(OPFOKLEGHEN!$L$9="nee",O29-(K29-S29))),O29-(K29-S29))))))))</f>
        <v>0.52220594692060374</v>
      </c>
      <c r="AD29" s="167" t="e">
        <f>IF(H29=0,0,IF(OPFOKLEGHEN!$H$11="geen droogtunnel",IF(OPFOKLEGHEN!$H$15="geen warmtewisselaar",(Q29-(K29-R29)/S$13),N29-(K29-R29)),IF(OPFOKLEGHEN!$H$12&gt;=0,IF(OPFOKLEGHEN!$L$9="ja",IF(OPFOKLEGHEN!$J$18="ja",IF(OPFOKLEGHEN!$H$20="ja",Q29-(K29-N29)-(K29-S29),IF(OPFOKLEGHEN!$H$20="nee",(Q29-(K29-N29)-(K29-S29)),(O29-(K29-S29)))),IF(OPFOKLEGHEN!$J$18="nee",IF(OPFOKLEGHEN!$H$20="nee",1*Q29*$N$135-(K29-N29)-(K29-S29),(Q29-(K29-N29)-(K29-S29))*N$135))),IF(OPFOKLEGHEN!$L$9="nee",IF(OPFOKLEGHEN!$J$18="nee",IF(OPFOKLEGHEN!$H$20="nee",(N29*95%-(K29-Q29)/I$4-(K29-S29)),N29-(K29-Q29)/I$4-(K29-S29)),IF(OPFOKLEGHEN!$H$20="nee",IF(OPFOKLEGHEN!$J$18="ja",IF(OPFOKLEGHEN!$L$9="nee",N29-(K29-Q29)/I$4-(K29-S29))),N29-(K29-Q29)/I$4-(K29-S29))))))))</f>
        <v>#DIV/0!</v>
      </c>
      <c r="AE29" s="29">
        <f t="shared" si="6"/>
        <v>0</v>
      </c>
      <c r="AF29" s="6">
        <f t="shared" si="7"/>
        <v>0.26937357105638443</v>
      </c>
      <c r="AG29" s="6">
        <f t="shared" si="8"/>
        <v>0</v>
      </c>
      <c r="AH29" s="4">
        <f t="shared" si="9"/>
        <v>0</v>
      </c>
      <c r="AI29" s="6">
        <f t="shared" si="19"/>
        <v>0.26937357105638443</v>
      </c>
      <c r="AJ29" s="6">
        <f t="shared" si="10"/>
        <v>0</v>
      </c>
      <c r="AK29" s="4">
        <f t="shared" si="11"/>
        <v>0.22130066726499997</v>
      </c>
      <c r="AL29" s="6">
        <f t="shared" si="12"/>
        <v>8.3457571425667263E-4</v>
      </c>
      <c r="AM29" s="1">
        <v>2</v>
      </c>
      <c r="AN29" s="1">
        <v>14</v>
      </c>
      <c r="AO29" s="5">
        <v>135</v>
      </c>
      <c r="AP29" s="5">
        <v>125</v>
      </c>
      <c r="AQ29" s="5">
        <f t="shared" si="20"/>
        <v>130</v>
      </c>
      <c r="AR29" s="100" t="e">
        <f t="shared" si="13"/>
        <v>#DIV/0!</v>
      </c>
    </row>
    <row r="30" spans="1:44" ht="13" x14ac:dyDescent="0.3">
      <c r="A30" s="1">
        <v>3</v>
      </c>
      <c r="B30" s="1">
        <v>15</v>
      </c>
      <c r="C30" s="4">
        <f t="shared" si="14"/>
        <v>0.23084996955784598</v>
      </c>
      <c r="D30" s="7">
        <f t="shared" si="0"/>
        <v>0</v>
      </c>
      <c r="E30" s="7">
        <f>IF(I$3=0,0,IF(OPFOKLEGHEN!$H$13="parallel geschakeld met warmtewisselaar",0,MIN(I$3,C30)))</f>
        <v>0</v>
      </c>
      <c r="F30" s="7">
        <f>IF(I$3=0,0,IF(OPFOKLEGHEN!$H$13="serie geschakeld met warmtewisselaar",0,IF(C30&lt;$I$3,C30-D30,MIN($I$3,C30-D30))))</f>
        <v>0</v>
      </c>
      <c r="G30" s="137">
        <f>IF(C30&lt;$I$7,MAX(0,C30-D30-E30-F30,IF(OPFOKLEGHEN!$H$15="warmtewisselaar",IF(OPFOKLEGHEN!$H$13="serie geschakeld met warmtewisselaar",MIN(I$7,MAX(0,C30-D30-F30)),MIN(I$7,MAX(0,C30-D30-E30-F30))))),IF(OPFOKLEGHEN!$H$13="parallel geschakeld met warmtewisselaar",MIN(I$7,C30-D30-E30-F30,MIN(I$7,C30-E30-F30)),MIN(I$7,MAX(0,C30-D30-F30))))</f>
        <v>0</v>
      </c>
      <c r="H30" s="7">
        <f>IF(OPFOKLEGHEN!$H$13="parallel geschakeld met warmtewisselaar",IF(OPFOKLEGHEN!$L$9="nee",IF(OPFOKLEGHEN!$J$18="ja",C30-F30-G30,C30-D30-F30-G30),IF(OPFOKLEGHEN!$L$9="ja",IF(OPFOKLEGHEN!$J$18="ja",C30-G30,IF(OPFOKLEGHEN!$J$18="nee",C30-D30-G30)))),IF(OPFOKLEGHEN!$H$13="serie geschakeld met warmtewisselaar",IF(OPFOKLEGHEN!$J$18="ja",C30-G30,C30-D30-F30-G30),C30-D30-F30-G30))</f>
        <v>0.23084996955784598</v>
      </c>
      <c r="I30" s="98">
        <f t="shared" si="15"/>
        <v>0.23084996955784598</v>
      </c>
      <c r="J30" s="99">
        <v>0.27437592529048455</v>
      </c>
      <c r="K30" s="6">
        <f t="shared" si="16"/>
        <v>0.55485554424625627</v>
      </c>
      <c r="L30" s="130">
        <f>SUM(K$16:K30)/$K$137</f>
        <v>6.6736460422499666E-3</v>
      </c>
      <c r="M30" s="6">
        <f t="shared" si="17"/>
        <v>9.5009511001071265E-4</v>
      </c>
      <c r="N30" s="6">
        <f t="shared" si="1"/>
        <v>0.55485554424625627</v>
      </c>
      <c r="O30" s="6">
        <f>IF(E30&lt;I$3,P30*(1-I$6*D30/C30),IF(OPFOKLEGHEN!$H$11="droogtunnel (platen) 55%",P30*(1-$I$6)+(C30-D30)/C30*(K30-P30*(1-I$6)),P30*(1-$I$6)+(C30-D30)/C30*(K30-P30*(1-I$6))))</f>
        <v>0.55485554424625627</v>
      </c>
      <c r="P30" s="129">
        <f t="shared" si="2"/>
        <v>0.55485554424625627</v>
      </c>
      <c r="Q30" s="134">
        <f t="shared" si="3"/>
        <v>0.55485554424625627</v>
      </c>
      <c r="R30" s="134">
        <f t="shared" si="18"/>
        <v>0.55485554424625627</v>
      </c>
      <c r="S30" s="199">
        <f>IF(G30&lt;0.1,K30,IF(C30=F30,S30/(1-I$4),IF(I$3=0,K30-(G30/C30)*K30*S$13,IF(OPFOKLEGHEN!$H$13="Parallel geschakeld met warmtewisselaar",K30-(K30-(K30-Q30)/I$4)*(G30/(C30-F30))*S$13,IF(OPFOKLEGHEN!$H$20="ja",K30-(K30-(K30-P30)/I$4)*(G30/(C30-MIN(D30,I$5)))*S$13,K30-(K30-(K30-P30)/I$4)*(G30/(C30-MIN(D30,I$5)))*S$13)))))</f>
        <v>0.55485554424625627</v>
      </c>
      <c r="T30" s="17">
        <f t="shared" si="21"/>
        <v>0.55485554424625627</v>
      </c>
      <c r="U30" s="6" t="e">
        <f t="shared" si="22"/>
        <v>#DIV/0!</v>
      </c>
      <c r="V30" s="129">
        <f>IF(OPFOKLEGHEN!$J$18="nee",H30/C30*K30,IF(OPFOKLEGHEN!$H$20="ja",O30-(K30-Q30)-(K30-S30),Q30-(K30-O30)-(K30-S30)))</f>
        <v>0.55485554424625627</v>
      </c>
      <c r="W30" s="162">
        <f>IF(H30=0,0,IF(OPFOKLEGHEN!$H$11="geen droogtunnel",IF(OPFOKLEGHEN!$H$15="geen warmtewisselaar",Q30-(K30-R30)))+IF(OPFOKLEGHEN!$H$12&gt;0,IF(OPFOKLEGHEN!$H$13="serie geschakeld met warmtewisselaar",(O30*80%-(K30-S30)),(Q30-(K30-S30)-(K30-T30))),(N30-(K30-S30))))</f>
        <v>1.1097110884925125</v>
      </c>
      <c r="X30" s="162">
        <f>IF(H30=0,0,IF(OPFOKLEGHEN!$H$11="geen droogtunnel",IF(OPFOKLEGHEN!$H$15="geen warmtewisselaar",Q30-(K30-R30)))+IF(OPFOKLEGHEN!$H$12&gt;0,IF(OPFOKLEGHEN!$H$13="serie geschakeld met warmtewisselaar",3*(O30*80%-(K30-S30)),(Q30-(K30-S30)-(K30-N30))),(N30-(K30-S30))))</f>
        <v>1.1097110884925125</v>
      </c>
      <c r="Y30" s="162">
        <f>IF(H30=0,0,IF(OPFOKLEGHEN!$H$11="geen droogtunnel",IF(OPFOKLEGHEN!$H$15="geen warmtewisselaar",Q30-(K30-R30)))+IF(OPFOKLEGHEN!$H$12&gt;0,IF(OPFOKLEGHEN!$H$13="serie geschakeld met warmtewisselaar",(O30-(K30-S30)),IF(OPFOKLEGHEN!$H$13="parallel geschakeld met warmtewisselaar",IF(OPFOKLEGHEN!$L$9="ja",IF(OPFOKLEGHEN!$J$18="nee",(N30-(K30-Q30)-(K30-S30)),(Q30-(K30-N30/80%)))))),(O30-(K30-S30))))</f>
        <v>1.1097110884925125</v>
      </c>
      <c r="Z30" s="130">
        <f t="shared" si="5"/>
        <v>1</v>
      </c>
      <c r="AA30" s="130"/>
      <c r="AB30" s="130"/>
      <c r="AC30" s="167">
        <f>IF(H30=0,0,IF(OPFOKLEGHEN!$H$11="geen droogtunnel",IF(OPFOKLEGHEN!$H$15="geen warmtewisselaar",(P30-(K30-R30)/R$13),K30-(K30-O30)/I$6-(K30-R30)/95%)+IF(OPFOKLEGHEN!$J$18="ja",(K30-O30)*(1-I$6)),IF(OPFOKLEGHEN!$H$12&gt;=0,IF(OPFOKLEGHEN!$L$9="ja",IF(OPFOKLEGHEN!$J$18="ja",IF(OPFOKLEGHEN!$H$20="ja",O30-(K30-S30),IF(OPFOKLEGHEN!$H$20="nee",(O30-(K30-S30)),(O30-(K30-S30)))),IF(OPFOKLEGHEN!$J$18="nee",IF(OPFOKLEGHEN!$H$20="nee",O30*80%-(K30-S30),0+O30-(K30-S30)))),IF(OPFOKLEGHEN!$L$9="nee",IF(OPFOKLEGHEN!$J$18="nee",IF(OPFOKLEGHEN!$H$20="nee",(O30*80%-(K30-S30)),O30*93%-(K30-S30)),IF(OPFOKLEGHEN!$H$20="nee",IF(OPFOKLEGHEN!$J$18="ja",IF(OPFOKLEGHEN!$L$9="nee",O30-(K30-S30))),O30-(K30-S30))))))))</f>
        <v>0.55485554424625627</v>
      </c>
      <c r="AD30" s="167" t="e">
        <f>IF(H30=0,0,IF(OPFOKLEGHEN!$H$11="geen droogtunnel",IF(OPFOKLEGHEN!$H$15="geen warmtewisselaar",(Q30-(K30-R30)/S$13),N30-(K30-R30)),IF(OPFOKLEGHEN!$H$12&gt;=0,IF(OPFOKLEGHEN!$L$9="ja",IF(OPFOKLEGHEN!$J$18="ja",IF(OPFOKLEGHEN!$H$20="ja",Q30-(K30-N30)-(K30-S30),IF(OPFOKLEGHEN!$H$20="nee",(Q30-(K30-N30)-(K30-S30)),(O30-(K30-S30)))),IF(OPFOKLEGHEN!$J$18="nee",IF(OPFOKLEGHEN!$H$20="nee",1*Q30*$N$135-(K30-N30)-(K30-S30),(Q30-(K30-N30)-(K30-S30))*N$135))),IF(OPFOKLEGHEN!$L$9="nee",IF(OPFOKLEGHEN!$J$18="nee",IF(OPFOKLEGHEN!$H$20="nee",(N30*95%-(K30-Q30)/I$4-(K30-S30)),N30-(K30-Q30)/I$4-(K30-S30)),IF(OPFOKLEGHEN!$H$20="nee",IF(OPFOKLEGHEN!$J$18="ja",IF(OPFOKLEGHEN!$L$9="nee",N30-(K30-Q30)/I$4-(K30-S30))),N30-(K30-Q30)/I$4-(K30-S30))))))))</f>
        <v>#DIV/0!</v>
      </c>
      <c r="AE30" s="29">
        <f t="shared" si="6"/>
        <v>0</v>
      </c>
      <c r="AF30" s="6">
        <f t="shared" si="7"/>
        <v>0.27437592529048455</v>
      </c>
      <c r="AG30" s="6">
        <f t="shared" si="8"/>
        <v>0</v>
      </c>
      <c r="AH30" s="4">
        <f t="shared" si="9"/>
        <v>0</v>
      </c>
      <c r="AI30" s="6">
        <f t="shared" si="19"/>
        <v>0.27437592529048455</v>
      </c>
      <c r="AJ30" s="6">
        <f t="shared" si="10"/>
        <v>0</v>
      </c>
      <c r="AK30" s="4">
        <f t="shared" si="11"/>
        <v>0.23084996955784598</v>
      </c>
      <c r="AL30" s="6">
        <f t="shared" si="12"/>
        <v>9.5009511001071265E-4</v>
      </c>
      <c r="AM30" s="1">
        <v>3</v>
      </c>
      <c r="AN30" s="1">
        <v>15</v>
      </c>
      <c r="AO30" s="5">
        <v>145</v>
      </c>
      <c r="AP30" s="5">
        <f t="shared" ref="AP30:AP35" si="25">AP29+9.3</f>
        <v>134.30000000000001</v>
      </c>
      <c r="AQ30" s="5">
        <f t="shared" si="20"/>
        <v>139.65</v>
      </c>
      <c r="AR30" s="100" t="e">
        <f t="shared" si="13"/>
        <v>#DIV/0!</v>
      </c>
    </row>
    <row r="31" spans="1:44" ht="13" x14ac:dyDescent="0.3">
      <c r="A31" s="1">
        <v>3</v>
      </c>
      <c r="B31" s="1">
        <v>16</v>
      </c>
      <c r="C31" s="4">
        <f t="shared" si="14"/>
        <v>0.24036552664062802</v>
      </c>
      <c r="D31" s="7">
        <f t="shared" si="0"/>
        <v>0</v>
      </c>
      <c r="E31" s="7">
        <f>IF(I$3=0,0,IF(OPFOKLEGHEN!$H$13="parallel geschakeld met warmtewisselaar",0,MIN(I$3,C31)))</f>
        <v>0</v>
      </c>
      <c r="F31" s="7">
        <f>IF(I$3=0,0,IF(OPFOKLEGHEN!$H$13="serie geschakeld met warmtewisselaar",0,IF(C31&lt;$I$3,C31-D31,MIN($I$3,C31-D31))))</f>
        <v>0</v>
      </c>
      <c r="G31" s="137">
        <f>IF(C31&lt;$I$7,MAX(0,C31-D31-E31-F31,IF(OPFOKLEGHEN!$H$15="warmtewisselaar",IF(OPFOKLEGHEN!$H$13="serie geschakeld met warmtewisselaar",MIN(I$7,MAX(0,C31-D31-F31)),MIN(I$7,MAX(0,C31-D31-E31-F31))))),IF(OPFOKLEGHEN!$H$13="parallel geschakeld met warmtewisselaar",MIN(I$7,C31-D31-E31-F31,MIN(I$7,C31-E31-F31)),MIN(I$7,MAX(0,C31-D31-F31))))</f>
        <v>0</v>
      </c>
      <c r="H31" s="7">
        <f>IF(OPFOKLEGHEN!$H$13="parallel geschakeld met warmtewisselaar",IF(OPFOKLEGHEN!$L$9="nee",IF(OPFOKLEGHEN!$J$18="ja",C31-F31-G31,C31-D31-F31-G31),IF(OPFOKLEGHEN!$L$9="ja",IF(OPFOKLEGHEN!$J$18="ja",C31-G31,IF(OPFOKLEGHEN!$J$18="nee",C31-D31-G31)))),IF(OPFOKLEGHEN!$H$13="serie geschakeld met warmtewisselaar",IF(OPFOKLEGHEN!$J$18="ja",C31-G31,C31-D31-F31-G31),C31-D31-F31-G31))</f>
        <v>0.24036552664062802</v>
      </c>
      <c r="I31" s="98">
        <f t="shared" si="15"/>
        <v>0.24036552664062802</v>
      </c>
      <c r="J31" s="99">
        <v>0.27947117485869366</v>
      </c>
      <c r="K31" s="6">
        <f t="shared" si="16"/>
        <v>0.58845506846187623</v>
      </c>
      <c r="L31" s="130">
        <f>SUM(K$16:K31)/$K$137</f>
        <v>7.362750535304159E-3</v>
      </c>
      <c r="M31" s="6">
        <f t="shared" si="17"/>
        <v>1.0748037780125592E-3</v>
      </c>
      <c r="N31" s="6">
        <f t="shared" si="1"/>
        <v>0.58845506846187623</v>
      </c>
      <c r="O31" s="6">
        <f>IF(E31&lt;I$3,P31*(1-I$6*D31/C31),IF(OPFOKLEGHEN!$H$11="droogtunnel (platen) 55%",P31*(1-$I$6)+(C31-D31)/C31*(K31-P31*(1-I$6)),P31*(1-$I$6)+(C31-D31)/C31*(K31-P31*(1-I$6))))</f>
        <v>0.58845506846187623</v>
      </c>
      <c r="P31" s="129">
        <f t="shared" si="2"/>
        <v>0.58845506846187623</v>
      </c>
      <c r="Q31" s="134">
        <f t="shared" si="3"/>
        <v>0.58845506846187623</v>
      </c>
      <c r="R31" s="134">
        <f t="shared" si="18"/>
        <v>0.58845506846187623</v>
      </c>
      <c r="S31" s="199">
        <f>IF(G31&lt;0.1,K31,IF(C31=F31,S31/(1-I$4),IF(I$3=0,K31-(G31/C31)*K31*S$13,IF(OPFOKLEGHEN!$H$13="Parallel geschakeld met warmtewisselaar",K31-(K31-(K31-Q31)/I$4)*(G31/(C31-F31))*S$13,IF(OPFOKLEGHEN!$H$20="ja",K31-(K31-(K31-P31)/I$4)*(G31/(C31-MIN(D31,I$5)))*S$13,K31-(K31-(K31-P31)/I$4)*(G31/(C31-MIN(D31,I$5)))*S$13)))))</f>
        <v>0.58845506846187623</v>
      </c>
      <c r="T31" s="17">
        <f t="shared" si="21"/>
        <v>0.58845506846187623</v>
      </c>
      <c r="U31" s="6" t="e">
        <f t="shared" si="22"/>
        <v>#DIV/0!</v>
      </c>
      <c r="V31" s="129">
        <f>IF(OPFOKLEGHEN!$J$18="nee",H31/C31*K31,IF(OPFOKLEGHEN!$H$20="ja",O31-(K31-Q31)-(K31-S31),Q31-(K31-O31)-(K31-S31)))</f>
        <v>0.58845506846187623</v>
      </c>
      <c r="W31" s="162">
        <f>IF(H31=0,0,IF(OPFOKLEGHEN!$H$11="geen droogtunnel",IF(OPFOKLEGHEN!$H$15="geen warmtewisselaar",Q31-(K31-R31)))+IF(OPFOKLEGHEN!$H$12&gt;0,IF(OPFOKLEGHEN!$H$13="serie geschakeld met warmtewisselaar",(O31*80%-(K31-S31)),(Q31-(K31-S31)-(K31-T31))),(N31-(K31-S31))))</f>
        <v>1.1769101369237525</v>
      </c>
      <c r="X31" s="162">
        <f>IF(H31=0,0,IF(OPFOKLEGHEN!$H$11="geen droogtunnel",IF(OPFOKLEGHEN!$H$15="geen warmtewisselaar",Q31-(K31-R31)))+IF(OPFOKLEGHEN!$H$12&gt;0,IF(OPFOKLEGHEN!$H$13="serie geschakeld met warmtewisselaar",3*(O31*80%-(K31-S31)),(Q31-(K31-S31)-(K31-N31))),(N31-(K31-S31))))</f>
        <v>1.1769101369237525</v>
      </c>
      <c r="Y31" s="162">
        <f>IF(H31=0,0,IF(OPFOKLEGHEN!$H$11="geen droogtunnel",IF(OPFOKLEGHEN!$H$15="geen warmtewisselaar",Q31-(K31-R31)))+IF(OPFOKLEGHEN!$H$12&gt;0,IF(OPFOKLEGHEN!$H$13="serie geschakeld met warmtewisselaar",(O31-(K31-S31)),IF(OPFOKLEGHEN!$H$13="parallel geschakeld met warmtewisselaar",IF(OPFOKLEGHEN!$L$9="ja",IF(OPFOKLEGHEN!$J$18="nee",(N31-(K31-Q31)-(K31-S31)),(Q31-(K31-N31/80%)))))),(O31-(K31-S31))))</f>
        <v>1.1769101369237525</v>
      </c>
      <c r="Z31" s="130">
        <f t="shared" si="5"/>
        <v>1</v>
      </c>
      <c r="AA31" s="130"/>
      <c r="AB31" s="130"/>
      <c r="AC31" s="167">
        <f>IF(H31=0,0,IF(OPFOKLEGHEN!$H$11="geen droogtunnel",IF(OPFOKLEGHEN!$H$15="geen warmtewisselaar",(P31-(K31-R31)/R$13),K31-(K31-O31)/I$6-(K31-R31)/95%)+IF(OPFOKLEGHEN!$J$18="ja",(K31-O31)*(1-I$6)),IF(OPFOKLEGHEN!$H$12&gt;=0,IF(OPFOKLEGHEN!$L$9="ja",IF(OPFOKLEGHEN!$J$18="ja",IF(OPFOKLEGHEN!$H$20="ja",O31-(K31-S31),IF(OPFOKLEGHEN!$H$20="nee",(O31-(K31-S31)),(O31-(K31-S31)))),IF(OPFOKLEGHEN!$J$18="nee",IF(OPFOKLEGHEN!$H$20="nee",O31*80%-(K31-S31),0+O31-(K31-S31)))),IF(OPFOKLEGHEN!$L$9="nee",IF(OPFOKLEGHEN!$J$18="nee",IF(OPFOKLEGHEN!$H$20="nee",(O31*80%-(K31-S31)),O31*93%-(K31-S31)),IF(OPFOKLEGHEN!$H$20="nee",IF(OPFOKLEGHEN!$J$18="ja",IF(OPFOKLEGHEN!$L$9="nee",O31-(K31-S31))),O31-(K31-S31))))))))</f>
        <v>0.58845506846187623</v>
      </c>
      <c r="AD31" s="167" t="e">
        <f>IF(H31=0,0,IF(OPFOKLEGHEN!$H$11="geen droogtunnel",IF(OPFOKLEGHEN!$H$15="geen warmtewisselaar",(Q31-(K31-R31)/S$13),N31-(K31-R31)),IF(OPFOKLEGHEN!$H$12&gt;=0,IF(OPFOKLEGHEN!$L$9="ja",IF(OPFOKLEGHEN!$J$18="ja",IF(OPFOKLEGHEN!$H$20="ja",Q31-(K31-N31)-(K31-S31),IF(OPFOKLEGHEN!$H$20="nee",(Q31-(K31-N31)-(K31-S31)),(O31-(K31-S31)))),IF(OPFOKLEGHEN!$J$18="nee",IF(OPFOKLEGHEN!$H$20="nee",1*Q31*$N$135-(K31-N31)-(K31-S31),(Q31-(K31-N31)-(K31-S31))*N$135))),IF(OPFOKLEGHEN!$L$9="nee",IF(OPFOKLEGHEN!$J$18="nee",IF(OPFOKLEGHEN!$H$20="nee",(N31*95%-(K31-Q31)/I$4-(K31-S31)),N31-(K31-Q31)/I$4-(K31-S31)),IF(OPFOKLEGHEN!$H$20="nee",IF(OPFOKLEGHEN!$J$18="ja",IF(OPFOKLEGHEN!$L$9="nee",N31-(K31-Q31)/I$4-(K31-S31))),N31-(K31-Q31)/I$4-(K31-S31))))))))</f>
        <v>#DIV/0!</v>
      </c>
      <c r="AE31" s="29">
        <f t="shared" si="6"/>
        <v>0</v>
      </c>
      <c r="AF31" s="6">
        <f t="shared" si="7"/>
        <v>0.27947117485869366</v>
      </c>
      <c r="AG31" s="6">
        <f t="shared" si="8"/>
        <v>0</v>
      </c>
      <c r="AH31" s="4">
        <f t="shared" si="9"/>
        <v>0</v>
      </c>
      <c r="AI31" s="6">
        <f t="shared" si="19"/>
        <v>0.27947117485869366</v>
      </c>
      <c r="AJ31" s="6">
        <f t="shared" si="10"/>
        <v>0</v>
      </c>
      <c r="AK31" s="4">
        <f t="shared" si="11"/>
        <v>0.24036552664062802</v>
      </c>
      <c r="AL31" s="6">
        <f t="shared" si="12"/>
        <v>1.0748037780125592E-3</v>
      </c>
      <c r="AM31" s="1">
        <v>3</v>
      </c>
      <c r="AN31" s="1">
        <v>16</v>
      </c>
      <c r="AO31" s="5">
        <v>155</v>
      </c>
      <c r="AP31" s="5">
        <f t="shared" si="25"/>
        <v>143.60000000000002</v>
      </c>
      <c r="AQ31" s="5">
        <f t="shared" si="20"/>
        <v>149.30000000000001</v>
      </c>
      <c r="AR31" s="100" t="e">
        <f t="shared" si="13"/>
        <v>#DIV/0!</v>
      </c>
    </row>
    <row r="32" spans="1:44" ht="13" x14ac:dyDescent="0.3">
      <c r="A32" s="1">
        <v>3</v>
      </c>
      <c r="B32" s="1">
        <v>17</v>
      </c>
      <c r="C32" s="4">
        <f t="shared" si="14"/>
        <v>0.24984940896176203</v>
      </c>
      <c r="D32" s="7">
        <f t="shared" si="0"/>
        <v>0</v>
      </c>
      <c r="E32" s="7">
        <f>IF(I$3=0,0,IF(OPFOKLEGHEN!$H$13="parallel geschakeld met warmtewisselaar",0,MIN(I$3,C32)))</f>
        <v>0</v>
      </c>
      <c r="F32" s="7">
        <f>IF(I$3=0,0,IF(OPFOKLEGHEN!$H$13="serie geschakeld met warmtewisselaar",0,IF(C32&lt;$I$3,C32-D32,MIN($I$3,C32-D32))))</f>
        <v>0</v>
      </c>
      <c r="G32" s="137">
        <f>IF(C32&lt;$I$7,MAX(0,C32-D32-E32-F32,IF(OPFOKLEGHEN!$H$15="warmtewisselaar",IF(OPFOKLEGHEN!$H$13="serie geschakeld met warmtewisselaar",MIN(I$7,MAX(0,C32-D32-F32)),MIN(I$7,MAX(0,C32-D32-E32-F32))))),IF(OPFOKLEGHEN!$H$13="parallel geschakeld met warmtewisselaar",MIN(I$7,C32-D32-E32-F32,MIN(I$7,C32-E32-F32)),MIN(I$7,MAX(0,C32-D32-F32))))</f>
        <v>0</v>
      </c>
      <c r="H32" s="7">
        <f>IF(OPFOKLEGHEN!$H$13="parallel geschakeld met warmtewisselaar",IF(OPFOKLEGHEN!$L$9="nee",IF(OPFOKLEGHEN!$J$18="ja",C32-F32-G32,C32-D32-F32-G32),IF(OPFOKLEGHEN!$L$9="ja",IF(OPFOKLEGHEN!$J$18="ja",C32-G32,IF(OPFOKLEGHEN!$J$18="nee",C32-D32-G32)))),IF(OPFOKLEGHEN!$H$13="serie geschakeld met warmtewisselaar",IF(OPFOKLEGHEN!$J$18="ja",C32-G32,C32-D32-F32-G32),C32-D32-F32-G32))</f>
        <v>0.24984940896176203</v>
      </c>
      <c r="I32" s="98">
        <f t="shared" si="15"/>
        <v>0.24984940896176203</v>
      </c>
      <c r="J32" s="99">
        <v>0.28466104485737542</v>
      </c>
      <c r="K32" s="6">
        <f t="shared" si="16"/>
        <v>0.62303216979358322</v>
      </c>
      <c r="L32" s="130">
        <f>SUM(K$16:K32)/$K$137</f>
        <v>8.092346201196322E-3</v>
      </c>
      <c r="M32" s="6">
        <f t="shared" si="17"/>
        <v>1.2090806948048989E-3</v>
      </c>
      <c r="N32" s="6">
        <f t="shared" si="1"/>
        <v>0.62303216979358322</v>
      </c>
      <c r="O32" s="6">
        <f>IF(E32&lt;I$3,P32*(1-I$6*D32/C32),IF(OPFOKLEGHEN!$H$11="droogtunnel (platen) 55%",P32*(1-$I$6)+(C32-D32)/C32*(K32-P32*(1-I$6)),P32*(1-$I$6)+(C32-D32)/C32*(K32-P32*(1-I$6))))</f>
        <v>0.62303216979358322</v>
      </c>
      <c r="P32" s="129">
        <f t="shared" si="2"/>
        <v>0.62303216979358322</v>
      </c>
      <c r="Q32" s="134">
        <f t="shared" si="3"/>
        <v>0.62303216979358322</v>
      </c>
      <c r="R32" s="134">
        <f t="shared" si="18"/>
        <v>0.62303216979358322</v>
      </c>
      <c r="S32" s="199">
        <f>IF(G32&lt;0.1,K32,IF(C32=F32,S32/(1-I$4),IF(I$3=0,K32-(G32/C32)*K32*S$13,IF(OPFOKLEGHEN!$H$13="Parallel geschakeld met warmtewisselaar",K32-(K32-(K32-Q32)/I$4)*(G32/(C32-F32))*S$13,IF(OPFOKLEGHEN!$H$20="ja",K32-(K32-(K32-P32)/I$4)*(G32/(C32-MIN(D32,I$5)))*S$13,K32-(K32-(K32-P32)/I$4)*(G32/(C32-MIN(D32,I$5)))*S$13)))))</f>
        <v>0.62303216979358322</v>
      </c>
      <c r="T32" s="17">
        <f t="shared" si="21"/>
        <v>0.62303216979358322</v>
      </c>
      <c r="U32" s="6" t="e">
        <f t="shared" si="22"/>
        <v>#DIV/0!</v>
      </c>
      <c r="V32" s="129">
        <f>IF(OPFOKLEGHEN!$J$18="nee",H32/C32*K32,IF(OPFOKLEGHEN!$H$20="ja",O32-(K32-Q32)-(K32-S32),Q32-(K32-O32)-(K32-S32)))</f>
        <v>0.62303216979358322</v>
      </c>
      <c r="W32" s="162">
        <f>IF(H32=0,0,IF(OPFOKLEGHEN!$H$11="geen droogtunnel",IF(OPFOKLEGHEN!$H$15="geen warmtewisselaar",Q32-(K32-R32)))+IF(OPFOKLEGHEN!$H$12&gt;0,IF(OPFOKLEGHEN!$H$13="serie geschakeld met warmtewisselaar",(O32*80%-(K32-S32)),(Q32-(K32-S32)-(K32-T32))),(N32-(K32-S32))))</f>
        <v>1.2460643395871664</v>
      </c>
      <c r="X32" s="162">
        <f>IF(H32=0,0,IF(OPFOKLEGHEN!$H$11="geen droogtunnel",IF(OPFOKLEGHEN!$H$15="geen warmtewisselaar",Q32-(K32-R32)))+IF(OPFOKLEGHEN!$H$12&gt;0,IF(OPFOKLEGHEN!$H$13="serie geschakeld met warmtewisselaar",3*(O32*80%-(K32-S32)),(Q32-(K32-S32)-(K32-N32))),(N32-(K32-S32))))</f>
        <v>1.2460643395871664</v>
      </c>
      <c r="Y32" s="162">
        <f>IF(H32=0,0,IF(OPFOKLEGHEN!$H$11="geen droogtunnel",IF(OPFOKLEGHEN!$H$15="geen warmtewisselaar",Q32-(K32-R32)))+IF(OPFOKLEGHEN!$H$12&gt;0,IF(OPFOKLEGHEN!$H$13="serie geschakeld met warmtewisselaar",(O32-(K32-S32)),IF(OPFOKLEGHEN!$H$13="parallel geschakeld met warmtewisselaar",IF(OPFOKLEGHEN!$L$9="ja",IF(OPFOKLEGHEN!$J$18="nee",(N32-(K32-Q32)-(K32-S32)),(Q32-(K32-N32/80%)))))),(O32-(K32-S32))))</f>
        <v>1.2460643395871664</v>
      </c>
      <c r="Z32" s="130">
        <f t="shared" si="5"/>
        <v>1</v>
      </c>
      <c r="AA32" s="130"/>
      <c r="AB32" s="130"/>
      <c r="AC32" s="167">
        <f>IF(H32=0,0,IF(OPFOKLEGHEN!$H$11="geen droogtunnel",IF(OPFOKLEGHEN!$H$15="geen warmtewisselaar",(P32-(K32-R32)/R$13),K32-(K32-O32)/I$6-(K32-R32)/95%)+IF(OPFOKLEGHEN!$J$18="ja",(K32-O32)*(1-I$6)),IF(OPFOKLEGHEN!$H$12&gt;=0,IF(OPFOKLEGHEN!$L$9="ja",IF(OPFOKLEGHEN!$J$18="ja",IF(OPFOKLEGHEN!$H$20="ja",O32-(K32-S32),IF(OPFOKLEGHEN!$H$20="nee",(O32-(K32-S32)),(O32-(K32-S32)))),IF(OPFOKLEGHEN!$J$18="nee",IF(OPFOKLEGHEN!$H$20="nee",O32*80%-(K32-S32),0+O32-(K32-S32)))),IF(OPFOKLEGHEN!$L$9="nee",IF(OPFOKLEGHEN!$J$18="nee",IF(OPFOKLEGHEN!$H$20="nee",(O32*80%-(K32-S32)),O32*93%-(K32-S32)),IF(OPFOKLEGHEN!$H$20="nee",IF(OPFOKLEGHEN!$J$18="ja",IF(OPFOKLEGHEN!$L$9="nee",O32-(K32-S32))),O32-(K32-S32))))))))</f>
        <v>0.62303216979358322</v>
      </c>
      <c r="AD32" s="167" t="e">
        <f>IF(H32=0,0,IF(OPFOKLEGHEN!$H$11="geen droogtunnel",IF(OPFOKLEGHEN!$H$15="geen warmtewisselaar",(Q32-(K32-R32)/S$13),N32-(K32-R32)),IF(OPFOKLEGHEN!$H$12&gt;=0,IF(OPFOKLEGHEN!$L$9="ja",IF(OPFOKLEGHEN!$J$18="ja",IF(OPFOKLEGHEN!$H$20="ja",Q32-(K32-N32)-(K32-S32),IF(OPFOKLEGHEN!$H$20="nee",(Q32-(K32-N32)-(K32-S32)),(O32-(K32-S32)))),IF(OPFOKLEGHEN!$J$18="nee",IF(OPFOKLEGHEN!$H$20="nee",1*Q32*$N$135-(K32-N32)-(K32-S32),(Q32-(K32-N32)-(K32-S32))*N$135))),IF(OPFOKLEGHEN!$L$9="nee",IF(OPFOKLEGHEN!$J$18="nee",IF(OPFOKLEGHEN!$H$20="nee",(N32*95%-(K32-Q32)/I$4-(K32-S32)),N32-(K32-Q32)/I$4-(K32-S32)),IF(OPFOKLEGHEN!$H$20="nee",IF(OPFOKLEGHEN!$J$18="ja",IF(OPFOKLEGHEN!$L$9="nee",N32-(K32-Q32)/I$4-(K32-S32))),N32-(K32-Q32)/I$4-(K32-S32))))))))</f>
        <v>#DIV/0!</v>
      </c>
      <c r="AE32" s="29">
        <f t="shared" si="6"/>
        <v>0</v>
      </c>
      <c r="AF32" s="6">
        <f t="shared" si="7"/>
        <v>0.28466104485737542</v>
      </c>
      <c r="AG32" s="6">
        <f t="shared" si="8"/>
        <v>0</v>
      </c>
      <c r="AH32" s="4">
        <f t="shared" si="9"/>
        <v>0</v>
      </c>
      <c r="AI32" s="6">
        <f t="shared" si="19"/>
        <v>0.28466104485737542</v>
      </c>
      <c r="AJ32" s="6">
        <f t="shared" si="10"/>
        <v>0</v>
      </c>
      <c r="AK32" s="4">
        <f t="shared" si="11"/>
        <v>0.24984940896176203</v>
      </c>
      <c r="AL32" s="6">
        <f t="shared" si="12"/>
        <v>1.2090806948048989E-3</v>
      </c>
      <c r="AM32" s="1">
        <v>3</v>
      </c>
      <c r="AN32" s="1">
        <v>17</v>
      </c>
      <c r="AO32" s="5">
        <v>165</v>
      </c>
      <c r="AP32" s="5">
        <f t="shared" si="25"/>
        <v>152.90000000000003</v>
      </c>
      <c r="AQ32" s="5">
        <f t="shared" si="20"/>
        <v>158.95000000000002</v>
      </c>
      <c r="AR32" s="100" t="e">
        <f t="shared" si="13"/>
        <v>#DIV/0!</v>
      </c>
    </row>
    <row r="33" spans="1:45" ht="13" x14ac:dyDescent="0.3">
      <c r="A33" s="1">
        <v>3</v>
      </c>
      <c r="B33" s="1">
        <v>18</v>
      </c>
      <c r="C33" s="4">
        <f t="shared" si="14"/>
        <v>0.25930368696966399</v>
      </c>
      <c r="D33" s="7">
        <f t="shared" si="0"/>
        <v>0</v>
      </c>
      <c r="E33" s="7">
        <f>IF(I$3=0,0,IF(OPFOKLEGHEN!$H$13="parallel geschakeld met warmtewisselaar",0,MIN(I$3,C33)))</f>
        <v>0</v>
      </c>
      <c r="F33" s="7">
        <f>IF(I$3=0,0,IF(OPFOKLEGHEN!$H$13="serie geschakeld met warmtewisselaar",0,IF(C33&lt;$I$3,C33-D33,MIN($I$3,C33-D33))))</f>
        <v>0</v>
      </c>
      <c r="G33" s="137">
        <f>IF(C33&lt;$I$7,MAX(0,C33-D33-E33-F33,IF(OPFOKLEGHEN!$H$15="warmtewisselaar",IF(OPFOKLEGHEN!$H$13="serie geschakeld met warmtewisselaar",MIN(I$7,MAX(0,C33-D33-F33)),MIN(I$7,MAX(0,C33-D33-E33-F33))))),IF(OPFOKLEGHEN!$H$13="parallel geschakeld met warmtewisselaar",MIN(I$7,C33-D33-E33-F33,MIN(I$7,C33-E33-F33)),MIN(I$7,MAX(0,C33-D33-F33))))</f>
        <v>0</v>
      </c>
      <c r="H33" s="7">
        <f>IF(OPFOKLEGHEN!$H$13="parallel geschakeld met warmtewisselaar",IF(OPFOKLEGHEN!$L$9="nee",IF(OPFOKLEGHEN!$J$18="ja",C33-F33-G33,C33-D33-F33-G33),IF(OPFOKLEGHEN!$L$9="ja",IF(OPFOKLEGHEN!$J$18="ja",C33-G33,IF(OPFOKLEGHEN!$J$18="nee",C33-D33-G33)))),IF(OPFOKLEGHEN!$H$13="serie geschakeld met warmtewisselaar",IF(OPFOKLEGHEN!$J$18="ja",C33-G33,C33-D33-F33-G33),C33-D33-F33-G33))</f>
        <v>0.25930368696966399</v>
      </c>
      <c r="I33" s="98">
        <f t="shared" si="15"/>
        <v>0.25930368696966399</v>
      </c>
      <c r="J33" s="99">
        <v>0.28994729241849049</v>
      </c>
      <c r="K33" s="6">
        <f t="shared" si="16"/>
        <v>0.65861536109063634</v>
      </c>
      <c r="L33" s="130">
        <f>SUM(K$16:K33)/$K$137</f>
        <v>8.8636112116386116E-3</v>
      </c>
      <c r="M33" s="6">
        <f t="shared" si="17"/>
        <v>1.353319235117746E-3</v>
      </c>
      <c r="N33" s="6">
        <f t="shared" si="1"/>
        <v>0.65861536109063634</v>
      </c>
      <c r="O33" s="6">
        <f>IF(E33&lt;I$3,P33*(1-I$6*D33/C33),IF(OPFOKLEGHEN!$H$11="droogtunnel (platen) 55%",P33*(1-$I$6)+(C33-D33)/C33*(K33-P33*(1-I$6)),P33*(1-$I$6)+(C33-D33)/C33*(K33-P33*(1-I$6))))</f>
        <v>0.65861536109063634</v>
      </c>
      <c r="P33" s="129">
        <f t="shared" si="2"/>
        <v>0.65861536109063634</v>
      </c>
      <c r="Q33" s="134">
        <f t="shared" si="3"/>
        <v>0.65861536109063634</v>
      </c>
      <c r="R33" s="134">
        <f t="shared" si="18"/>
        <v>0.65861536109063634</v>
      </c>
      <c r="S33" s="199">
        <f>IF(G33&lt;0.1,K33,IF(C33=F33,S33/(1-I$4),IF(I$3=0,K33-(G33/C33)*K33*S$13,IF(OPFOKLEGHEN!$H$13="Parallel geschakeld met warmtewisselaar",K33-(K33-(K33-Q33)/I$4)*(G33/(C33-F33))*S$13,IF(OPFOKLEGHEN!$H$20="ja",K33-(K33-(K33-P33)/I$4)*(G33/(C33-MIN(D33,I$5)))*S$13,K33-(K33-(K33-P33)/I$4)*(G33/(C33-MIN(D33,I$5)))*S$13)))))</f>
        <v>0.65861536109063634</v>
      </c>
      <c r="T33" s="17">
        <f t="shared" si="21"/>
        <v>0.65861536109063634</v>
      </c>
      <c r="U33" s="6" t="e">
        <f t="shared" si="22"/>
        <v>#DIV/0!</v>
      </c>
      <c r="V33" s="129">
        <f>IF(OPFOKLEGHEN!$J$18="nee",H33/C33*K33,IF(OPFOKLEGHEN!$H$20="ja",O33-(K33-Q33)-(K33-S33),Q33-(K33-O33)-(K33-S33)))</f>
        <v>0.65861536109063634</v>
      </c>
      <c r="W33" s="162">
        <f>IF(H33=0,0,IF(OPFOKLEGHEN!$H$11="geen droogtunnel",IF(OPFOKLEGHEN!$H$15="geen warmtewisselaar",Q33-(K33-R33)))+IF(OPFOKLEGHEN!$H$12&gt;0,IF(OPFOKLEGHEN!$H$13="serie geschakeld met warmtewisselaar",(O33*80%-(K33-S33)),(Q33-(K33-S33)-(K33-T33))),(N33-(K33-S33))))</f>
        <v>1.3172307221812727</v>
      </c>
      <c r="X33" s="162">
        <f>IF(H33=0,0,IF(OPFOKLEGHEN!$H$11="geen droogtunnel",IF(OPFOKLEGHEN!$H$15="geen warmtewisselaar",Q33-(K33-R33)))+IF(OPFOKLEGHEN!$H$12&gt;0,IF(OPFOKLEGHEN!$H$13="serie geschakeld met warmtewisselaar",3*(O33*80%-(K33-S33)),(Q33-(K33-S33)-(K33-N33))),(N33-(K33-S33))))</f>
        <v>1.3172307221812727</v>
      </c>
      <c r="Y33" s="162">
        <f>IF(H33=0,0,IF(OPFOKLEGHEN!$H$11="geen droogtunnel",IF(OPFOKLEGHEN!$H$15="geen warmtewisselaar",Q33-(K33-R33)))+IF(OPFOKLEGHEN!$H$12&gt;0,IF(OPFOKLEGHEN!$H$13="serie geschakeld met warmtewisselaar",(O33-(K33-S33)),IF(OPFOKLEGHEN!$H$13="parallel geschakeld met warmtewisselaar",IF(OPFOKLEGHEN!$L$9="ja",IF(OPFOKLEGHEN!$J$18="nee",(N33-(K33-Q33)-(K33-S33)),(Q33-(K33-N33/80%)))))),(O33-(K33-S33))))</f>
        <v>1.3172307221812727</v>
      </c>
      <c r="Z33" s="130">
        <f t="shared" si="5"/>
        <v>1</v>
      </c>
      <c r="AA33" s="130"/>
      <c r="AB33" s="130"/>
      <c r="AC33" s="167">
        <f>IF(H33=0,0,IF(OPFOKLEGHEN!$H$11="geen droogtunnel",IF(OPFOKLEGHEN!$H$15="geen warmtewisselaar",(P33-(K33-R33)/R$13),K33-(K33-O33)/I$6-(K33-R33)/95%)+IF(OPFOKLEGHEN!$J$18="ja",(K33-O33)*(1-I$6)),IF(OPFOKLEGHEN!$H$12&gt;=0,IF(OPFOKLEGHEN!$L$9="ja",IF(OPFOKLEGHEN!$J$18="ja",IF(OPFOKLEGHEN!$H$20="ja",O33-(K33-S33),IF(OPFOKLEGHEN!$H$20="nee",(O33-(K33-S33)),(O33-(K33-S33)))),IF(OPFOKLEGHEN!$J$18="nee",IF(OPFOKLEGHEN!$H$20="nee",O33*80%-(K33-S33),0+O33-(K33-S33)))),IF(OPFOKLEGHEN!$L$9="nee",IF(OPFOKLEGHEN!$J$18="nee",IF(OPFOKLEGHEN!$H$20="nee",(O33*80%-(K33-S33)),O33*93%-(K33-S33)),IF(OPFOKLEGHEN!$H$20="nee",IF(OPFOKLEGHEN!$J$18="ja",IF(OPFOKLEGHEN!$L$9="nee",O33-(K33-S33))),O33-(K33-S33))))))))</f>
        <v>0.65861536109063634</v>
      </c>
      <c r="AD33" s="167" t="e">
        <f>IF(H33=0,0,IF(OPFOKLEGHEN!$H$11="geen droogtunnel",IF(OPFOKLEGHEN!$H$15="geen warmtewisselaar",(Q33-(K33-R33)/S$13),N33-(K33-R33)),IF(OPFOKLEGHEN!$H$12&gt;=0,IF(OPFOKLEGHEN!$L$9="ja",IF(OPFOKLEGHEN!$J$18="ja",IF(OPFOKLEGHEN!$H$20="ja",Q33-(K33-N33)-(K33-S33),IF(OPFOKLEGHEN!$H$20="nee",(Q33-(K33-N33)-(K33-S33)),(O33-(K33-S33)))),IF(OPFOKLEGHEN!$J$18="nee",IF(OPFOKLEGHEN!$H$20="nee",1*Q33*$N$135-(K33-N33)-(K33-S33),(Q33-(K33-N33)-(K33-S33))*N$135))),IF(OPFOKLEGHEN!$L$9="nee",IF(OPFOKLEGHEN!$J$18="nee",IF(OPFOKLEGHEN!$H$20="nee",(N33*95%-(K33-Q33)/I$4-(K33-S33)),N33-(K33-Q33)/I$4-(K33-S33)),IF(OPFOKLEGHEN!$H$20="nee",IF(OPFOKLEGHEN!$J$18="ja",IF(OPFOKLEGHEN!$L$9="nee",N33-(K33-Q33)/I$4-(K33-S33))),N33-(K33-Q33)/I$4-(K33-S33))))))))</f>
        <v>#DIV/0!</v>
      </c>
      <c r="AE33" s="29">
        <f t="shared" si="6"/>
        <v>0</v>
      </c>
      <c r="AF33" s="6">
        <f t="shared" si="7"/>
        <v>0.28994729241849049</v>
      </c>
      <c r="AG33" s="6">
        <f t="shared" si="8"/>
        <v>0</v>
      </c>
      <c r="AH33" s="4">
        <f t="shared" si="9"/>
        <v>0</v>
      </c>
      <c r="AI33" s="6">
        <f t="shared" si="19"/>
        <v>0.28994729241849049</v>
      </c>
      <c r="AJ33" s="6">
        <f t="shared" si="10"/>
        <v>0</v>
      </c>
      <c r="AK33" s="4">
        <f t="shared" si="11"/>
        <v>0.25930368696966399</v>
      </c>
      <c r="AL33" s="6">
        <f t="shared" si="12"/>
        <v>1.353319235117746E-3</v>
      </c>
      <c r="AM33" s="1">
        <v>3</v>
      </c>
      <c r="AN33" s="1">
        <v>18</v>
      </c>
      <c r="AO33" s="5">
        <v>175</v>
      </c>
      <c r="AP33" s="5">
        <f t="shared" si="25"/>
        <v>162.20000000000005</v>
      </c>
      <c r="AQ33" s="5">
        <f t="shared" si="20"/>
        <v>168.60000000000002</v>
      </c>
      <c r="AR33" s="100" t="e">
        <f t="shared" si="13"/>
        <v>#DIV/0!</v>
      </c>
    </row>
    <row r="34" spans="1:45" ht="13" x14ac:dyDescent="0.3">
      <c r="A34" s="1">
        <v>3</v>
      </c>
      <c r="B34" s="1">
        <v>19</v>
      </c>
      <c r="C34" s="4">
        <f t="shared" si="14"/>
        <v>0.26873043111275002</v>
      </c>
      <c r="D34" s="7">
        <f t="shared" si="0"/>
        <v>0</v>
      </c>
      <c r="E34" s="7">
        <f>IF(I$3=0,0,IF(OPFOKLEGHEN!$H$13="parallel geschakeld met warmtewisselaar",0,MIN(I$3,C34)))</f>
        <v>0</v>
      </c>
      <c r="F34" s="7">
        <f>IF(I$3=0,0,IF(OPFOKLEGHEN!$H$13="serie geschakeld met warmtewisselaar",0,IF(C34&lt;$I$3,C34-D34,MIN($I$3,C34-D34))))</f>
        <v>0</v>
      </c>
      <c r="G34" s="137">
        <f>IF(C34&lt;$I$7,MAX(0,C34-D34-E34-F34,IF(OPFOKLEGHEN!$H$15="warmtewisselaar",IF(OPFOKLEGHEN!$H$13="serie geschakeld met warmtewisselaar",MIN(I$7,MAX(0,C34-D34-F34)),MIN(I$7,MAX(0,C34-D34-E34-F34))))),IF(OPFOKLEGHEN!$H$13="parallel geschakeld met warmtewisselaar",MIN(I$7,C34-D34-E34-F34,MIN(I$7,C34-E34-F34)),MIN(I$7,MAX(0,C34-D34-F34))))</f>
        <v>0</v>
      </c>
      <c r="H34" s="7">
        <f>IF(OPFOKLEGHEN!$H$13="parallel geschakeld met warmtewisselaar",IF(OPFOKLEGHEN!$L$9="nee",IF(OPFOKLEGHEN!$J$18="ja",C34-F34-G34,C34-D34-F34-G34),IF(OPFOKLEGHEN!$L$9="ja",IF(OPFOKLEGHEN!$J$18="ja",C34-G34,IF(OPFOKLEGHEN!$J$18="nee",C34-D34-G34)))),IF(OPFOKLEGHEN!$H$13="serie geschakeld met warmtewisselaar",IF(OPFOKLEGHEN!$J$18="ja",C34-G34,C34-D34-F34-G34),C34-D34-F34-G34))</f>
        <v>0.26873043111275002</v>
      </c>
      <c r="I34" s="98">
        <f t="shared" si="15"/>
        <v>0.26873043111275002</v>
      </c>
      <c r="J34" s="99">
        <v>0.29533170730450725</v>
      </c>
      <c r="K34" s="6">
        <f t="shared" si="16"/>
        <v>0.69523404514079346</v>
      </c>
      <c r="L34" s="130">
        <f>SUM(K$16:K34)/$K$137</f>
        <v>9.6777581701872409E-3</v>
      </c>
      <c r="M34" s="6">
        <f t="shared" si="17"/>
        <v>1.5079277234788899E-3</v>
      </c>
      <c r="N34" s="6">
        <f t="shared" si="1"/>
        <v>0.69523404514079346</v>
      </c>
      <c r="O34" s="6">
        <f>IF(E34&lt;I$3,P34*(1-I$6*D34/C34),IF(OPFOKLEGHEN!$H$11="droogtunnel (platen) 55%",P34*(1-$I$6)+(C34-D34)/C34*(K34-P34*(1-I$6)),P34*(1-$I$6)+(C34-D34)/C34*(K34-P34*(1-I$6))))</f>
        <v>0.69523404514079346</v>
      </c>
      <c r="P34" s="129">
        <f t="shared" si="2"/>
        <v>0.69523404514079346</v>
      </c>
      <c r="Q34" s="134">
        <f t="shared" si="3"/>
        <v>0.69523404514079346</v>
      </c>
      <c r="R34" s="134">
        <f t="shared" si="18"/>
        <v>0.69523404514079346</v>
      </c>
      <c r="S34" s="199">
        <f>IF(G34&lt;0.1,K34,IF(C34=F34,S34/(1-I$4),IF(I$3=0,K34-(G34/C34)*K34*S$13,IF(OPFOKLEGHEN!$H$13="Parallel geschakeld met warmtewisselaar",K34-(K34-(K34-Q34)/I$4)*(G34/(C34-F34))*S$13,IF(OPFOKLEGHEN!$H$20="ja",K34-(K34-(K34-P34)/I$4)*(G34/(C34-MIN(D34,I$5)))*S$13,K34-(K34-(K34-P34)/I$4)*(G34/(C34-MIN(D34,I$5)))*S$13)))))</f>
        <v>0.69523404514079346</v>
      </c>
      <c r="T34" s="17">
        <f t="shared" si="21"/>
        <v>0.69523404514079346</v>
      </c>
      <c r="U34" s="6" t="e">
        <f t="shared" si="22"/>
        <v>#DIV/0!</v>
      </c>
      <c r="V34" s="129">
        <f>IF(OPFOKLEGHEN!$J$18="nee",H34/C34*K34,IF(OPFOKLEGHEN!$H$20="ja",O34-(K34-Q34)-(K34-S34),Q34-(K34-O34)-(K34-S34)))</f>
        <v>0.69523404514079346</v>
      </c>
      <c r="W34" s="162">
        <f>IF(H34=0,0,IF(OPFOKLEGHEN!$H$11="geen droogtunnel",IF(OPFOKLEGHEN!$H$15="geen warmtewisselaar",Q34-(K34-R34)))+IF(OPFOKLEGHEN!$H$12&gt;0,IF(OPFOKLEGHEN!$H$13="serie geschakeld met warmtewisselaar",(O34*80%-(K34-S34)),(Q34-(K34-S34)-(K34-T34))),(N34-(K34-S34))))</f>
        <v>1.3904680902815869</v>
      </c>
      <c r="X34" s="162">
        <f>IF(H34=0,0,IF(OPFOKLEGHEN!$H$11="geen droogtunnel",IF(OPFOKLEGHEN!$H$15="geen warmtewisselaar",Q34-(K34-R34)))+IF(OPFOKLEGHEN!$H$12&gt;0,IF(OPFOKLEGHEN!$H$13="serie geschakeld met warmtewisselaar",3*(O34*80%-(K34-S34)),(Q34-(K34-S34)-(K34-N34))),(N34-(K34-S34))))</f>
        <v>1.3904680902815869</v>
      </c>
      <c r="Y34" s="162">
        <f>IF(H34=0,0,IF(OPFOKLEGHEN!$H$11="geen droogtunnel",IF(OPFOKLEGHEN!$H$15="geen warmtewisselaar",Q34-(K34-R34)))+IF(OPFOKLEGHEN!$H$12&gt;0,IF(OPFOKLEGHEN!$H$13="serie geschakeld met warmtewisselaar",(O34-(K34-S34)),IF(OPFOKLEGHEN!$H$13="parallel geschakeld met warmtewisselaar",IF(OPFOKLEGHEN!$L$9="ja",IF(OPFOKLEGHEN!$J$18="nee",(N34-(K34-Q34)-(K34-S34)),(Q34-(K34-N34/80%)))))),(O34-(K34-S34))))</f>
        <v>1.3904680902815869</v>
      </c>
      <c r="Z34" s="130">
        <f t="shared" si="5"/>
        <v>1</v>
      </c>
      <c r="AA34" s="130"/>
      <c r="AB34" s="130"/>
      <c r="AC34" s="167">
        <f>IF(H34=0,0,IF(OPFOKLEGHEN!$H$11="geen droogtunnel",IF(OPFOKLEGHEN!$H$15="geen warmtewisselaar",(P34-(K34-R34)/R$13),K34-(K34-O34)/I$6-(K34-R34)/95%)+IF(OPFOKLEGHEN!$J$18="ja",(K34-O34)*(1-I$6)),IF(OPFOKLEGHEN!$H$12&gt;=0,IF(OPFOKLEGHEN!$L$9="ja",IF(OPFOKLEGHEN!$J$18="ja",IF(OPFOKLEGHEN!$H$20="ja",O34-(K34-S34),IF(OPFOKLEGHEN!$H$20="nee",(O34-(K34-S34)),(O34-(K34-S34)))),IF(OPFOKLEGHEN!$J$18="nee",IF(OPFOKLEGHEN!$H$20="nee",O34*80%-(K34-S34),0+O34-(K34-S34)))),IF(OPFOKLEGHEN!$L$9="nee",IF(OPFOKLEGHEN!$J$18="nee",IF(OPFOKLEGHEN!$H$20="nee",(O34*80%-(K34-S34)),O34*93%-(K34-S34)),IF(OPFOKLEGHEN!$H$20="nee",IF(OPFOKLEGHEN!$J$18="ja",IF(OPFOKLEGHEN!$L$9="nee",O34-(K34-S34))),O34-(K34-S34))))))))</f>
        <v>0.69523404514079346</v>
      </c>
      <c r="AD34" s="167" t="e">
        <f>IF(H34=0,0,IF(OPFOKLEGHEN!$H$11="geen droogtunnel",IF(OPFOKLEGHEN!$H$15="geen warmtewisselaar",(Q34-(K34-R34)/S$13),N34-(K34-R34)),IF(OPFOKLEGHEN!$H$12&gt;=0,IF(OPFOKLEGHEN!$L$9="ja",IF(OPFOKLEGHEN!$J$18="ja",IF(OPFOKLEGHEN!$H$20="ja",Q34-(K34-N34)-(K34-S34),IF(OPFOKLEGHEN!$H$20="nee",(Q34-(K34-N34)-(K34-S34)),(O34-(K34-S34)))),IF(OPFOKLEGHEN!$J$18="nee",IF(OPFOKLEGHEN!$H$20="nee",1*Q34*$N$135-(K34-N34)-(K34-S34),(Q34-(K34-N34)-(K34-S34))*N$135))),IF(OPFOKLEGHEN!$L$9="nee",IF(OPFOKLEGHEN!$J$18="nee",IF(OPFOKLEGHEN!$H$20="nee",(N34*95%-(K34-Q34)/I$4-(K34-S34)),N34-(K34-Q34)/I$4-(K34-S34)),IF(OPFOKLEGHEN!$H$20="nee",IF(OPFOKLEGHEN!$J$18="ja",IF(OPFOKLEGHEN!$L$9="nee",N34-(K34-Q34)/I$4-(K34-S34))),N34-(K34-Q34)/I$4-(K34-S34))))))))</f>
        <v>#DIV/0!</v>
      </c>
      <c r="AE34" s="29">
        <f t="shared" si="6"/>
        <v>0</v>
      </c>
      <c r="AF34" s="6">
        <f t="shared" si="7"/>
        <v>0.29533170730450725</v>
      </c>
      <c r="AG34" s="6">
        <f t="shared" si="8"/>
        <v>0</v>
      </c>
      <c r="AH34" s="4">
        <f t="shared" si="9"/>
        <v>0</v>
      </c>
      <c r="AI34" s="6">
        <f t="shared" si="19"/>
        <v>0.29533170730450725</v>
      </c>
      <c r="AJ34" s="6">
        <f t="shared" si="10"/>
        <v>0</v>
      </c>
      <c r="AK34" s="4">
        <f t="shared" si="11"/>
        <v>0.26873043111275002</v>
      </c>
      <c r="AL34" s="6">
        <f t="shared" si="12"/>
        <v>1.5079277234788899E-3</v>
      </c>
      <c r="AM34" s="1">
        <v>3</v>
      </c>
      <c r="AN34" s="1">
        <v>19</v>
      </c>
      <c r="AO34" s="5">
        <v>185</v>
      </c>
      <c r="AP34" s="5">
        <f t="shared" si="25"/>
        <v>171.50000000000006</v>
      </c>
      <c r="AQ34" s="5">
        <f t="shared" si="20"/>
        <v>178.25000000000003</v>
      </c>
      <c r="AR34" s="100" t="e">
        <f t="shared" si="13"/>
        <v>#DIV/0!</v>
      </c>
    </row>
    <row r="35" spans="1:45" ht="13" x14ac:dyDescent="0.3">
      <c r="A35" s="1">
        <v>3</v>
      </c>
      <c r="B35" s="1">
        <v>20</v>
      </c>
      <c r="C35" s="4">
        <f t="shared" si="14"/>
        <v>0.27813171183943602</v>
      </c>
      <c r="D35" s="7">
        <f t="shared" si="0"/>
        <v>0</v>
      </c>
      <c r="E35" s="7">
        <f>IF(I$3=0,0,IF(OPFOKLEGHEN!$H$13="parallel geschakeld met warmtewisselaar",0,MIN(I$3,C35)))</f>
        <v>0</v>
      </c>
      <c r="F35" s="7">
        <f>IF(I$3=0,0,IF(OPFOKLEGHEN!$H$13="serie geschakeld met warmtewisselaar",0,IF(C35&lt;$I$3,C35-D35,MIN($I$3,C35-D35))))</f>
        <v>0</v>
      </c>
      <c r="G35" s="137">
        <f>IF(C35&lt;$I$7,MAX(0,C35-D35-E35-F35,IF(OPFOKLEGHEN!$H$15="warmtewisselaar",IF(OPFOKLEGHEN!$H$13="serie geschakeld met warmtewisselaar",MIN(I$7,MAX(0,C35-D35-F35)),MIN(I$7,MAX(0,C35-D35-E35-F35))))),IF(OPFOKLEGHEN!$H$13="parallel geschakeld met warmtewisselaar",MIN(I$7,C35-D35-E35-F35,MIN(I$7,C35-E35-F35)),MIN(I$7,MAX(0,C35-D35-F35))))</f>
        <v>0</v>
      </c>
      <c r="H35" s="7">
        <f>IF(OPFOKLEGHEN!$H$13="parallel geschakeld met warmtewisselaar",IF(OPFOKLEGHEN!$L$9="nee",IF(OPFOKLEGHEN!$J$18="ja",C35-F35-G35,C35-D35-F35-G35),IF(OPFOKLEGHEN!$L$9="ja",IF(OPFOKLEGHEN!$J$18="ja",C35-G35,IF(OPFOKLEGHEN!$J$18="nee",C35-D35-G35)))),IF(OPFOKLEGHEN!$H$13="serie geschakeld met warmtewisselaar",IF(OPFOKLEGHEN!$J$18="ja",C35-G35,C35-D35-F35-G35),C35-D35-F35-G35))</f>
        <v>0.27813171183943602</v>
      </c>
      <c r="I35" s="98">
        <f t="shared" si="15"/>
        <v>0.27813171183943602</v>
      </c>
      <c r="J35" s="99">
        <v>0.30081611251436158</v>
      </c>
      <c r="K35" s="6">
        <f t="shared" si="16"/>
        <v>0.73291854282513302</v>
      </c>
      <c r="L35" s="130">
        <f>SUM(K$16:K35)/$K$137</f>
        <v>1.0536035187366595E-2</v>
      </c>
      <c r="M35" s="6">
        <f t="shared" si="17"/>
        <v>1.6733300064500755E-3</v>
      </c>
      <c r="N35" s="6">
        <f t="shared" si="1"/>
        <v>0.73291854282513302</v>
      </c>
      <c r="O35" s="6">
        <f>IF(E35&lt;I$3,P35*(1-I$6*D35/C35),IF(OPFOKLEGHEN!$H$11="droogtunnel (platen) 55%",P35*(1-$I$6)+(C35-D35)/C35*(K35-P35*(1-I$6)),P35*(1-$I$6)+(C35-D35)/C35*(K35-P35*(1-I$6))))</f>
        <v>0.73291854282513302</v>
      </c>
      <c r="P35" s="129">
        <f t="shared" si="2"/>
        <v>0.73291854282513302</v>
      </c>
      <c r="Q35" s="134">
        <f t="shared" si="3"/>
        <v>0.73291854282513302</v>
      </c>
      <c r="R35" s="134">
        <f t="shared" si="18"/>
        <v>0.73291854282513302</v>
      </c>
      <c r="S35" s="199">
        <f>IF(G35&lt;0.1,K35,IF(C35=F35,S35/(1-I$4),IF(I$3=0,K35-(G35/C35)*K35*S$13,IF(OPFOKLEGHEN!$H$13="Parallel geschakeld met warmtewisselaar",K35-(K35-(K35-Q35)/I$4)*(G35/(C35-F35))*S$13,IF(OPFOKLEGHEN!$H$20="ja",K35-(K35-(K35-P35)/I$4)*(G35/(C35-MIN(D35,I$5)))*S$13,K35-(K35-(K35-P35)/I$4)*(G35/(C35-MIN(D35,I$5)))*S$13)))))</f>
        <v>0.73291854282513302</v>
      </c>
      <c r="T35" s="17">
        <f t="shared" si="21"/>
        <v>0.73291854282513302</v>
      </c>
      <c r="U35" s="6" t="e">
        <f t="shared" si="22"/>
        <v>#DIV/0!</v>
      </c>
      <c r="V35" s="129">
        <f>IF(OPFOKLEGHEN!$J$18="nee",H35/C35*K35,IF(OPFOKLEGHEN!$H$20="ja",O35-(K35-Q35)-(K35-S35),Q35-(K35-O35)-(K35-S35)))</f>
        <v>0.73291854282513302</v>
      </c>
      <c r="W35" s="162">
        <f>IF(H35=0,0,IF(OPFOKLEGHEN!$H$11="geen droogtunnel",IF(OPFOKLEGHEN!$H$15="geen warmtewisselaar",Q35-(K35-R35)))+IF(OPFOKLEGHEN!$H$12&gt;0,IF(OPFOKLEGHEN!$H$13="serie geschakeld met warmtewisselaar",(O35*80%-(K35-S35)),(Q35-(K35-S35)-(K35-T35))),(N35-(K35-S35))))</f>
        <v>1.465837085650266</v>
      </c>
      <c r="X35" s="162">
        <f>IF(H35=0,0,IF(OPFOKLEGHEN!$H$11="geen droogtunnel",IF(OPFOKLEGHEN!$H$15="geen warmtewisselaar",Q35-(K35-R35)))+IF(OPFOKLEGHEN!$H$12&gt;0,IF(OPFOKLEGHEN!$H$13="serie geschakeld met warmtewisselaar",3*(O35*80%-(K35-S35)),(Q35-(K35-S35)-(K35-N35))),(N35-(K35-S35))))</f>
        <v>1.465837085650266</v>
      </c>
      <c r="Y35" s="162">
        <f>IF(H35=0,0,IF(OPFOKLEGHEN!$H$11="geen droogtunnel",IF(OPFOKLEGHEN!$H$15="geen warmtewisselaar",Q35-(K35-R35)))+IF(OPFOKLEGHEN!$H$12&gt;0,IF(OPFOKLEGHEN!$H$13="serie geschakeld met warmtewisselaar",(O35-(K35-S35)),IF(OPFOKLEGHEN!$H$13="parallel geschakeld met warmtewisselaar",IF(OPFOKLEGHEN!$L$9="ja",IF(OPFOKLEGHEN!$J$18="nee",(N35-(K35-Q35)-(K35-S35)),(Q35-(K35-N35/80%)))))),(O35-(K35-S35))))</f>
        <v>1.465837085650266</v>
      </c>
      <c r="Z35" s="130">
        <f t="shared" si="5"/>
        <v>1</v>
      </c>
      <c r="AA35" s="130"/>
      <c r="AB35" s="130"/>
      <c r="AC35" s="167">
        <f>IF(H35=0,0,IF(OPFOKLEGHEN!$H$11="geen droogtunnel",IF(OPFOKLEGHEN!$H$15="geen warmtewisselaar",(P35-(K35-R35)/R$13),K35-(K35-O35)/I$6-(K35-R35)/95%)+IF(OPFOKLEGHEN!$J$18="ja",(K35-O35)*(1-I$6)),IF(OPFOKLEGHEN!$H$12&gt;=0,IF(OPFOKLEGHEN!$L$9="ja",IF(OPFOKLEGHEN!$J$18="ja",IF(OPFOKLEGHEN!$H$20="ja",O35-(K35-S35),IF(OPFOKLEGHEN!$H$20="nee",(O35-(K35-S35)),(O35-(K35-S35)))),IF(OPFOKLEGHEN!$J$18="nee",IF(OPFOKLEGHEN!$H$20="nee",O35*80%-(K35-S35),0+O35-(K35-S35)))),IF(OPFOKLEGHEN!$L$9="nee",IF(OPFOKLEGHEN!$J$18="nee",IF(OPFOKLEGHEN!$H$20="nee",(O35*80%-(K35-S35)),O35*93%-(K35-S35)),IF(OPFOKLEGHEN!$H$20="nee",IF(OPFOKLEGHEN!$J$18="ja",IF(OPFOKLEGHEN!$L$9="nee",O35-(K35-S35))),O35-(K35-S35))))))))</f>
        <v>0.73291854282513302</v>
      </c>
      <c r="AD35" s="167" t="e">
        <f>IF(H35=0,0,IF(OPFOKLEGHEN!$H$11="geen droogtunnel",IF(OPFOKLEGHEN!$H$15="geen warmtewisselaar",(Q35-(K35-R35)/S$13),N35-(K35-R35)),IF(OPFOKLEGHEN!$H$12&gt;=0,IF(OPFOKLEGHEN!$L$9="ja",IF(OPFOKLEGHEN!$J$18="ja",IF(OPFOKLEGHEN!$H$20="ja",Q35-(K35-N35)-(K35-S35),IF(OPFOKLEGHEN!$H$20="nee",(Q35-(K35-N35)-(K35-S35)),(O35-(K35-S35)))),IF(OPFOKLEGHEN!$J$18="nee",IF(OPFOKLEGHEN!$H$20="nee",1*Q35*$N$135-(K35-N35)-(K35-S35),(Q35-(K35-N35)-(K35-S35))*N$135))),IF(OPFOKLEGHEN!$L$9="nee",IF(OPFOKLEGHEN!$J$18="nee",IF(OPFOKLEGHEN!$H$20="nee",(N35*95%-(K35-Q35)/I$4-(K35-S35)),N35-(K35-Q35)/I$4-(K35-S35)),IF(OPFOKLEGHEN!$H$20="nee",IF(OPFOKLEGHEN!$J$18="ja",IF(OPFOKLEGHEN!$L$9="nee",N35-(K35-Q35)/I$4-(K35-S35))),N35-(K35-Q35)/I$4-(K35-S35))))))))</f>
        <v>#DIV/0!</v>
      </c>
      <c r="AE35" s="29">
        <f t="shared" si="6"/>
        <v>0</v>
      </c>
      <c r="AF35" s="6">
        <f t="shared" si="7"/>
        <v>0.30081611251436158</v>
      </c>
      <c r="AG35" s="6">
        <f t="shared" si="8"/>
        <v>0</v>
      </c>
      <c r="AH35" s="4">
        <f t="shared" si="9"/>
        <v>0</v>
      </c>
      <c r="AI35" s="6">
        <f t="shared" si="19"/>
        <v>0.30081611251436158</v>
      </c>
      <c r="AJ35" s="6">
        <f t="shared" si="10"/>
        <v>0</v>
      </c>
      <c r="AK35" s="4">
        <f t="shared" si="11"/>
        <v>0.27813171183943602</v>
      </c>
      <c r="AL35" s="6">
        <f t="shared" si="12"/>
        <v>1.6733300064500755E-3</v>
      </c>
      <c r="AM35" s="1">
        <v>3</v>
      </c>
      <c r="AN35" s="1">
        <v>20</v>
      </c>
      <c r="AO35" s="5">
        <v>195</v>
      </c>
      <c r="AP35" s="5">
        <f t="shared" si="25"/>
        <v>180.80000000000007</v>
      </c>
      <c r="AQ35" s="5">
        <f t="shared" si="20"/>
        <v>187.90000000000003</v>
      </c>
      <c r="AR35" s="100" t="e">
        <f t="shared" si="13"/>
        <v>#DIV/0!</v>
      </c>
    </row>
    <row r="36" spans="1:45" ht="13" x14ac:dyDescent="0.3">
      <c r="A36" s="1">
        <v>3</v>
      </c>
      <c r="B36" s="1">
        <v>21</v>
      </c>
      <c r="C36" s="4">
        <f t="shared" si="14"/>
        <v>0.28746106624750001</v>
      </c>
      <c r="D36" s="7">
        <f t="shared" si="0"/>
        <v>0</v>
      </c>
      <c r="E36" s="7">
        <f>IF(I$3=0,0,IF(OPFOKLEGHEN!$H$13="parallel geschakeld met warmtewisselaar",0,MIN(I$3,C36)))</f>
        <v>0</v>
      </c>
      <c r="F36" s="7">
        <f>IF(I$3=0,0,IF(OPFOKLEGHEN!$H$13="serie geschakeld met warmtewisselaar",0,IF(C36&lt;$I$3,C36-D36,MIN($I$3,C36-D36))))</f>
        <v>0</v>
      </c>
      <c r="G36" s="137">
        <f>IF(C36&lt;$I$7,MAX(0,C36-D36-E36-F36,IF(OPFOKLEGHEN!$H$15="warmtewisselaar",IF(OPFOKLEGHEN!$H$13="serie geschakeld met warmtewisselaar",MIN(I$7,MAX(0,C36-D36-F36)),MIN(I$7,MAX(0,C36-D36-E36-F36))))),IF(OPFOKLEGHEN!$H$13="parallel geschakeld met warmtewisselaar",MIN(I$7,C36-D36-E36-F36,MIN(I$7,C36-E36-F36)),MIN(I$7,MAX(0,C36-D36-F36))))</f>
        <v>0</v>
      </c>
      <c r="H36" s="7">
        <f>IF(OPFOKLEGHEN!$H$13="parallel geschakeld met warmtewisselaar",IF(OPFOKLEGHEN!$L$9="nee",IF(OPFOKLEGHEN!$J$18="ja",C36-F36-G36,C36-D36-F36-G36),IF(OPFOKLEGHEN!$L$9="ja",IF(OPFOKLEGHEN!$J$18="ja",C36-G36,IF(OPFOKLEGHEN!$J$18="nee",C36-D36-G36)))),IF(OPFOKLEGHEN!$H$13="serie geschakeld met warmtewisselaar",IF(OPFOKLEGHEN!$J$18="ja",C36-G36,C36-D36-F36-G36),C36-D36-F36-G36))</f>
        <v>0.28746106624750001</v>
      </c>
      <c r="I36" s="98">
        <f t="shared" si="15"/>
        <v>0.28746106624750001</v>
      </c>
      <c r="J36" s="99">
        <v>0.30640236490066852</v>
      </c>
      <c r="K36" s="6">
        <f t="shared" si="16"/>
        <v>0.77156985451229132</v>
      </c>
      <c r="L36" s="130">
        <f>SUM(K$16:K36)/$K$137</f>
        <v>1.1439574441161018E-2</v>
      </c>
      <c r="M36" s="6">
        <f t="shared" si="17"/>
        <v>1.8496537608171369E-3</v>
      </c>
      <c r="N36" s="6">
        <f t="shared" si="1"/>
        <v>0.77156985451229132</v>
      </c>
      <c r="O36" s="6">
        <f>IF(E36&lt;I$3,P36*(1-I$6*D36/C36),IF(OPFOKLEGHEN!$H$11="droogtunnel (platen) 55%",P36*(1-$I$6)+(C36-D36)/C36*(K36-P36*(1-I$6)),P36*(1-$I$6)+(C36-D36)/C36*(K36-P36*(1-I$6))))</f>
        <v>0.77156985451229132</v>
      </c>
      <c r="P36" s="129">
        <f t="shared" si="2"/>
        <v>0.77156985451229132</v>
      </c>
      <c r="Q36" s="134">
        <f t="shared" si="3"/>
        <v>0.77156985451229132</v>
      </c>
      <c r="R36" s="134">
        <f t="shared" si="18"/>
        <v>0.77156985451229132</v>
      </c>
      <c r="S36" s="199">
        <f>IF(G36&lt;0.1,K36,IF(C36=F36,S36/(1-I$4),IF(I$3=0,K36-(G36/C36)*K36*S$13,IF(OPFOKLEGHEN!$H$13="Parallel geschakeld met warmtewisselaar",K36-(K36-(K36-Q36)/I$4)*(G36/(C36-F36))*S$13,IF(OPFOKLEGHEN!$H$20="ja",K36-(K36-(K36-P36)/I$4)*(G36/(C36-MIN(D36,I$5)))*S$13,K36-(K36-(K36-P36)/I$4)*(G36/(C36-MIN(D36,I$5)))*S$13)))))</f>
        <v>0.77156985451229132</v>
      </c>
      <c r="T36" s="17">
        <f t="shared" si="21"/>
        <v>0.77156985451229132</v>
      </c>
      <c r="U36" s="6" t="e">
        <f t="shared" si="22"/>
        <v>#DIV/0!</v>
      </c>
      <c r="V36" s="129">
        <f>IF(OPFOKLEGHEN!$J$18="nee",H36/C36*K36,IF(OPFOKLEGHEN!$H$20="ja",O36-(K36-Q36)-(K36-S36),Q36-(K36-O36)-(K36-S36)))</f>
        <v>0.77156985451229132</v>
      </c>
      <c r="W36" s="162">
        <f>IF(H36=0,0,IF(OPFOKLEGHEN!$H$11="geen droogtunnel",IF(OPFOKLEGHEN!$H$15="geen warmtewisselaar",Q36-(K36-R36)))+IF(OPFOKLEGHEN!$H$12&gt;0,IF(OPFOKLEGHEN!$H$13="serie geschakeld met warmtewisselaar",(O36*80%-(K36-S36)),(Q36-(K36-S36)-(K36-T36))),(N36-(K36-S36))))</f>
        <v>1.5431397090245826</v>
      </c>
      <c r="X36" s="162">
        <f>IF(H36=0,0,IF(OPFOKLEGHEN!$H$11="geen droogtunnel",IF(OPFOKLEGHEN!$H$15="geen warmtewisselaar",Q36-(K36-R36)))+IF(OPFOKLEGHEN!$H$12&gt;0,IF(OPFOKLEGHEN!$H$13="serie geschakeld met warmtewisselaar",3*(O36*80%-(K36-S36)),(Q36-(K36-S36)-(K36-N36))),(N36-(K36-S36))))</f>
        <v>1.5431397090245826</v>
      </c>
      <c r="Y36" s="162">
        <f>IF(H36=0,0,IF(OPFOKLEGHEN!$H$11="geen droogtunnel",IF(OPFOKLEGHEN!$H$15="geen warmtewisselaar",Q36-(K36-R36)))+IF(OPFOKLEGHEN!$H$12&gt;0,IF(OPFOKLEGHEN!$H$13="serie geschakeld met warmtewisselaar",(O36-(K36-S36)),IF(OPFOKLEGHEN!$H$13="parallel geschakeld met warmtewisselaar",IF(OPFOKLEGHEN!$L$9="ja",IF(OPFOKLEGHEN!$J$18="nee",(N36-(K36-Q36)-(K36-S36)),(Q36-(K36-N36/80%)))))),(O36-(K36-S36))))</f>
        <v>1.5431397090245826</v>
      </c>
      <c r="Z36" s="130">
        <f t="shared" si="5"/>
        <v>1</v>
      </c>
      <c r="AA36" s="130"/>
      <c r="AB36" s="130"/>
      <c r="AC36" s="167">
        <f>IF(H36=0,0,IF(OPFOKLEGHEN!$H$11="geen droogtunnel",IF(OPFOKLEGHEN!$H$15="geen warmtewisselaar",(P36-(K36-R36)/R$13),K36-(K36-O36)/I$6-(K36-R36)/95%)+IF(OPFOKLEGHEN!$J$18="ja",(K36-O36)*(1-I$6)),IF(OPFOKLEGHEN!$H$12&gt;=0,IF(OPFOKLEGHEN!$L$9="ja",IF(OPFOKLEGHEN!$J$18="ja",IF(OPFOKLEGHEN!$H$20="ja",O36-(K36-S36),IF(OPFOKLEGHEN!$H$20="nee",(O36-(K36-S36)),(O36-(K36-S36)))),IF(OPFOKLEGHEN!$J$18="nee",IF(OPFOKLEGHEN!$H$20="nee",O36*80%-(K36-S36),0+O36-(K36-S36)))),IF(OPFOKLEGHEN!$L$9="nee",IF(OPFOKLEGHEN!$J$18="nee",IF(OPFOKLEGHEN!$H$20="nee",(O36*80%-(K36-S36)),O36*93%-(K36-S36)),IF(OPFOKLEGHEN!$H$20="nee",IF(OPFOKLEGHEN!$J$18="ja",IF(OPFOKLEGHEN!$L$9="nee",O36-(K36-S36))),O36-(K36-S36))))))))</f>
        <v>0.77156985451229132</v>
      </c>
      <c r="AD36" s="167" t="e">
        <f>IF(H36=0,0,IF(OPFOKLEGHEN!$H$11="geen droogtunnel",IF(OPFOKLEGHEN!$H$15="geen warmtewisselaar",(Q36-(K36-R36)/S$13),N36-(K36-R36)),IF(OPFOKLEGHEN!$H$12&gt;=0,IF(OPFOKLEGHEN!$L$9="ja",IF(OPFOKLEGHEN!$J$18="ja",IF(OPFOKLEGHEN!$H$20="ja",Q36-(K36-N36)-(K36-S36),IF(OPFOKLEGHEN!$H$20="nee",(Q36-(K36-N36)-(K36-S36)),(O36-(K36-S36)))),IF(OPFOKLEGHEN!$J$18="nee",IF(OPFOKLEGHEN!$H$20="nee",1*Q36*$N$135-(K36-N36)-(K36-S36),(Q36-(K36-N36)-(K36-S36))*N$135))),IF(OPFOKLEGHEN!$L$9="nee",IF(OPFOKLEGHEN!$J$18="nee",IF(OPFOKLEGHEN!$H$20="nee",(N36*95%-(K36-Q36)/I$4-(K36-S36)),N36-(K36-Q36)/I$4-(K36-S36)),IF(OPFOKLEGHEN!$H$20="nee",IF(OPFOKLEGHEN!$J$18="ja",IF(OPFOKLEGHEN!$L$9="nee",N36-(K36-Q36)/I$4-(K36-S36))),N36-(K36-Q36)/I$4-(K36-S36))))))))</f>
        <v>#DIV/0!</v>
      </c>
      <c r="AE36" s="29">
        <f t="shared" si="6"/>
        <v>0</v>
      </c>
      <c r="AF36" s="6">
        <f t="shared" si="7"/>
        <v>0.30640236490066852</v>
      </c>
      <c r="AG36" s="6">
        <f t="shared" si="8"/>
        <v>0</v>
      </c>
      <c r="AH36" s="4">
        <f t="shared" si="9"/>
        <v>0</v>
      </c>
      <c r="AI36" s="6">
        <f t="shared" si="19"/>
        <v>0.30640236490066852</v>
      </c>
      <c r="AJ36" s="6">
        <f t="shared" si="10"/>
        <v>0</v>
      </c>
      <c r="AK36" s="4">
        <f t="shared" si="11"/>
        <v>0.28746106624750001</v>
      </c>
      <c r="AL36" s="6">
        <f t="shared" si="12"/>
        <v>1.8496537608171369E-3</v>
      </c>
      <c r="AM36" s="1">
        <v>3</v>
      </c>
      <c r="AN36" s="1">
        <v>21</v>
      </c>
      <c r="AO36" s="5">
        <v>205</v>
      </c>
      <c r="AP36" s="5">
        <v>190</v>
      </c>
      <c r="AQ36" s="5">
        <f t="shared" si="20"/>
        <v>197.5</v>
      </c>
      <c r="AR36" s="100" t="e">
        <f t="shared" si="13"/>
        <v>#DIV/0!</v>
      </c>
      <c r="AS36" t="s">
        <v>162</v>
      </c>
    </row>
    <row r="37" spans="1:45" ht="13" x14ac:dyDescent="0.3">
      <c r="A37" s="1">
        <v>4</v>
      </c>
      <c r="B37" s="1">
        <v>22</v>
      </c>
      <c r="C37" s="4">
        <f t="shared" si="14"/>
        <v>0.29783462082875195</v>
      </c>
      <c r="D37" s="7">
        <f t="shared" si="0"/>
        <v>0</v>
      </c>
      <c r="E37" s="7">
        <f>IF(I$3=0,0,IF(OPFOKLEGHEN!$H$13="parallel geschakeld met warmtewisselaar",0,MIN(I$3,C37)))</f>
        <v>0</v>
      </c>
      <c r="F37" s="7">
        <f>IF(I$3=0,0,IF(OPFOKLEGHEN!$H$13="serie geschakeld met warmtewisselaar",0,IF(C37&lt;$I$3,C37-D37,MIN($I$3,C37-D37))))</f>
        <v>0</v>
      </c>
      <c r="G37" s="137">
        <f>IF(C37&lt;$I$7,MAX(0,C37-D37-E37-F37,IF(OPFOKLEGHEN!$H$15="warmtewisselaar",IF(OPFOKLEGHEN!$H$13="serie geschakeld met warmtewisselaar",MIN(I$7,MAX(0,C37-D37-F37)),MIN(I$7,MAX(0,C37-D37-E37-F37))))),IF(OPFOKLEGHEN!$H$13="parallel geschakeld met warmtewisselaar",MIN(I$7,C37-D37-E37-F37,MIN(I$7,C37-E37-F37)),MIN(I$7,MAX(0,C37-D37-F37))))</f>
        <v>0</v>
      </c>
      <c r="H37" s="7">
        <f>IF(OPFOKLEGHEN!$H$13="parallel geschakeld met warmtewisselaar",IF(OPFOKLEGHEN!$L$9="nee",IF(OPFOKLEGHEN!$J$18="ja",C37-F37-G37,C37-D37-F37-G37),IF(OPFOKLEGHEN!$L$9="ja",IF(OPFOKLEGHEN!$J$18="ja",C37-G37,IF(OPFOKLEGHEN!$J$18="nee",C37-D37-G37)))),IF(OPFOKLEGHEN!$H$13="serie geschakeld met warmtewisselaar",IF(OPFOKLEGHEN!$J$18="ja",C37-G37,C37-D37-F37-G37),C37-D37-F37-G37))</f>
        <v>0.29783462082875195</v>
      </c>
      <c r="I37" s="98">
        <f t="shared" si="15"/>
        <v>0.29783462082875195</v>
      </c>
      <c r="J37" s="99">
        <v>0.31209235579839589</v>
      </c>
      <c r="K37" s="6">
        <f t="shared" si="16"/>
        <v>0.8142587180462405</v>
      </c>
      <c r="L37" s="130">
        <f>SUM(K$16:K37)/$K$137</f>
        <v>1.2393104066763288E-2</v>
      </c>
      <c r="M37" s="6">
        <f t="shared" si="17"/>
        <v>2.0449419859608778E-3</v>
      </c>
      <c r="N37" s="6">
        <f t="shared" si="1"/>
        <v>0.8142587180462405</v>
      </c>
      <c r="O37" s="6">
        <f>IF(E37&lt;I$3,P37*(1-I$6*D37/C37),IF(OPFOKLEGHEN!$H$11="droogtunnel (platen) 55%",P37*(1-$I$6)+(C37-D37)/C37*(K37-P37*(1-I$6)),P37*(1-$I$6)+(C37-D37)/C37*(K37-P37*(1-I$6))))</f>
        <v>0.8142587180462405</v>
      </c>
      <c r="P37" s="129">
        <f t="shared" si="2"/>
        <v>0.8142587180462405</v>
      </c>
      <c r="Q37" s="134">
        <f t="shared" si="3"/>
        <v>0.8142587180462405</v>
      </c>
      <c r="R37" s="134">
        <f t="shared" si="18"/>
        <v>0.8142587180462405</v>
      </c>
      <c r="S37" s="199">
        <f>IF(G37&lt;0.1,K37,IF(C37=F37,S37/(1-I$4),IF(I$3=0,K37-(G37/C37)*K37*S$13,IF(OPFOKLEGHEN!$H$13="Parallel geschakeld met warmtewisselaar",K37-(K37-(K37-Q37)/I$4)*(G37/(C37-F37))*S$13,IF(OPFOKLEGHEN!$H$20="ja",K37-(K37-(K37-P37)/I$4)*(G37/(C37-MIN(D37,I$5)))*S$13,K37-(K37-(K37-P37)/I$4)*(G37/(C37-MIN(D37,I$5)))*S$13)))))</f>
        <v>0.8142587180462405</v>
      </c>
      <c r="T37" s="17">
        <f t="shared" si="21"/>
        <v>0.8142587180462405</v>
      </c>
      <c r="U37" s="6" t="e">
        <f t="shared" si="22"/>
        <v>#DIV/0!</v>
      </c>
      <c r="V37" s="129">
        <f>IF(OPFOKLEGHEN!$J$18="nee",H37/C37*K37,IF(OPFOKLEGHEN!$H$20="ja",O37-(K37-Q37)-(K37-S37),Q37-(K37-O37)-(K37-S37)))</f>
        <v>0.8142587180462405</v>
      </c>
      <c r="W37" s="162">
        <f>IF(H37=0,0,IF(OPFOKLEGHEN!$H$11="geen droogtunnel",IF(OPFOKLEGHEN!$H$15="geen warmtewisselaar",Q37-(K37-R37)))+IF(OPFOKLEGHEN!$H$12&gt;0,IF(OPFOKLEGHEN!$H$13="serie geschakeld met warmtewisselaar",(O37*80%-(K37-S37)),(Q37-(K37-S37)-(K37-T37))),(N37-(K37-S37))))</f>
        <v>1.628517436092481</v>
      </c>
      <c r="X37" s="162">
        <f>IF(H37=0,0,IF(OPFOKLEGHEN!$H$11="geen droogtunnel",IF(OPFOKLEGHEN!$H$15="geen warmtewisselaar",Q37-(K37-R37)))+IF(OPFOKLEGHEN!$H$12&gt;0,IF(OPFOKLEGHEN!$H$13="serie geschakeld met warmtewisselaar",3*(O37*80%-(K37-S37)),(Q37-(K37-S37)-(K37-N37))),(N37-(K37-S37))))</f>
        <v>1.628517436092481</v>
      </c>
      <c r="Y37" s="162">
        <f>IF(H37=0,0,IF(OPFOKLEGHEN!$H$11="geen droogtunnel",IF(OPFOKLEGHEN!$H$15="geen warmtewisselaar",Q37-(K37-R37)))+IF(OPFOKLEGHEN!$H$12&gt;0,IF(OPFOKLEGHEN!$H$13="serie geschakeld met warmtewisselaar",(O37-(K37-S37)),IF(OPFOKLEGHEN!$H$13="parallel geschakeld met warmtewisselaar",IF(OPFOKLEGHEN!$L$9="ja",IF(OPFOKLEGHEN!$J$18="nee",(N37-(K37-Q37)-(K37-S37)),(Q37-(K37-N37/80%)))))),(O37-(K37-S37))))</f>
        <v>1.628517436092481</v>
      </c>
      <c r="Z37" s="130">
        <f t="shared" si="5"/>
        <v>1</v>
      </c>
      <c r="AA37" s="130"/>
      <c r="AB37" s="130"/>
      <c r="AC37" s="167">
        <f>IF(H37=0,0,IF(OPFOKLEGHEN!$H$11="geen droogtunnel",IF(OPFOKLEGHEN!$H$15="geen warmtewisselaar",(P37-(K37-R37)/R$13),K37-(K37-O37)/I$6-(K37-R37)/95%)+IF(OPFOKLEGHEN!$J$18="ja",(K37-O37)*(1-I$6)),IF(OPFOKLEGHEN!$H$12&gt;=0,IF(OPFOKLEGHEN!$L$9="ja",IF(OPFOKLEGHEN!$J$18="ja",IF(OPFOKLEGHEN!$H$20="ja",O37-(K37-S37),IF(OPFOKLEGHEN!$H$20="nee",(O37-(K37-S37)),(O37-(K37-S37)))),IF(OPFOKLEGHEN!$J$18="nee",IF(OPFOKLEGHEN!$H$20="nee",O37*80%-(K37-S37),0+O37-(K37-S37)))),IF(OPFOKLEGHEN!$L$9="nee",IF(OPFOKLEGHEN!$J$18="nee",IF(OPFOKLEGHEN!$H$20="nee",(O37*80%-(K37-S37)),O37*93%-(K37-S37)),IF(OPFOKLEGHEN!$H$20="nee",IF(OPFOKLEGHEN!$J$18="ja",IF(OPFOKLEGHEN!$L$9="nee",O37-(K37-S37))),O37-(K37-S37))))))))</f>
        <v>0.8142587180462405</v>
      </c>
      <c r="AD37" s="167" t="e">
        <f>IF(H37=0,0,IF(OPFOKLEGHEN!$H$11="geen droogtunnel",IF(OPFOKLEGHEN!$H$15="geen warmtewisselaar",(Q37-(K37-R37)/S$13),N37-(K37-R37)),IF(OPFOKLEGHEN!$H$12&gt;=0,IF(OPFOKLEGHEN!$L$9="ja",IF(OPFOKLEGHEN!$J$18="ja",IF(OPFOKLEGHEN!$H$20="ja",Q37-(K37-N37)-(K37-S37),IF(OPFOKLEGHEN!$H$20="nee",(Q37-(K37-N37)-(K37-S37)),(O37-(K37-S37)))),IF(OPFOKLEGHEN!$J$18="nee",IF(OPFOKLEGHEN!$H$20="nee",1*Q37*$N$135-(K37-N37)-(K37-S37),(Q37-(K37-N37)-(K37-S37))*N$135))),IF(OPFOKLEGHEN!$L$9="nee",IF(OPFOKLEGHEN!$J$18="nee",IF(OPFOKLEGHEN!$H$20="nee",(N37*95%-(K37-Q37)/I$4-(K37-S37)),N37-(K37-Q37)/I$4-(K37-S37)),IF(OPFOKLEGHEN!$H$20="nee",IF(OPFOKLEGHEN!$J$18="ja",IF(OPFOKLEGHEN!$L$9="nee",N37-(K37-Q37)/I$4-(K37-S37))),N37-(K37-Q37)/I$4-(K37-S37))))))))</f>
        <v>#DIV/0!</v>
      </c>
      <c r="AE37" s="29">
        <f t="shared" si="6"/>
        <v>0</v>
      </c>
      <c r="AF37" s="6">
        <f t="shared" si="7"/>
        <v>0.31209235579839589</v>
      </c>
      <c r="AG37" s="6">
        <f t="shared" si="8"/>
        <v>0</v>
      </c>
      <c r="AH37" s="4">
        <f t="shared" si="9"/>
        <v>0</v>
      </c>
      <c r="AI37" s="6">
        <f t="shared" si="19"/>
        <v>0.31209235579839589</v>
      </c>
      <c r="AJ37" s="6">
        <f t="shared" si="10"/>
        <v>0</v>
      </c>
      <c r="AK37" s="4">
        <f t="shared" si="11"/>
        <v>0.29783462082875195</v>
      </c>
      <c r="AL37" s="6">
        <f t="shared" si="12"/>
        <v>2.0449419859608778E-3</v>
      </c>
      <c r="AM37" s="1">
        <v>4</v>
      </c>
      <c r="AN37" s="1">
        <v>22</v>
      </c>
      <c r="AO37" s="5">
        <f t="shared" ref="AO37:AO42" si="26">AO36+12.1</f>
        <v>217.1</v>
      </c>
      <c r="AP37" s="5">
        <f t="shared" ref="AP37:AP42" si="27">AP36+9.3</f>
        <v>199.3</v>
      </c>
      <c r="AQ37" s="5">
        <f t="shared" si="20"/>
        <v>208.2</v>
      </c>
      <c r="AR37" s="100" t="e">
        <f t="shared" si="13"/>
        <v>#DIV/0!</v>
      </c>
      <c r="AS37" t="e">
        <f>(($AP36/1000)*(1-$I$10)*$D36*$B36)</f>
        <v>#DIV/0!</v>
      </c>
    </row>
    <row r="38" spans="1:45" ht="13" x14ac:dyDescent="0.3">
      <c r="A38" s="1">
        <v>4</v>
      </c>
      <c r="B38" s="1">
        <v>23</v>
      </c>
      <c r="C38" s="4">
        <f t="shared" si="14"/>
        <v>0.30818476962395602</v>
      </c>
      <c r="D38" s="7">
        <f t="shared" si="0"/>
        <v>0</v>
      </c>
      <c r="E38" s="7">
        <f>IF(I$3=0,0,IF(OPFOKLEGHEN!$H$13="parallel geschakeld met warmtewisselaar",0,MIN(I$3,C38)))</f>
        <v>0</v>
      </c>
      <c r="F38" s="7">
        <f>IF(I$3=0,0,IF(OPFOKLEGHEN!$H$13="serie geschakeld met warmtewisselaar",0,IF(C38&lt;$I$3,C38-D38,MIN($I$3,C38-D38))))</f>
        <v>0</v>
      </c>
      <c r="G38" s="137">
        <f>IF(C38&lt;$I$7,MAX(0,C38-D38-E38-F38,IF(OPFOKLEGHEN!$H$15="warmtewisselaar",IF(OPFOKLEGHEN!$H$13="serie geschakeld met warmtewisselaar",MIN(I$7,MAX(0,C38-D38-F38)),MIN(I$7,MAX(0,C38-D38-E38-F38))))),IF(OPFOKLEGHEN!$H$13="parallel geschakeld met warmtewisselaar",MIN(I$7,C38-D38-E38-F38,MIN(I$7,C38-E38-F38)),MIN(I$7,MAX(0,C38-D38-F38))))</f>
        <v>0</v>
      </c>
      <c r="H38" s="7">
        <f>IF(OPFOKLEGHEN!$H$13="parallel geschakeld met warmtewisselaar",IF(OPFOKLEGHEN!$L$9="nee",IF(OPFOKLEGHEN!$J$18="ja",C38-F38-G38,C38-D38-F38-G38),IF(OPFOKLEGHEN!$L$9="ja",IF(OPFOKLEGHEN!$J$18="ja",C38-G38,IF(OPFOKLEGHEN!$J$18="nee",C38-D38-G38)))),IF(OPFOKLEGHEN!$H$13="serie geschakeld met warmtewisselaar",IF(OPFOKLEGHEN!$J$18="ja",C38-G38,C38-D38-F38-G38),C38-D38-F38-G38))</f>
        <v>0.30818476962395602</v>
      </c>
      <c r="I38" s="98">
        <f t="shared" si="15"/>
        <v>0.30818476962395602</v>
      </c>
      <c r="J38" s="99">
        <v>0.31788801166521291</v>
      </c>
      <c r="K38" s="6">
        <f t="shared" si="16"/>
        <v>0.85820181429744713</v>
      </c>
      <c r="L38" s="130">
        <f>SUM(K$16:K38)/$K$137</f>
        <v>1.3398092821003144E-2</v>
      </c>
      <c r="M38" s="6">
        <f t="shared" si="17"/>
        <v>2.2532696037490048E-3</v>
      </c>
      <c r="N38" s="6">
        <f t="shared" si="1"/>
        <v>0.85820181429744713</v>
      </c>
      <c r="O38" s="6">
        <f>IF(E38&lt;I$3,P38*(1-I$6*D38/C38),IF(OPFOKLEGHEN!$H$11="droogtunnel (platen) 55%",P38*(1-$I$6)+(C38-D38)/C38*(K38-P38*(1-I$6)),P38*(1-$I$6)+(C38-D38)/C38*(K38-P38*(1-I$6))))</f>
        <v>0.85820181429744713</v>
      </c>
      <c r="P38" s="129">
        <f t="shared" si="2"/>
        <v>0.85820181429744713</v>
      </c>
      <c r="Q38" s="134">
        <f t="shared" si="3"/>
        <v>0.85820181429744713</v>
      </c>
      <c r="R38" s="134">
        <f t="shared" si="18"/>
        <v>0.85820181429744713</v>
      </c>
      <c r="S38" s="199">
        <f>IF(G38&lt;0.1,K38,IF(C38=F38,S38/(1-I$4),IF(I$3=0,K38-(G38/C38)*K38*S$13,IF(OPFOKLEGHEN!$H$13="Parallel geschakeld met warmtewisselaar",K38-(K38-(K38-Q38)/I$4)*(G38/(C38-F38))*S$13,IF(OPFOKLEGHEN!$H$20="ja",K38-(K38-(K38-P38)/I$4)*(G38/(C38-MIN(D38,I$5)))*S$13,K38-(K38-(K38-P38)/I$4)*(G38/(C38-MIN(D38,I$5)))*S$13)))))</f>
        <v>0.85820181429744713</v>
      </c>
      <c r="T38" s="17">
        <f t="shared" si="21"/>
        <v>0.85820181429744713</v>
      </c>
      <c r="U38" s="6" t="e">
        <f t="shared" si="22"/>
        <v>#DIV/0!</v>
      </c>
      <c r="V38" s="129">
        <f>IF(OPFOKLEGHEN!$J$18="nee",H38/C38*K38,IF(OPFOKLEGHEN!$H$20="ja",O38-(K38-Q38)-(K38-S38),Q38-(K38-O38)-(K38-S38)))</f>
        <v>0.85820181429744713</v>
      </c>
      <c r="W38" s="162">
        <f>IF(H38=0,0,IF(OPFOKLEGHEN!$H$11="geen droogtunnel",IF(OPFOKLEGHEN!$H$15="geen warmtewisselaar",Q38-(K38-R38)))+IF(OPFOKLEGHEN!$H$12&gt;0,IF(OPFOKLEGHEN!$H$13="serie geschakeld met warmtewisselaar",(O38*80%-(K38-S38)),(Q38-(K38-S38)-(K38-T38))),(N38-(K38-S38))))</f>
        <v>1.7164036285948943</v>
      </c>
      <c r="X38" s="162">
        <f>IF(H38=0,0,IF(OPFOKLEGHEN!$H$11="geen droogtunnel",IF(OPFOKLEGHEN!$H$15="geen warmtewisselaar",Q38-(K38-R38)))+IF(OPFOKLEGHEN!$H$12&gt;0,IF(OPFOKLEGHEN!$H$13="serie geschakeld met warmtewisselaar",3*(O38*80%-(K38-S38)),(Q38-(K38-S38)-(K38-N38))),(N38-(K38-S38))))</f>
        <v>1.7164036285948943</v>
      </c>
      <c r="Y38" s="162">
        <f>IF(H38=0,0,IF(OPFOKLEGHEN!$H$11="geen droogtunnel",IF(OPFOKLEGHEN!$H$15="geen warmtewisselaar",Q38-(K38-R38)))+IF(OPFOKLEGHEN!$H$12&gt;0,IF(OPFOKLEGHEN!$H$13="serie geschakeld met warmtewisselaar",(O38-(K38-S38)),IF(OPFOKLEGHEN!$H$13="parallel geschakeld met warmtewisselaar",IF(OPFOKLEGHEN!$L$9="ja",IF(OPFOKLEGHEN!$J$18="nee",(N38-(K38-Q38)-(K38-S38)),(Q38-(K38-N38/80%)))))),(O38-(K38-S38))))</f>
        <v>1.7164036285948943</v>
      </c>
      <c r="Z38" s="130">
        <f t="shared" si="5"/>
        <v>1</v>
      </c>
      <c r="AA38" s="130"/>
      <c r="AB38" s="130"/>
      <c r="AC38" s="167">
        <f>IF(H38=0,0,IF(OPFOKLEGHEN!$H$11="geen droogtunnel",IF(OPFOKLEGHEN!$H$15="geen warmtewisselaar",(P38-(K38-R38)/R$13),K38-(K38-O38)/I$6-(K38-R38)/95%)+IF(OPFOKLEGHEN!$J$18="ja",(K38-O38)*(1-I$6)),IF(OPFOKLEGHEN!$H$12&gt;=0,IF(OPFOKLEGHEN!$L$9="ja",IF(OPFOKLEGHEN!$J$18="ja",IF(OPFOKLEGHEN!$H$20="ja",O38-(K38-S38),IF(OPFOKLEGHEN!$H$20="nee",(O38-(K38-S38)),(O38-(K38-S38)))),IF(OPFOKLEGHEN!$J$18="nee",IF(OPFOKLEGHEN!$H$20="nee",O38*80%-(K38-S38),0+O38-(K38-S38)))),IF(OPFOKLEGHEN!$L$9="nee",IF(OPFOKLEGHEN!$J$18="nee",IF(OPFOKLEGHEN!$H$20="nee",(O38*80%-(K38-S38)),O38*93%-(K38-S38)),IF(OPFOKLEGHEN!$H$20="nee",IF(OPFOKLEGHEN!$J$18="ja",IF(OPFOKLEGHEN!$L$9="nee",O38-(K38-S38))),O38-(K38-S38))))))))</f>
        <v>0.85820181429744713</v>
      </c>
      <c r="AD38" s="167" t="e">
        <f>IF(H38=0,0,IF(OPFOKLEGHEN!$H$11="geen droogtunnel",IF(OPFOKLEGHEN!$H$15="geen warmtewisselaar",(Q38-(K38-R38)/S$13),N38-(K38-R38)),IF(OPFOKLEGHEN!$H$12&gt;=0,IF(OPFOKLEGHEN!$L$9="ja",IF(OPFOKLEGHEN!$J$18="ja",IF(OPFOKLEGHEN!$H$20="ja",Q38-(K38-N38)-(K38-S38),IF(OPFOKLEGHEN!$H$20="nee",(Q38-(K38-N38)-(K38-S38)),(O38-(K38-S38)))),IF(OPFOKLEGHEN!$J$18="nee",IF(OPFOKLEGHEN!$H$20="nee",1*Q38*$N$135-(K38-N38)-(K38-S38),(Q38-(K38-N38)-(K38-S38))*N$135))),IF(OPFOKLEGHEN!$L$9="nee",IF(OPFOKLEGHEN!$J$18="nee",IF(OPFOKLEGHEN!$H$20="nee",(N38*95%-(K38-Q38)/I$4-(K38-S38)),N38-(K38-Q38)/I$4-(K38-S38)),IF(OPFOKLEGHEN!$H$20="nee",IF(OPFOKLEGHEN!$J$18="ja",IF(OPFOKLEGHEN!$L$9="nee",N38-(K38-Q38)/I$4-(K38-S38))),N38-(K38-Q38)/I$4-(K38-S38))))))))</f>
        <v>#DIV/0!</v>
      </c>
      <c r="AE38" s="29">
        <f t="shared" si="6"/>
        <v>0</v>
      </c>
      <c r="AF38" s="6">
        <f t="shared" si="7"/>
        <v>0.31788801166521291</v>
      </c>
      <c r="AG38" s="6">
        <f t="shared" si="8"/>
        <v>0</v>
      </c>
      <c r="AH38" s="4">
        <f t="shared" si="9"/>
        <v>0</v>
      </c>
      <c r="AI38" s="6">
        <f t="shared" si="19"/>
        <v>0.31788801166521291</v>
      </c>
      <c r="AJ38" s="6">
        <f t="shared" si="10"/>
        <v>0</v>
      </c>
      <c r="AK38" s="4">
        <f t="shared" si="11"/>
        <v>0.30818476962395602</v>
      </c>
      <c r="AL38" s="6">
        <f t="shared" si="12"/>
        <v>2.2532696037490048E-3</v>
      </c>
      <c r="AM38" s="1">
        <v>4</v>
      </c>
      <c r="AN38" s="1">
        <v>23</v>
      </c>
      <c r="AO38" s="5">
        <f t="shared" si="26"/>
        <v>229.2</v>
      </c>
      <c r="AP38" s="5">
        <f t="shared" si="27"/>
        <v>208.60000000000002</v>
      </c>
      <c r="AQ38" s="5">
        <f t="shared" si="20"/>
        <v>218.9</v>
      </c>
      <c r="AR38" s="100" t="e">
        <f t="shared" si="13"/>
        <v>#DIV/0!</v>
      </c>
      <c r="AS38" t="e">
        <f>(($AQ36/1000)*(1-$I$10)*$E36*$B36)</f>
        <v>#DIV/0!</v>
      </c>
    </row>
    <row r="39" spans="1:45" ht="13" x14ac:dyDescent="0.3">
      <c r="A39" s="1">
        <v>4</v>
      </c>
      <c r="B39" s="1">
        <v>24</v>
      </c>
      <c r="C39" s="4">
        <f t="shared" si="14"/>
        <v>0.31851433513218397</v>
      </c>
      <c r="D39" s="7">
        <f t="shared" si="0"/>
        <v>0</v>
      </c>
      <c r="E39" s="7">
        <f>IF(I$3=0,0,IF(OPFOKLEGHEN!$H$13="parallel geschakeld met warmtewisselaar",0,MIN(I$3,C39)))</f>
        <v>0</v>
      </c>
      <c r="F39" s="7">
        <f>IF(I$3=0,0,IF(OPFOKLEGHEN!$H$13="serie geschakeld met warmtewisselaar",0,IF(C39&lt;$I$3,C39-D39,MIN($I$3,C39-D39))))</f>
        <v>0</v>
      </c>
      <c r="G39" s="137">
        <f>IF(C39&lt;$I$7,MAX(0,C39-D39-E39-F39,IF(OPFOKLEGHEN!$H$15="warmtewisselaar",IF(OPFOKLEGHEN!$H$13="serie geschakeld met warmtewisselaar",MIN(I$7,MAX(0,C39-D39-F39)),MIN(I$7,MAX(0,C39-D39-E39-F39))))),IF(OPFOKLEGHEN!$H$13="parallel geschakeld met warmtewisselaar",MIN(I$7,C39-D39-E39-F39,MIN(I$7,C39-E39-F39)),MIN(I$7,MAX(0,C39-D39-F39))))</f>
        <v>0</v>
      </c>
      <c r="H39" s="7">
        <f>IF(OPFOKLEGHEN!$H$13="parallel geschakeld met warmtewisselaar",IF(OPFOKLEGHEN!$L$9="nee",IF(OPFOKLEGHEN!$J$18="ja",C39-F39-G39,C39-D39-F39-G39),IF(OPFOKLEGHEN!$L$9="ja",IF(OPFOKLEGHEN!$J$18="ja",C39-G39,IF(OPFOKLEGHEN!$J$18="nee",C39-D39-G39)))),IF(OPFOKLEGHEN!$H$13="serie geschakeld met warmtewisselaar",IF(OPFOKLEGHEN!$J$18="ja",C39-G39,C39-D39-F39-G39),C39-D39-F39-G39))</f>
        <v>0.31851433513218397</v>
      </c>
      <c r="I39" s="98">
        <f t="shared" si="15"/>
        <v>0.31851433513218397</v>
      </c>
      <c r="J39" s="99">
        <v>0.32379129473372997</v>
      </c>
      <c r="K39" s="6">
        <f t="shared" si="16"/>
        <v>0.90343780012203834</v>
      </c>
      <c r="L39" s="130">
        <f>SUM(K$16:K39)/$K$137</f>
        <v>1.4456054729439703E-2</v>
      </c>
      <c r="M39" s="6">
        <f t="shared" si="17"/>
        <v>2.4751720551288727E-3</v>
      </c>
      <c r="N39" s="6">
        <f t="shared" si="1"/>
        <v>0.90343780012203834</v>
      </c>
      <c r="O39" s="6">
        <f>IF(E39&lt;I$3,P39*(1-I$6*D39/C39),IF(OPFOKLEGHEN!$H$11="droogtunnel (platen) 55%",P39*(1-$I$6)+(C39-D39)/C39*(K39-P39*(1-I$6)),P39*(1-$I$6)+(C39-D39)/C39*(K39-P39*(1-I$6))))</f>
        <v>0.90343780012203834</v>
      </c>
      <c r="P39" s="129">
        <f t="shared" si="2"/>
        <v>0.90343780012203834</v>
      </c>
      <c r="Q39" s="134">
        <f t="shared" si="3"/>
        <v>0.90343780012203834</v>
      </c>
      <c r="R39" s="134">
        <f t="shared" si="18"/>
        <v>0.90343780012203834</v>
      </c>
      <c r="S39" s="199">
        <f>IF(G39&lt;0.1,K39,IF(C39=F39,S39/(1-I$4),IF(I$3=0,K39-(G39/C39)*K39*S$13,IF(OPFOKLEGHEN!$H$13="Parallel geschakeld met warmtewisselaar",K39-(K39-(K39-Q39)/I$4)*(G39/(C39-F39))*S$13,IF(OPFOKLEGHEN!$H$20="ja",K39-(K39-(K39-P39)/I$4)*(G39/(C39-MIN(D39,I$5)))*S$13,K39-(K39-(K39-P39)/I$4)*(G39/(C39-MIN(D39,I$5)))*S$13)))))</f>
        <v>0.90343780012203834</v>
      </c>
      <c r="T39" s="17">
        <f t="shared" si="21"/>
        <v>0.90343780012203834</v>
      </c>
      <c r="U39" s="6" t="e">
        <f t="shared" si="22"/>
        <v>#DIV/0!</v>
      </c>
      <c r="V39" s="129">
        <f>IF(OPFOKLEGHEN!$J$18="nee",H39/C39*K39,IF(OPFOKLEGHEN!$H$20="ja",O39-(K39-Q39)-(K39-S39),Q39-(K39-O39)-(K39-S39)))</f>
        <v>0.90343780012203834</v>
      </c>
      <c r="W39" s="162">
        <f>IF(H39=0,0,IF(OPFOKLEGHEN!$H$11="geen droogtunnel",IF(OPFOKLEGHEN!$H$15="geen warmtewisselaar",Q39-(K39-R39)))+IF(OPFOKLEGHEN!$H$12&gt;0,IF(OPFOKLEGHEN!$H$13="serie geschakeld met warmtewisselaar",(O39*80%-(K39-S39)),(Q39-(K39-S39)-(K39-T39))),(N39-(K39-S39))))</f>
        <v>1.8068756002440767</v>
      </c>
      <c r="X39" s="162">
        <f>IF(H39=0,0,IF(OPFOKLEGHEN!$H$11="geen droogtunnel",IF(OPFOKLEGHEN!$H$15="geen warmtewisselaar",Q39-(K39-R39)))+IF(OPFOKLEGHEN!$H$12&gt;0,IF(OPFOKLEGHEN!$H$13="serie geschakeld met warmtewisselaar",3*(O39*80%-(K39-S39)),(Q39-(K39-S39)-(K39-N39))),(N39-(K39-S39))))</f>
        <v>1.8068756002440767</v>
      </c>
      <c r="Y39" s="162">
        <f>IF(H39=0,0,IF(OPFOKLEGHEN!$H$11="geen droogtunnel",IF(OPFOKLEGHEN!$H$15="geen warmtewisselaar",Q39-(K39-R39)))+IF(OPFOKLEGHEN!$H$12&gt;0,IF(OPFOKLEGHEN!$H$13="serie geschakeld met warmtewisselaar",(O39-(K39-S39)),IF(OPFOKLEGHEN!$H$13="parallel geschakeld met warmtewisselaar",IF(OPFOKLEGHEN!$L$9="ja",IF(OPFOKLEGHEN!$J$18="nee",(N39-(K39-Q39)-(K39-S39)),(Q39-(K39-N39/80%)))))),(O39-(K39-S39))))</f>
        <v>1.8068756002440767</v>
      </c>
      <c r="Z39" s="130">
        <f t="shared" si="5"/>
        <v>1</v>
      </c>
      <c r="AA39" s="130"/>
      <c r="AB39" s="130"/>
      <c r="AC39" s="167">
        <f>IF(H39=0,0,IF(OPFOKLEGHEN!$H$11="geen droogtunnel",IF(OPFOKLEGHEN!$H$15="geen warmtewisselaar",(P39-(K39-R39)/R$13),K39-(K39-O39)/I$6-(K39-R39)/95%)+IF(OPFOKLEGHEN!$J$18="ja",(K39-O39)*(1-I$6)),IF(OPFOKLEGHEN!$H$12&gt;=0,IF(OPFOKLEGHEN!$L$9="ja",IF(OPFOKLEGHEN!$J$18="ja",IF(OPFOKLEGHEN!$H$20="ja",O39-(K39-S39),IF(OPFOKLEGHEN!$H$20="nee",(O39-(K39-S39)),(O39-(K39-S39)))),IF(OPFOKLEGHEN!$J$18="nee",IF(OPFOKLEGHEN!$H$20="nee",O39*80%-(K39-S39),0+O39-(K39-S39)))),IF(OPFOKLEGHEN!$L$9="nee",IF(OPFOKLEGHEN!$J$18="nee",IF(OPFOKLEGHEN!$H$20="nee",(O39*80%-(K39-S39)),O39*93%-(K39-S39)),IF(OPFOKLEGHEN!$H$20="nee",IF(OPFOKLEGHEN!$J$18="ja",IF(OPFOKLEGHEN!$L$9="nee",O39-(K39-S39))),O39-(K39-S39))))))))</f>
        <v>0.90343780012203834</v>
      </c>
      <c r="AD39" s="167" t="e">
        <f>IF(H39=0,0,IF(OPFOKLEGHEN!$H$11="geen droogtunnel",IF(OPFOKLEGHEN!$H$15="geen warmtewisselaar",(Q39-(K39-R39)/S$13),N39-(K39-R39)),IF(OPFOKLEGHEN!$H$12&gt;=0,IF(OPFOKLEGHEN!$L$9="ja",IF(OPFOKLEGHEN!$J$18="ja",IF(OPFOKLEGHEN!$H$20="ja",Q39-(K39-N39)-(K39-S39),IF(OPFOKLEGHEN!$H$20="nee",(Q39-(K39-N39)-(K39-S39)),(O39-(K39-S39)))),IF(OPFOKLEGHEN!$J$18="nee",IF(OPFOKLEGHEN!$H$20="nee",1*Q39*$N$135-(K39-N39)-(K39-S39),(Q39-(K39-N39)-(K39-S39))*N$135))),IF(OPFOKLEGHEN!$L$9="nee",IF(OPFOKLEGHEN!$J$18="nee",IF(OPFOKLEGHEN!$H$20="nee",(N39*95%-(K39-Q39)/I$4-(K39-S39)),N39-(K39-Q39)/I$4-(K39-S39)),IF(OPFOKLEGHEN!$H$20="nee",IF(OPFOKLEGHEN!$J$18="ja",IF(OPFOKLEGHEN!$L$9="nee",N39-(K39-Q39)/I$4-(K39-S39))),N39-(K39-Q39)/I$4-(K39-S39))))))))</f>
        <v>#DIV/0!</v>
      </c>
      <c r="AE39" s="29">
        <f t="shared" si="6"/>
        <v>0</v>
      </c>
      <c r="AF39" s="6">
        <f t="shared" si="7"/>
        <v>0.32379129473372997</v>
      </c>
      <c r="AG39" s="6">
        <f t="shared" si="8"/>
        <v>0</v>
      </c>
      <c r="AH39" s="4">
        <f t="shared" si="9"/>
        <v>0</v>
      </c>
      <c r="AI39" s="6">
        <f t="shared" si="19"/>
        <v>0.32379129473372997</v>
      </c>
      <c r="AJ39" s="6">
        <f t="shared" si="10"/>
        <v>0</v>
      </c>
      <c r="AK39" s="4">
        <f t="shared" si="11"/>
        <v>0.31851433513218397</v>
      </c>
      <c r="AL39" s="6">
        <f t="shared" si="12"/>
        <v>2.4751720551288727E-3</v>
      </c>
      <c r="AM39" s="1">
        <v>4</v>
      </c>
      <c r="AN39" s="1">
        <v>24</v>
      </c>
      <c r="AO39" s="5">
        <f t="shared" si="26"/>
        <v>241.29999999999998</v>
      </c>
      <c r="AP39" s="5">
        <f t="shared" si="27"/>
        <v>217.90000000000003</v>
      </c>
      <c r="AQ39" s="5">
        <f t="shared" si="20"/>
        <v>229.60000000000002</v>
      </c>
      <c r="AR39" s="100" t="e">
        <f t="shared" si="13"/>
        <v>#DIV/0!</v>
      </c>
      <c r="AS39" t="s">
        <v>163</v>
      </c>
    </row>
    <row r="40" spans="1:45" ht="13" x14ac:dyDescent="0.3">
      <c r="A40" s="1">
        <v>4</v>
      </c>
      <c r="B40" s="1">
        <v>25</v>
      </c>
      <c r="C40" s="4">
        <f t="shared" si="14"/>
        <v>0.32882613985250797</v>
      </c>
      <c r="D40" s="7">
        <f t="shared" si="0"/>
        <v>0</v>
      </c>
      <c r="E40" s="7">
        <f>IF(I$3=0,0,IF(OPFOKLEGHEN!$H$13="parallel geschakeld met warmtewisselaar",0,MIN(I$3,C40)))</f>
        <v>0</v>
      </c>
      <c r="F40" s="7">
        <f>IF(I$3=0,0,IF(OPFOKLEGHEN!$H$13="serie geschakeld met warmtewisselaar",0,IF(C40&lt;$I$3,C40-D40,MIN($I$3,C40-D40))))</f>
        <v>0</v>
      </c>
      <c r="G40" s="137">
        <f>IF(C40&lt;$I$7,MAX(0,C40-D40-E40-F40,IF(OPFOKLEGHEN!$H$15="warmtewisselaar",IF(OPFOKLEGHEN!$H$13="serie geschakeld met warmtewisselaar",MIN(I$7,MAX(0,C40-D40-F40)),MIN(I$7,MAX(0,C40-D40-E40-F40))))),IF(OPFOKLEGHEN!$H$13="parallel geschakeld met warmtewisselaar",MIN(I$7,C40-D40-E40-F40,MIN(I$7,C40-E40-F40)),MIN(I$7,MAX(0,C40-D40-F40))))</f>
        <v>0</v>
      </c>
      <c r="H40" s="7">
        <f>IF(OPFOKLEGHEN!$H$13="parallel geschakeld met warmtewisselaar",IF(OPFOKLEGHEN!$L$9="nee",IF(OPFOKLEGHEN!$J$18="ja",C40-F40-G40,C40-D40-F40-G40),IF(OPFOKLEGHEN!$L$9="ja",IF(OPFOKLEGHEN!$J$18="ja",C40-G40,IF(OPFOKLEGHEN!$J$18="nee",C40-D40-G40)))),IF(OPFOKLEGHEN!$H$13="serie geschakeld met warmtewisselaar",IF(OPFOKLEGHEN!$J$18="ja",C40-G40,C40-D40-F40-G40),C40-D40-F40-G40))</f>
        <v>0.32882613985250797</v>
      </c>
      <c r="I40" s="98">
        <f t="shared" si="15"/>
        <v>0.32882613985250797</v>
      </c>
      <c r="J40" s="99">
        <v>0.32980420367585112</v>
      </c>
      <c r="K40" s="6">
        <f t="shared" si="16"/>
        <v>0.95000661044829737</v>
      </c>
      <c r="L40" s="130">
        <f>SUM(K$16:K40)/$K$137</f>
        <v>1.5568550583035225E-2</v>
      </c>
      <c r="M40" s="6">
        <f t="shared" si="17"/>
        <v>2.7112060800465109E-3</v>
      </c>
      <c r="N40" s="6">
        <f t="shared" si="1"/>
        <v>0.95000661044829737</v>
      </c>
      <c r="O40" s="6">
        <f>IF(E40&lt;I$3,P40*(1-I$6*D40/C40),IF(OPFOKLEGHEN!$H$11="droogtunnel (platen) 55%",P40*(1-$I$6)+(C40-D40)/C40*(K40-P40*(1-I$6)),P40*(1-$I$6)+(C40-D40)/C40*(K40-P40*(1-I$6))))</f>
        <v>0.95000661044829737</v>
      </c>
      <c r="P40" s="129">
        <f t="shared" si="2"/>
        <v>0.95000661044829737</v>
      </c>
      <c r="Q40" s="134">
        <f t="shared" si="3"/>
        <v>0.95000661044829737</v>
      </c>
      <c r="R40" s="134">
        <f t="shared" si="18"/>
        <v>0.95000661044829737</v>
      </c>
      <c r="S40" s="199">
        <f>IF(G40&lt;0.1,K40,IF(C40=F40,S40/(1-I$4),IF(I$3=0,K40-(G40/C40)*K40*S$13,IF(OPFOKLEGHEN!$H$13="Parallel geschakeld met warmtewisselaar",K40-(K40-(K40-Q40)/I$4)*(G40/(C40-F40))*S$13,IF(OPFOKLEGHEN!$H$20="ja",K40-(K40-(K40-P40)/I$4)*(G40/(C40-MIN(D40,I$5)))*S$13,K40-(K40-(K40-P40)/I$4)*(G40/(C40-MIN(D40,I$5)))*S$13)))))</f>
        <v>0.95000661044829737</v>
      </c>
      <c r="T40" s="17">
        <f t="shared" si="21"/>
        <v>0.95000661044829737</v>
      </c>
      <c r="U40" s="6" t="e">
        <f t="shared" si="22"/>
        <v>#DIV/0!</v>
      </c>
      <c r="V40" s="129">
        <f>IF(OPFOKLEGHEN!$J$18="nee",H40/C40*K40,IF(OPFOKLEGHEN!$H$20="ja",O40-(K40-Q40)-(K40-S40),Q40-(K40-O40)-(K40-S40)))</f>
        <v>0.95000661044829737</v>
      </c>
      <c r="W40" s="162">
        <f>IF(H40=0,0,IF(OPFOKLEGHEN!$H$11="geen droogtunnel",IF(OPFOKLEGHEN!$H$15="geen warmtewisselaar",Q40-(K40-R40)))+IF(OPFOKLEGHEN!$H$12&gt;0,IF(OPFOKLEGHEN!$H$13="serie geschakeld met warmtewisselaar",(O40*80%-(K40-S40)),(Q40-(K40-S40)-(K40-T40))),(N40-(K40-S40))))</f>
        <v>1.9000132208965947</v>
      </c>
      <c r="X40" s="162">
        <f>IF(H40=0,0,IF(OPFOKLEGHEN!$H$11="geen droogtunnel",IF(OPFOKLEGHEN!$H$15="geen warmtewisselaar",Q40-(K40-R40)))+IF(OPFOKLEGHEN!$H$12&gt;0,IF(OPFOKLEGHEN!$H$13="serie geschakeld met warmtewisselaar",3*(O40*80%-(K40-S40)),(Q40-(K40-S40)-(K40-N40))),(N40-(K40-S40))))</f>
        <v>1.9000132208965947</v>
      </c>
      <c r="Y40" s="162">
        <f>IF(H40=0,0,IF(OPFOKLEGHEN!$H$11="geen droogtunnel",IF(OPFOKLEGHEN!$H$15="geen warmtewisselaar",Q40-(K40-R40)))+IF(OPFOKLEGHEN!$H$12&gt;0,IF(OPFOKLEGHEN!$H$13="serie geschakeld met warmtewisselaar",(O40-(K40-S40)),IF(OPFOKLEGHEN!$H$13="parallel geschakeld met warmtewisselaar",IF(OPFOKLEGHEN!$L$9="ja",IF(OPFOKLEGHEN!$J$18="nee",(N40-(K40-Q40)-(K40-S40)),(Q40-(K40-N40/80%)))))),(O40-(K40-S40))))</f>
        <v>1.9000132208965947</v>
      </c>
      <c r="Z40" s="130">
        <f t="shared" si="5"/>
        <v>1</v>
      </c>
      <c r="AA40" s="130"/>
      <c r="AB40" s="130"/>
      <c r="AC40" s="167">
        <f>IF(H40=0,0,IF(OPFOKLEGHEN!$H$11="geen droogtunnel",IF(OPFOKLEGHEN!$H$15="geen warmtewisselaar",(P40-(K40-R40)/R$13),K40-(K40-O40)/I$6-(K40-R40)/95%)+IF(OPFOKLEGHEN!$J$18="ja",(K40-O40)*(1-I$6)),IF(OPFOKLEGHEN!$H$12&gt;=0,IF(OPFOKLEGHEN!$L$9="ja",IF(OPFOKLEGHEN!$J$18="ja",IF(OPFOKLEGHEN!$H$20="ja",O40-(K40-S40),IF(OPFOKLEGHEN!$H$20="nee",(O40-(K40-S40)),(O40-(K40-S40)))),IF(OPFOKLEGHEN!$J$18="nee",IF(OPFOKLEGHEN!$H$20="nee",O40*80%-(K40-S40),0+O40-(K40-S40)))),IF(OPFOKLEGHEN!$L$9="nee",IF(OPFOKLEGHEN!$J$18="nee",IF(OPFOKLEGHEN!$H$20="nee",(O40*80%-(K40-S40)),O40*93%-(K40-S40)),IF(OPFOKLEGHEN!$H$20="nee",IF(OPFOKLEGHEN!$J$18="ja",IF(OPFOKLEGHEN!$L$9="nee",O40-(K40-S40))),O40-(K40-S40))))))))</f>
        <v>0.95000661044829737</v>
      </c>
      <c r="AD40" s="167" t="e">
        <f>IF(H40=0,0,IF(OPFOKLEGHEN!$H$11="geen droogtunnel",IF(OPFOKLEGHEN!$H$15="geen warmtewisselaar",(Q40-(K40-R40)/S$13),N40-(K40-R40)),IF(OPFOKLEGHEN!$H$12&gt;=0,IF(OPFOKLEGHEN!$L$9="ja",IF(OPFOKLEGHEN!$J$18="ja",IF(OPFOKLEGHEN!$H$20="ja",Q40-(K40-N40)-(K40-S40),IF(OPFOKLEGHEN!$H$20="nee",(Q40-(K40-N40)-(K40-S40)),(O40-(K40-S40)))),IF(OPFOKLEGHEN!$J$18="nee",IF(OPFOKLEGHEN!$H$20="nee",1*Q40*$N$135-(K40-N40)-(K40-S40),(Q40-(K40-N40)-(K40-S40))*N$135))),IF(OPFOKLEGHEN!$L$9="nee",IF(OPFOKLEGHEN!$J$18="nee",IF(OPFOKLEGHEN!$H$20="nee",(N40*95%-(K40-Q40)/I$4-(K40-S40)),N40-(K40-Q40)/I$4-(K40-S40)),IF(OPFOKLEGHEN!$H$20="nee",IF(OPFOKLEGHEN!$J$18="ja",IF(OPFOKLEGHEN!$L$9="nee",N40-(K40-Q40)/I$4-(K40-S40))),N40-(K40-Q40)/I$4-(K40-S40))))))))</f>
        <v>#DIV/0!</v>
      </c>
      <c r="AE40" s="29">
        <f t="shared" si="6"/>
        <v>0</v>
      </c>
      <c r="AF40" s="6">
        <f t="shared" si="7"/>
        <v>0.32980420367585112</v>
      </c>
      <c r="AG40" s="6">
        <f t="shared" si="8"/>
        <v>0</v>
      </c>
      <c r="AH40" s="4">
        <f t="shared" si="9"/>
        <v>0</v>
      </c>
      <c r="AI40" s="6">
        <f t="shared" si="19"/>
        <v>0.32980420367585112</v>
      </c>
      <c r="AJ40" s="6">
        <f t="shared" si="10"/>
        <v>0</v>
      </c>
      <c r="AK40" s="4">
        <f t="shared" si="11"/>
        <v>0.32882613985250797</v>
      </c>
      <c r="AL40" s="6">
        <f t="shared" si="12"/>
        <v>2.7112060800465109E-3</v>
      </c>
      <c r="AM40" s="1">
        <v>4</v>
      </c>
      <c r="AN40" s="1">
        <v>25</v>
      </c>
      <c r="AO40" s="5">
        <f t="shared" si="26"/>
        <v>253.39999999999998</v>
      </c>
      <c r="AP40" s="5">
        <f t="shared" si="27"/>
        <v>227.20000000000005</v>
      </c>
      <c r="AQ40" s="5">
        <f t="shared" si="20"/>
        <v>240.3</v>
      </c>
      <c r="AR40" s="100" t="e">
        <f t="shared" si="13"/>
        <v>#DIV/0!</v>
      </c>
    </row>
    <row r="41" spans="1:45" ht="13" x14ac:dyDescent="0.3">
      <c r="A41" s="1">
        <v>4</v>
      </c>
      <c r="B41" s="1">
        <v>26</v>
      </c>
      <c r="C41" s="4">
        <f t="shared" si="14"/>
        <v>0.33912300628400005</v>
      </c>
      <c r="D41" s="7">
        <f t="shared" si="0"/>
        <v>0</v>
      </c>
      <c r="E41" s="7">
        <f>IF(I$3=0,0,IF(OPFOKLEGHEN!$H$13="parallel geschakeld met warmtewisselaar",0,MIN(I$3,C41)))</f>
        <v>0</v>
      </c>
      <c r="F41" s="7">
        <f>IF(I$3=0,0,IF(OPFOKLEGHEN!$H$13="serie geschakeld met warmtewisselaar",0,IF(C41&lt;$I$3,C41-D41,MIN($I$3,C41-D41))))</f>
        <v>0</v>
      </c>
      <c r="G41" s="137">
        <f>IF(C41&lt;$I$7,MAX(0,C41-D41-E41-F41,IF(OPFOKLEGHEN!$H$15="warmtewisselaar",IF(OPFOKLEGHEN!$H$13="serie geschakeld met warmtewisselaar",MIN(I$7,MAX(0,C41-D41-F41)),MIN(I$7,MAX(0,C41-D41-E41-F41))))),IF(OPFOKLEGHEN!$H$13="parallel geschakeld met warmtewisselaar",MIN(I$7,C41-D41-E41-F41,MIN(I$7,C41-E41-F41)),MIN(I$7,MAX(0,C41-D41-F41))))</f>
        <v>0</v>
      </c>
      <c r="H41" s="7">
        <f>IF(OPFOKLEGHEN!$H$13="parallel geschakeld met warmtewisselaar",IF(OPFOKLEGHEN!$L$9="nee",IF(OPFOKLEGHEN!$J$18="ja",C41-F41-G41,C41-D41-F41-G41),IF(OPFOKLEGHEN!$L$9="ja",IF(OPFOKLEGHEN!$J$18="ja",C41-G41,IF(OPFOKLEGHEN!$J$18="nee",C41-D41-G41)))),IF(OPFOKLEGHEN!$H$13="serie geschakeld met warmtewisselaar",IF(OPFOKLEGHEN!$J$18="ja",C41-G41,C41-D41-F41-G41),C41-D41-F41-G41))</f>
        <v>0.33912300628400005</v>
      </c>
      <c r="I41" s="98">
        <f t="shared" si="15"/>
        <v>0.33912300628400005</v>
      </c>
      <c r="J41" s="99">
        <v>0.33592877427946305</v>
      </c>
      <c r="K41" s="6">
        <f t="shared" si="16"/>
        <v>0.99794950027912899</v>
      </c>
      <c r="L41" s="130">
        <f>SUM(K$16:K41)/$K$137</f>
        <v>1.6737189484015456E-2</v>
      </c>
      <c r="M41" s="6">
        <f t="shared" si="17"/>
        <v>2.9619505716047207E-3</v>
      </c>
      <c r="N41" s="6">
        <f t="shared" si="1"/>
        <v>0.99794950027912899</v>
      </c>
      <c r="O41" s="6">
        <f>IF(E41&lt;I$3,P41*(1-I$6*D41/C41),IF(OPFOKLEGHEN!$H$11="droogtunnel (platen) 55%",P41*(1-$I$6)+(C41-D41)/C41*(K41-P41*(1-I$6)),P41*(1-$I$6)+(C41-D41)/C41*(K41-P41*(1-I$6))))</f>
        <v>0.99794950027912899</v>
      </c>
      <c r="P41" s="129">
        <f t="shared" si="2"/>
        <v>0.99794950027912899</v>
      </c>
      <c r="Q41" s="134">
        <f t="shared" si="3"/>
        <v>0.99794950027912899</v>
      </c>
      <c r="R41" s="134">
        <f t="shared" si="18"/>
        <v>0.99794950027912899</v>
      </c>
      <c r="S41" s="199">
        <f>IF(G41&lt;0.1,K41,IF(C41=F41,S41/(1-I$4),IF(I$3=0,K41-(G41/C41)*K41*S$13,IF(OPFOKLEGHEN!$H$13="Parallel geschakeld met warmtewisselaar",K41-(K41-(K41-Q41)/I$4)*(G41/(C41-F41))*S$13,IF(OPFOKLEGHEN!$H$20="ja",K41-(K41-(K41-P41)/I$4)*(G41/(C41-MIN(D41,I$5)))*S$13,K41-(K41-(K41-P41)/I$4)*(G41/(C41-MIN(D41,I$5)))*S$13)))))</f>
        <v>0.99794950027912899</v>
      </c>
      <c r="T41" s="17">
        <f t="shared" si="21"/>
        <v>0.99794950027912899</v>
      </c>
      <c r="U41" s="6" t="e">
        <f t="shared" si="22"/>
        <v>#DIV/0!</v>
      </c>
      <c r="V41" s="129">
        <f>IF(OPFOKLEGHEN!$J$18="nee",H41/C41*K41,IF(OPFOKLEGHEN!$H$20="ja",O41-(K41-Q41)-(K41-S41),Q41-(K41-O41)-(K41-S41)))</f>
        <v>0.99794950027912899</v>
      </c>
      <c r="W41" s="162">
        <f>IF(H41=0,0,IF(OPFOKLEGHEN!$H$11="geen droogtunnel",IF(OPFOKLEGHEN!$H$15="geen warmtewisselaar",Q41-(K41-R41)))+IF(OPFOKLEGHEN!$H$12&gt;0,IF(OPFOKLEGHEN!$H$13="serie geschakeld met warmtewisselaar",(O41*80%-(K41-S41)),(Q41-(K41-S41)-(K41-T41))),(N41-(K41-S41))))</f>
        <v>1.995899000558258</v>
      </c>
      <c r="X41" s="162">
        <f>IF(H41=0,0,IF(OPFOKLEGHEN!$H$11="geen droogtunnel",IF(OPFOKLEGHEN!$H$15="geen warmtewisselaar",Q41-(K41-R41)))+IF(OPFOKLEGHEN!$H$12&gt;0,IF(OPFOKLEGHEN!$H$13="serie geschakeld met warmtewisselaar",3*(O41*80%-(K41-S41)),(Q41-(K41-S41)-(K41-N41))),(N41-(K41-S41))))</f>
        <v>1.995899000558258</v>
      </c>
      <c r="Y41" s="162">
        <f>IF(H41=0,0,IF(OPFOKLEGHEN!$H$11="geen droogtunnel",IF(OPFOKLEGHEN!$H$15="geen warmtewisselaar",Q41-(K41-R41)))+IF(OPFOKLEGHEN!$H$12&gt;0,IF(OPFOKLEGHEN!$H$13="serie geschakeld met warmtewisselaar",(O41-(K41-S41)),IF(OPFOKLEGHEN!$H$13="parallel geschakeld met warmtewisselaar",IF(OPFOKLEGHEN!$L$9="ja",IF(OPFOKLEGHEN!$J$18="nee",(N41-(K41-Q41)-(K41-S41)),(Q41-(K41-N41/80%)))))),(O41-(K41-S41))))</f>
        <v>1.995899000558258</v>
      </c>
      <c r="Z41" s="130">
        <f t="shared" si="5"/>
        <v>1</v>
      </c>
      <c r="AA41" s="130"/>
      <c r="AB41" s="130"/>
      <c r="AC41" s="167">
        <f>IF(H41=0,0,IF(OPFOKLEGHEN!$H$11="geen droogtunnel",IF(OPFOKLEGHEN!$H$15="geen warmtewisselaar",(P41-(K41-R41)/R$13),K41-(K41-O41)/I$6-(K41-R41)/95%)+IF(OPFOKLEGHEN!$J$18="ja",(K41-O41)*(1-I$6)),IF(OPFOKLEGHEN!$H$12&gt;=0,IF(OPFOKLEGHEN!$L$9="ja",IF(OPFOKLEGHEN!$J$18="ja",IF(OPFOKLEGHEN!$H$20="ja",O41-(K41-S41),IF(OPFOKLEGHEN!$H$20="nee",(O41-(K41-S41)),(O41-(K41-S41)))),IF(OPFOKLEGHEN!$J$18="nee",IF(OPFOKLEGHEN!$H$20="nee",O41*80%-(K41-S41),0+O41-(K41-S41)))),IF(OPFOKLEGHEN!$L$9="nee",IF(OPFOKLEGHEN!$J$18="nee",IF(OPFOKLEGHEN!$H$20="nee",(O41*80%-(K41-S41)),O41*93%-(K41-S41)),IF(OPFOKLEGHEN!$H$20="nee",IF(OPFOKLEGHEN!$J$18="ja",IF(OPFOKLEGHEN!$L$9="nee",O41-(K41-S41))),O41-(K41-S41))))))))</f>
        <v>0.99794950027912899</v>
      </c>
      <c r="AD41" s="167" t="e">
        <f>IF(H41=0,0,IF(OPFOKLEGHEN!$H$11="geen droogtunnel",IF(OPFOKLEGHEN!$H$15="geen warmtewisselaar",(Q41-(K41-R41)/S$13),N41-(K41-R41)),IF(OPFOKLEGHEN!$H$12&gt;=0,IF(OPFOKLEGHEN!$L$9="ja",IF(OPFOKLEGHEN!$J$18="ja",IF(OPFOKLEGHEN!$H$20="ja",Q41-(K41-N41)-(K41-S41),IF(OPFOKLEGHEN!$H$20="nee",(Q41-(K41-N41)-(K41-S41)),(O41-(K41-S41)))),IF(OPFOKLEGHEN!$J$18="nee",IF(OPFOKLEGHEN!$H$20="nee",1*Q41*$N$135-(K41-N41)-(K41-S41),(Q41-(K41-N41)-(K41-S41))*N$135))),IF(OPFOKLEGHEN!$L$9="nee",IF(OPFOKLEGHEN!$J$18="nee",IF(OPFOKLEGHEN!$H$20="nee",(N41*95%-(K41-Q41)/I$4-(K41-S41)),N41-(K41-Q41)/I$4-(K41-S41)),IF(OPFOKLEGHEN!$H$20="nee",IF(OPFOKLEGHEN!$J$18="ja",IF(OPFOKLEGHEN!$L$9="nee",N41-(K41-Q41)/I$4-(K41-S41))),N41-(K41-Q41)/I$4-(K41-S41))))))))</f>
        <v>#DIV/0!</v>
      </c>
      <c r="AE41" s="29">
        <f t="shared" si="6"/>
        <v>0</v>
      </c>
      <c r="AF41" s="6">
        <f t="shared" si="7"/>
        <v>0.33592877427946305</v>
      </c>
      <c r="AG41" s="6">
        <f t="shared" si="8"/>
        <v>0</v>
      </c>
      <c r="AH41" s="4">
        <f t="shared" si="9"/>
        <v>0</v>
      </c>
      <c r="AI41" s="6">
        <f t="shared" si="19"/>
        <v>0.33592877427946305</v>
      </c>
      <c r="AJ41" s="6">
        <f t="shared" si="10"/>
        <v>0</v>
      </c>
      <c r="AK41" s="4">
        <f t="shared" si="11"/>
        <v>0.33912300628400005</v>
      </c>
      <c r="AL41" s="6">
        <f t="shared" si="12"/>
        <v>2.9619505716047207E-3</v>
      </c>
      <c r="AM41" s="1">
        <v>4</v>
      </c>
      <c r="AN41" s="1">
        <v>26</v>
      </c>
      <c r="AO41" s="5">
        <f t="shared" si="26"/>
        <v>265.5</v>
      </c>
      <c r="AP41" s="5">
        <f t="shared" si="27"/>
        <v>236.50000000000006</v>
      </c>
      <c r="AQ41" s="5">
        <f t="shared" si="20"/>
        <v>251.00000000000003</v>
      </c>
      <c r="AR41" s="100" t="e">
        <f t="shared" si="13"/>
        <v>#DIV/0!</v>
      </c>
    </row>
    <row r="42" spans="1:45" ht="13" x14ac:dyDescent="0.3">
      <c r="A42" s="1">
        <v>4</v>
      </c>
      <c r="B42" s="1">
        <v>27</v>
      </c>
      <c r="C42" s="4">
        <f t="shared" si="14"/>
        <v>0.349407756925732</v>
      </c>
      <c r="D42" s="7">
        <f t="shared" si="0"/>
        <v>0</v>
      </c>
      <c r="E42" s="7">
        <f>IF(I$3=0,0,IF(OPFOKLEGHEN!$H$13="parallel geschakeld met warmtewisselaar",0,MIN(I$3,C42)))</f>
        <v>0</v>
      </c>
      <c r="F42" s="7">
        <f>IF(I$3=0,0,IF(OPFOKLEGHEN!$H$13="serie geschakeld met warmtewisselaar",0,IF(C42&lt;$I$3,C42-D42,MIN($I$3,C42-D42))))</f>
        <v>0</v>
      </c>
      <c r="G42" s="137">
        <f>IF(C42&lt;$I$7,MAX(0,C42-D42-E42-F42,IF(OPFOKLEGHEN!$H$15="warmtewisselaar",IF(OPFOKLEGHEN!$H$13="serie geschakeld met warmtewisselaar",MIN(I$7,MAX(0,C42-D42-F42)),MIN(I$7,MAX(0,C42-D42-E42-F42))))),IF(OPFOKLEGHEN!$H$13="parallel geschakeld met warmtewisselaar",MIN(I$7,C42-D42-E42-F42,MIN(I$7,C42-E42-F42)),MIN(I$7,MAX(0,C42-D42-F42))))</f>
        <v>0</v>
      </c>
      <c r="H42" s="7">
        <f>IF(OPFOKLEGHEN!$H$13="parallel geschakeld met warmtewisselaar",IF(OPFOKLEGHEN!$L$9="nee",IF(OPFOKLEGHEN!$J$18="ja",C42-F42-G42,C42-D42-F42-G42),IF(OPFOKLEGHEN!$L$9="ja",IF(OPFOKLEGHEN!$J$18="ja",C42-G42,IF(OPFOKLEGHEN!$J$18="nee",C42-D42-G42)))),IF(OPFOKLEGHEN!$H$13="serie geschakeld met warmtewisselaar",IF(OPFOKLEGHEN!$J$18="ja",C42-G42,C42-D42-F42-G42),C42-D42-F42-G42))</f>
        <v>0.349407756925732</v>
      </c>
      <c r="I42" s="98">
        <f t="shared" si="15"/>
        <v>0.349407756925732</v>
      </c>
      <c r="J42" s="99">
        <v>0.34216708013769137</v>
      </c>
      <c r="K42" s="6">
        <f t="shared" si="16"/>
        <v>1.0473090880111044</v>
      </c>
      <c r="L42" s="130">
        <f>SUM(K$16:K42)/$K$137</f>
        <v>1.7963630442458314E-2</v>
      </c>
      <c r="M42" s="6">
        <f t="shared" si="17"/>
        <v>3.2280074630479244E-3</v>
      </c>
      <c r="N42" s="6">
        <f t="shared" si="1"/>
        <v>1.0473090880111044</v>
      </c>
      <c r="O42" s="6">
        <f>IF(E42&lt;I$3,P42*(1-I$6*D42/C42),IF(OPFOKLEGHEN!$H$11="droogtunnel (platen) 55%",P42*(1-$I$6)+(C42-D42)/C42*(K42-P42*(1-I$6)),P42*(1-$I$6)+(C42-D42)/C42*(K42-P42*(1-I$6))))</f>
        <v>1.0473090880111044</v>
      </c>
      <c r="P42" s="129">
        <f t="shared" si="2"/>
        <v>1.0473090880111044</v>
      </c>
      <c r="Q42" s="134">
        <f t="shared" si="3"/>
        <v>1.0473090880111044</v>
      </c>
      <c r="R42" s="134">
        <f t="shared" si="18"/>
        <v>1.0473090880111044</v>
      </c>
      <c r="S42" s="199">
        <f>IF(G42&lt;0.1,K42,IF(C42=F42,S42/(1-I$4),IF(I$3=0,K42-(G42/C42)*K42*S$13,IF(OPFOKLEGHEN!$H$13="Parallel geschakeld met warmtewisselaar",K42-(K42-(K42-Q42)/I$4)*(G42/(C42-F42))*S$13,IF(OPFOKLEGHEN!$H$20="ja",K42-(K42-(K42-P42)/I$4)*(G42/(C42-MIN(D42,I$5)))*S$13,K42-(K42-(K42-P42)/I$4)*(G42/(C42-MIN(D42,I$5)))*S$13)))))</f>
        <v>1.0473090880111044</v>
      </c>
      <c r="T42" s="17">
        <f t="shared" si="21"/>
        <v>1.0473090880111044</v>
      </c>
      <c r="U42" s="6" t="e">
        <f t="shared" si="22"/>
        <v>#DIV/0!</v>
      </c>
      <c r="V42" s="129">
        <f>IF(OPFOKLEGHEN!$J$18="nee",H42/C42*K42,IF(OPFOKLEGHEN!$H$20="ja",O42-(K42-Q42)-(K42-S42),Q42-(K42-O42)-(K42-S42)))</f>
        <v>1.0473090880111044</v>
      </c>
      <c r="W42" s="162">
        <f>IF(H42=0,0,IF(OPFOKLEGHEN!$H$11="geen droogtunnel",IF(OPFOKLEGHEN!$H$15="geen warmtewisselaar",Q42-(K42-R42)))+IF(OPFOKLEGHEN!$H$12&gt;0,IF(OPFOKLEGHEN!$H$13="serie geschakeld met warmtewisselaar",(O42*80%-(K42-S42)),(Q42-(K42-S42)-(K42-T42))),(N42-(K42-S42))))</f>
        <v>2.0946181760222089</v>
      </c>
      <c r="X42" s="162">
        <f>IF(H42=0,0,IF(OPFOKLEGHEN!$H$11="geen droogtunnel",IF(OPFOKLEGHEN!$H$15="geen warmtewisselaar",Q42-(K42-R42)))+IF(OPFOKLEGHEN!$H$12&gt;0,IF(OPFOKLEGHEN!$H$13="serie geschakeld met warmtewisselaar",3*(O42*80%-(K42-S42)),(Q42-(K42-S42)-(K42-N42))),(N42-(K42-S42))))</f>
        <v>2.0946181760222089</v>
      </c>
      <c r="Y42" s="162">
        <f>IF(H42=0,0,IF(OPFOKLEGHEN!$H$11="geen droogtunnel",IF(OPFOKLEGHEN!$H$15="geen warmtewisselaar",Q42-(K42-R42)))+IF(OPFOKLEGHEN!$H$12&gt;0,IF(OPFOKLEGHEN!$H$13="serie geschakeld met warmtewisselaar",(O42-(K42-S42)),IF(OPFOKLEGHEN!$H$13="parallel geschakeld met warmtewisselaar",IF(OPFOKLEGHEN!$L$9="ja",IF(OPFOKLEGHEN!$J$18="nee",(N42-(K42-Q42)-(K42-S42)),(Q42-(K42-N42/80%)))))),(O42-(K42-S42))))</f>
        <v>2.0946181760222089</v>
      </c>
      <c r="Z42" s="130">
        <f t="shared" si="5"/>
        <v>1</v>
      </c>
      <c r="AA42" s="130"/>
      <c r="AB42" s="130"/>
      <c r="AC42" s="167">
        <f>IF(H42=0,0,IF(OPFOKLEGHEN!$H$11="geen droogtunnel",IF(OPFOKLEGHEN!$H$15="geen warmtewisselaar",(P42-(K42-R42)/R$13),K42-(K42-O42)/I$6-(K42-R42)/95%)+IF(OPFOKLEGHEN!$J$18="ja",(K42-O42)*(1-I$6)),IF(OPFOKLEGHEN!$H$12&gt;=0,IF(OPFOKLEGHEN!$L$9="ja",IF(OPFOKLEGHEN!$J$18="ja",IF(OPFOKLEGHEN!$H$20="ja",O42-(K42-S42),IF(OPFOKLEGHEN!$H$20="nee",(O42-(K42-S42)),(O42-(K42-S42)))),IF(OPFOKLEGHEN!$J$18="nee",IF(OPFOKLEGHEN!$H$20="nee",O42*80%-(K42-S42),0+O42-(K42-S42)))),IF(OPFOKLEGHEN!$L$9="nee",IF(OPFOKLEGHEN!$J$18="nee",IF(OPFOKLEGHEN!$H$20="nee",(O42*80%-(K42-S42)),O42*93%-(K42-S42)),IF(OPFOKLEGHEN!$H$20="nee",IF(OPFOKLEGHEN!$J$18="ja",IF(OPFOKLEGHEN!$L$9="nee",O42-(K42-S42))),O42-(K42-S42))))))))</f>
        <v>1.0473090880111044</v>
      </c>
      <c r="AD42" s="167" t="e">
        <f>IF(H42=0,0,IF(OPFOKLEGHEN!$H$11="geen droogtunnel",IF(OPFOKLEGHEN!$H$15="geen warmtewisselaar",(Q42-(K42-R42)/S$13),N42-(K42-R42)),IF(OPFOKLEGHEN!$H$12&gt;=0,IF(OPFOKLEGHEN!$L$9="ja",IF(OPFOKLEGHEN!$J$18="ja",IF(OPFOKLEGHEN!$H$20="ja",Q42-(K42-N42)-(K42-S42),IF(OPFOKLEGHEN!$H$20="nee",(Q42-(K42-N42)-(K42-S42)),(O42-(K42-S42)))),IF(OPFOKLEGHEN!$J$18="nee",IF(OPFOKLEGHEN!$H$20="nee",1*Q42*$N$135-(K42-N42)-(K42-S42),(Q42-(K42-N42)-(K42-S42))*N$135))),IF(OPFOKLEGHEN!$L$9="nee",IF(OPFOKLEGHEN!$J$18="nee",IF(OPFOKLEGHEN!$H$20="nee",(N42*95%-(K42-Q42)/I$4-(K42-S42)),N42-(K42-Q42)/I$4-(K42-S42)),IF(OPFOKLEGHEN!$H$20="nee",IF(OPFOKLEGHEN!$J$18="ja",IF(OPFOKLEGHEN!$L$9="nee",N42-(K42-Q42)/I$4-(K42-S42))),N42-(K42-Q42)/I$4-(K42-S42))))))))</f>
        <v>#DIV/0!</v>
      </c>
      <c r="AE42" s="29">
        <f t="shared" si="6"/>
        <v>0</v>
      </c>
      <c r="AF42" s="6">
        <f t="shared" si="7"/>
        <v>0.34216708013769137</v>
      </c>
      <c r="AG42" s="6">
        <f t="shared" si="8"/>
        <v>0</v>
      </c>
      <c r="AH42" s="4">
        <f t="shared" si="9"/>
        <v>0</v>
      </c>
      <c r="AI42" s="6">
        <f t="shared" si="19"/>
        <v>0.34216708013769137</v>
      </c>
      <c r="AJ42" s="6">
        <f t="shared" si="10"/>
        <v>0</v>
      </c>
      <c r="AK42" s="4">
        <f t="shared" si="11"/>
        <v>0.349407756925732</v>
      </c>
      <c r="AL42" s="6">
        <f t="shared" si="12"/>
        <v>3.2280074630479244E-3</v>
      </c>
      <c r="AM42" s="1">
        <v>4</v>
      </c>
      <c r="AN42" s="1">
        <v>27</v>
      </c>
      <c r="AO42" s="5">
        <f t="shared" si="26"/>
        <v>277.60000000000002</v>
      </c>
      <c r="AP42" s="5">
        <f t="shared" si="27"/>
        <v>245.80000000000007</v>
      </c>
      <c r="AQ42" s="5">
        <f t="shared" si="20"/>
        <v>261.70000000000005</v>
      </c>
      <c r="AR42" s="100" t="e">
        <f t="shared" si="13"/>
        <v>#DIV/0!</v>
      </c>
    </row>
    <row r="43" spans="1:45" ht="13" x14ac:dyDescent="0.3">
      <c r="A43" s="1">
        <v>4</v>
      </c>
      <c r="B43" s="1">
        <v>28</v>
      </c>
      <c r="C43" s="4">
        <f t="shared" si="14"/>
        <v>0.35977921167249993</v>
      </c>
      <c r="D43" s="7">
        <f t="shared" si="0"/>
        <v>0</v>
      </c>
      <c r="E43" s="7">
        <f>IF(I$3=0,0,IF(OPFOKLEGHEN!$H$13="parallel geschakeld met warmtewisselaar",0,MIN(I$3,C43)))</f>
        <v>0</v>
      </c>
      <c r="F43" s="7">
        <f>IF(I$3=0,0,IF(OPFOKLEGHEN!$H$13="serie geschakeld met warmtewisselaar",0,IF(C43&lt;$I$3,C43-D43,MIN($I$3,C43-D43))))</f>
        <v>0</v>
      </c>
      <c r="G43" s="137">
        <f>IF(C43&lt;$I$7,MAX(0,C43-D43-E43-F43,IF(OPFOKLEGHEN!$H$15="warmtewisselaar",IF(OPFOKLEGHEN!$H$13="serie geschakeld met warmtewisselaar",MIN(I$7,MAX(0,C43-D43-F43)),MIN(I$7,MAX(0,C43-D43-E43-F43))))),IF(OPFOKLEGHEN!$H$13="parallel geschakeld met warmtewisselaar",MIN(I$7,C43-D43-E43-F43,MIN(I$7,C43-E43-F43)),MIN(I$7,MAX(0,C43-D43-F43))))</f>
        <v>0</v>
      </c>
      <c r="H43" s="7">
        <f>IF(OPFOKLEGHEN!$H$13="parallel geschakeld met warmtewisselaar",IF(OPFOKLEGHEN!$L$9="nee",IF(OPFOKLEGHEN!$J$18="ja",C43-F43-G43,C43-D43-F43-G43),IF(OPFOKLEGHEN!$L$9="ja",IF(OPFOKLEGHEN!$J$18="ja",C43-G43,IF(OPFOKLEGHEN!$J$18="nee",C43-D43-G43)))),IF(OPFOKLEGHEN!$H$13="serie geschakeld met warmtewisselaar",IF(OPFOKLEGHEN!$J$18="ja",C43-G43,C43-D43-F43-G43),C43-D43-F43-G43))</f>
        <v>0.35977921167249993</v>
      </c>
      <c r="I43" s="98">
        <f t="shared" si="15"/>
        <v>0.35977921167249993</v>
      </c>
      <c r="J43" s="99">
        <v>0.34852123335095586</v>
      </c>
      <c r="K43" s="6">
        <f t="shared" si="16"/>
        <v>1.0984224845745363</v>
      </c>
      <c r="L43" s="130">
        <f>SUM(K$16:K43)/$K$137</f>
        <v>1.9249927238865466E-2</v>
      </c>
      <c r="M43" s="6">
        <f t="shared" si="17"/>
        <v>3.5109394484117602E-3</v>
      </c>
      <c r="N43" s="6">
        <f t="shared" si="1"/>
        <v>1.0984224845745363</v>
      </c>
      <c r="O43" s="6">
        <f>IF(E43&lt;I$3,P43*(1-I$6*D43/C43),IF(OPFOKLEGHEN!$H$11="droogtunnel (platen) 55%",P43*(1-$I$6)+(C43-D43)/C43*(K43-P43*(1-I$6)),P43*(1-$I$6)+(C43-D43)/C43*(K43-P43*(1-I$6))))</f>
        <v>1.0984224845745363</v>
      </c>
      <c r="P43" s="129">
        <f t="shared" si="2"/>
        <v>1.0984224845745363</v>
      </c>
      <c r="Q43" s="134">
        <f t="shared" si="3"/>
        <v>1.0984224845745363</v>
      </c>
      <c r="R43" s="134">
        <f t="shared" si="18"/>
        <v>1.0984224845745363</v>
      </c>
      <c r="S43" s="199">
        <f>IF(G43&lt;0.1,K43,IF(C43=F43,S43/(1-I$4),IF(I$3=0,K43-(G43/C43)*K43*S$13,IF(OPFOKLEGHEN!$H$13="Parallel geschakeld met warmtewisselaar",K43-(K43-(K43-Q43)/I$4)*(G43/(C43-F43))*S$13,IF(OPFOKLEGHEN!$H$20="ja",K43-(K43-(K43-P43)/I$4)*(G43/(C43-MIN(D43,I$5)))*S$13,K43-(K43-(K43-P43)/I$4)*(G43/(C43-MIN(D43,I$5)))*S$13)))))</f>
        <v>1.0984224845745363</v>
      </c>
      <c r="T43" s="17">
        <f t="shared" si="21"/>
        <v>1.0984224845745363</v>
      </c>
      <c r="U43" s="6" t="e">
        <f t="shared" si="22"/>
        <v>#DIV/0!</v>
      </c>
      <c r="V43" s="129">
        <f>IF(OPFOKLEGHEN!$J$18="nee",H43/C43*K43,IF(OPFOKLEGHEN!$H$20="ja",O43-(K43-Q43)-(K43-S43),Q43-(K43-O43)-(K43-S43)))</f>
        <v>1.0984224845745363</v>
      </c>
      <c r="W43" s="162">
        <f>IF(H43=0,0,IF(OPFOKLEGHEN!$H$11="geen droogtunnel",IF(OPFOKLEGHEN!$H$15="geen warmtewisselaar",Q43-(K43-R43)))+IF(OPFOKLEGHEN!$H$12&gt;0,IF(OPFOKLEGHEN!$H$13="serie geschakeld met warmtewisselaar",(O43*80%-(K43-S43)),(Q43-(K43-S43)-(K43-T43))),(N43-(K43-S43))))</f>
        <v>2.1968449691490726</v>
      </c>
      <c r="X43" s="162">
        <f>IF(H43=0,0,IF(OPFOKLEGHEN!$H$11="geen droogtunnel",IF(OPFOKLEGHEN!$H$15="geen warmtewisselaar",Q43-(K43-R43)))+IF(OPFOKLEGHEN!$H$12&gt;0,IF(OPFOKLEGHEN!$H$13="serie geschakeld met warmtewisselaar",3*(O43*80%-(K43-S43)),(Q43-(K43-S43)-(K43-N43))),(N43-(K43-S43))))</f>
        <v>2.1968449691490726</v>
      </c>
      <c r="Y43" s="162">
        <f>IF(H43=0,0,IF(OPFOKLEGHEN!$H$11="geen droogtunnel",IF(OPFOKLEGHEN!$H$15="geen warmtewisselaar",Q43-(K43-R43)))+IF(OPFOKLEGHEN!$H$12&gt;0,IF(OPFOKLEGHEN!$H$13="serie geschakeld met warmtewisselaar",(O43-(K43-S43)),IF(OPFOKLEGHEN!$H$13="parallel geschakeld met warmtewisselaar",IF(OPFOKLEGHEN!$L$9="ja",IF(OPFOKLEGHEN!$J$18="nee",(N43-(K43-Q43)-(K43-S43)),(Q43-(K43-N43/80%)))))),(O43-(K43-S43))))</f>
        <v>2.1968449691490726</v>
      </c>
      <c r="Z43" s="130">
        <f t="shared" si="5"/>
        <v>1</v>
      </c>
      <c r="AA43" s="130"/>
      <c r="AB43" s="130"/>
      <c r="AC43" s="167">
        <f>IF(H43=0,0,IF(OPFOKLEGHEN!$H$11="geen droogtunnel",IF(OPFOKLEGHEN!$H$15="geen warmtewisselaar",(P43-(K43-R43)/R$13),K43-(K43-O43)/I$6-(K43-R43)/95%)+IF(OPFOKLEGHEN!$J$18="ja",(K43-O43)*(1-I$6)),IF(OPFOKLEGHEN!$H$12&gt;=0,IF(OPFOKLEGHEN!$L$9="ja",IF(OPFOKLEGHEN!$J$18="ja",IF(OPFOKLEGHEN!$H$20="ja",O43-(K43-S43),IF(OPFOKLEGHEN!$H$20="nee",(O43-(K43-S43)),(O43-(K43-S43)))),IF(OPFOKLEGHEN!$J$18="nee",IF(OPFOKLEGHEN!$H$20="nee",O43*80%-(K43-S43),0+O43-(K43-S43)))),IF(OPFOKLEGHEN!$L$9="nee",IF(OPFOKLEGHEN!$J$18="nee",IF(OPFOKLEGHEN!$H$20="nee",(O43*80%-(K43-S43)),O43*93%-(K43-S43)),IF(OPFOKLEGHEN!$H$20="nee",IF(OPFOKLEGHEN!$J$18="ja",IF(OPFOKLEGHEN!$L$9="nee",O43-(K43-S43))),O43-(K43-S43))))))))</f>
        <v>1.0984224845745363</v>
      </c>
      <c r="AD43" s="167" t="e">
        <f>IF(H43=0,0,IF(OPFOKLEGHEN!$H$11="geen droogtunnel",IF(OPFOKLEGHEN!$H$15="geen warmtewisselaar",(Q43-(K43-R43)/S$13),N43-(K43-R43)),IF(OPFOKLEGHEN!$H$12&gt;=0,IF(OPFOKLEGHEN!$L$9="ja",IF(OPFOKLEGHEN!$J$18="ja",IF(OPFOKLEGHEN!$H$20="ja",Q43-(K43-N43)-(K43-S43),IF(OPFOKLEGHEN!$H$20="nee",(Q43-(K43-N43)-(K43-S43)),(O43-(K43-S43)))),IF(OPFOKLEGHEN!$J$18="nee",IF(OPFOKLEGHEN!$H$20="nee",1*Q43*$N$135-(K43-N43)-(K43-S43),(Q43-(K43-N43)-(K43-S43))*N$135))),IF(OPFOKLEGHEN!$L$9="nee",IF(OPFOKLEGHEN!$J$18="nee",IF(OPFOKLEGHEN!$H$20="nee",(N43*95%-(K43-Q43)/I$4-(K43-S43)),N43-(K43-Q43)/I$4-(K43-S43)),IF(OPFOKLEGHEN!$H$20="nee",IF(OPFOKLEGHEN!$J$18="ja",IF(OPFOKLEGHEN!$L$9="nee",N43-(K43-Q43)/I$4-(K43-S43))),N43-(K43-Q43)/I$4-(K43-S43))))))))</f>
        <v>#DIV/0!</v>
      </c>
      <c r="AE43" s="29">
        <f t="shared" si="6"/>
        <v>0</v>
      </c>
      <c r="AF43" s="6">
        <f t="shared" si="7"/>
        <v>0.34852123335095586</v>
      </c>
      <c r="AG43" s="6">
        <f t="shared" si="8"/>
        <v>0</v>
      </c>
      <c r="AH43" s="4">
        <f t="shared" si="9"/>
        <v>0</v>
      </c>
      <c r="AI43" s="6">
        <f t="shared" si="19"/>
        <v>0.34852123335095586</v>
      </c>
      <c r="AJ43" s="6">
        <f t="shared" si="10"/>
        <v>0</v>
      </c>
      <c r="AK43" s="4">
        <f t="shared" si="11"/>
        <v>0.35977921167249993</v>
      </c>
      <c r="AL43" s="6">
        <f t="shared" si="12"/>
        <v>3.5109394484117602E-3</v>
      </c>
      <c r="AM43" s="1">
        <v>4</v>
      </c>
      <c r="AN43" s="1">
        <v>28</v>
      </c>
      <c r="AO43" s="5">
        <v>290</v>
      </c>
      <c r="AP43" s="5">
        <v>255</v>
      </c>
      <c r="AQ43" s="5">
        <f t="shared" si="20"/>
        <v>272.5</v>
      </c>
      <c r="AR43" s="100" t="e">
        <f t="shared" si="13"/>
        <v>#DIV/0!</v>
      </c>
    </row>
    <row r="44" spans="1:45" ht="13" x14ac:dyDescent="0.3">
      <c r="A44" s="1">
        <v>5</v>
      </c>
      <c r="B44" s="1">
        <v>29</v>
      </c>
      <c r="C44" s="4">
        <f t="shared" si="14"/>
        <v>0.37067181997969395</v>
      </c>
      <c r="D44" s="7">
        <f t="shared" si="0"/>
        <v>0</v>
      </c>
      <c r="E44" s="7">
        <f>IF(I$3=0,0,IF(OPFOKLEGHEN!$H$13="parallel geschakeld met warmtewisselaar",0,MIN(I$3,C44)))</f>
        <v>0</v>
      </c>
      <c r="F44" s="7">
        <f>IF(I$3=0,0,IF(OPFOKLEGHEN!$H$13="serie geschakeld met warmtewisselaar",0,IF(C44&lt;$I$3,C44-D44,MIN($I$3,C44-D44))))</f>
        <v>0</v>
      </c>
      <c r="G44" s="137">
        <f>IF(C44&lt;$I$7,MAX(0,C44-D44-E44-F44,IF(OPFOKLEGHEN!$H$15="warmtewisselaar",IF(OPFOKLEGHEN!$H$13="serie geschakeld met warmtewisselaar",MIN(I$7,MAX(0,C44-D44-F44)),MIN(I$7,MAX(0,C44-D44-E44-F44))))),IF(OPFOKLEGHEN!$H$13="parallel geschakeld met warmtewisselaar",MIN(I$7,C44-D44-E44-F44,MIN(I$7,C44-E44-F44)),MIN(I$7,MAX(0,C44-D44-F44))))</f>
        <v>0</v>
      </c>
      <c r="H44" s="7">
        <f>IF(OPFOKLEGHEN!$H$13="parallel geschakeld met warmtewisselaar",IF(OPFOKLEGHEN!$L$9="nee",IF(OPFOKLEGHEN!$J$18="ja",C44-F44-G44,C44-D44-F44-G44),IF(OPFOKLEGHEN!$L$9="ja",IF(OPFOKLEGHEN!$J$18="ja",C44-G44,IF(OPFOKLEGHEN!$J$18="nee",C44-D44-G44)))),IF(OPFOKLEGHEN!$H$13="serie geschakeld met warmtewisselaar",IF(OPFOKLEGHEN!$J$18="ja",C44-G44,C44-D44-F44-G44),C44-D44-F44-G44))</f>
        <v>0.37067181997969395</v>
      </c>
      <c r="I44" s="98">
        <f t="shared" si="15"/>
        <v>0.37067181997969395</v>
      </c>
      <c r="J44" s="99">
        <v>0.35499338524206325</v>
      </c>
      <c r="K44" s="6">
        <f t="shared" si="16"/>
        <v>1.1526937470906311</v>
      </c>
      <c r="L44" s="130">
        <f>SUM(K$16:K44)/$K$137</f>
        <v>2.059977786095606E-2</v>
      </c>
      <c r="M44" s="6">
        <f t="shared" si="17"/>
        <v>3.8159952814644186E-3</v>
      </c>
      <c r="N44" s="6">
        <f t="shared" si="1"/>
        <v>1.1526937470906311</v>
      </c>
      <c r="O44" s="6">
        <f>IF(E44&lt;I$3,P44*(1-I$6*D44/C44),IF(OPFOKLEGHEN!$H$11="droogtunnel (platen) 55%",P44*(1-$I$6)+(C44-D44)/C44*(K44-P44*(1-I$6)),P44*(1-$I$6)+(C44-D44)/C44*(K44-P44*(1-I$6))))</f>
        <v>1.1526937470906311</v>
      </c>
      <c r="P44" s="129">
        <f t="shared" si="2"/>
        <v>1.1526937470906311</v>
      </c>
      <c r="Q44" s="134">
        <f t="shared" si="3"/>
        <v>1.1526937470906311</v>
      </c>
      <c r="R44" s="134">
        <f t="shared" si="18"/>
        <v>1.1526937470906311</v>
      </c>
      <c r="S44" s="199">
        <f>IF(G44&lt;0.1,K44,IF(C44=F44,S44/(1-I$4),IF(I$3=0,K44-(G44/C44)*K44*S$13,IF(OPFOKLEGHEN!$H$13="Parallel geschakeld met warmtewisselaar",K44-(K44-(K44-Q44)/I$4)*(G44/(C44-F44))*S$13,IF(OPFOKLEGHEN!$H$20="ja",K44-(K44-(K44-P44)/I$4)*(G44/(C44-MIN(D44,I$5)))*S$13,K44-(K44-(K44-P44)/I$4)*(G44/(C44-MIN(D44,I$5)))*S$13)))))</f>
        <v>1.1526937470906311</v>
      </c>
      <c r="T44" s="17">
        <f t="shared" si="21"/>
        <v>1.1526937470906311</v>
      </c>
      <c r="U44" s="6" t="e">
        <f t="shared" si="22"/>
        <v>#DIV/0!</v>
      </c>
      <c r="V44" s="129">
        <f>IF(OPFOKLEGHEN!$J$18="nee",H44/C44*K44,IF(OPFOKLEGHEN!$H$20="ja",O44-(K44-Q44)-(K44-S44),Q44-(K44-O44)-(K44-S44)))</f>
        <v>1.1526937470906311</v>
      </c>
      <c r="W44" s="162">
        <f>IF(H44=0,0,IF(OPFOKLEGHEN!$H$11="geen droogtunnel",IF(OPFOKLEGHEN!$H$15="geen warmtewisselaar",Q44-(K44-R44)))+IF(OPFOKLEGHEN!$H$12&gt;0,IF(OPFOKLEGHEN!$H$13="serie geschakeld met warmtewisselaar",(O44*80%-(K44-S44)),(Q44-(K44-S44)-(K44-T44))),(N44-(K44-S44))))</f>
        <v>2.3053874941812622</v>
      </c>
      <c r="X44" s="162">
        <f>IF(H44=0,0,IF(OPFOKLEGHEN!$H$11="geen droogtunnel",IF(OPFOKLEGHEN!$H$15="geen warmtewisselaar",Q44-(K44-R44)))+IF(OPFOKLEGHEN!$H$12&gt;0,IF(OPFOKLEGHEN!$H$13="serie geschakeld met warmtewisselaar",3*(O44*80%-(K44-S44)),(Q44-(K44-S44)-(K44-N44))),(N44-(K44-S44))))</f>
        <v>2.3053874941812622</v>
      </c>
      <c r="Y44" s="162">
        <f>IF(H44=0,0,IF(OPFOKLEGHEN!$H$11="geen droogtunnel",IF(OPFOKLEGHEN!$H$15="geen warmtewisselaar",Q44-(K44-R44)))+IF(OPFOKLEGHEN!$H$12&gt;0,IF(OPFOKLEGHEN!$H$13="serie geschakeld met warmtewisselaar",(O44-(K44-S44)),IF(OPFOKLEGHEN!$H$13="parallel geschakeld met warmtewisselaar",IF(OPFOKLEGHEN!$L$9="ja",IF(OPFOKLEGHEN!$J$18="nee",(N44-(K44-Q44)-(K44-S44)),(Q44-(K44-N44/80%)))))),(O44-(K44-S44))))</f>
        <v>2.3053874941812622</v>
      </c>
      <c r="Z44" s="130">
        <f t="shared" si="5"/>
        <v>1</v>
      </c>
      <c r="AA44" s="130"/>
      <c r="AB44" s="130"/>
      <c r="AC44" s="167">
        <f>IF(H44=0,0,IF(OPFOKLEGHEN!$H$11="geen droogtunnel",IF(OPFOKLEGHEN!$H$15="geen warmtewisselaar",(P44-(K44-R44)/R$13),K44-(K44-O44)/I$6-(K44-R44)/95%)+IF(OPFOKLEGHEN!$J$18="ja",(K44-O44)*(1-I$6)),IF(OPFOKLEGHEN!$H$12&gt;=0,IF(OPFOKLEGHEN!$L$9="ja",IF(OPFOKLEGHEN!$J$18="ja",IF(OPFOKLEGHEN!$H$20="ja",O44-(K44-S44),IF(OPFOKLEGHEN!$H$20="nee",(O44-(K44-S44)),(O44-(K44-S44)))),IF(OPFOKLEGHEN!$J$18="nee",IF(OPFOKLEGHEN!$H$20="nee",O44*80%-(K44-S44),0+O44-(K44-S44)))),IF(OPFOKLEGHEN!$L$9="nee",IF(OPFOKLEGHEN!$J$18="nee",IF(OPFOKLEGHEN!$H$20="nee",(O44*80%-(K44-S44)),O44*93%-(K44-S44)),IF(OPFOKLEGHEN!$H$20="nee",IF(OPFOKLEGHEN!$J$18="ja",IF(OPFOKLEGHEN!$L$9="nee",O44-(K44-S44))),O44-(K44-S44))))))))</f>
        <v>1.1526937470906311</v>
      </c>
      <c r="AD44" s="167" t="e">
        <f>IF(H44=0,0,IF(OPFOKLEGHEN!$H$11="geen droogtunnel",IF(OPFOKLEGHEN!$H$15="geen warmtewisselaar",(Q44-(K44-R44)/S$13),N44-(K44-R44)),IF(OPFOKLEGHEN!$H$12&gt;=0,IF(OPFOKLEGHEN!$L$9="ja",IF(OPFOKLEGHEN!$J$18="ja",IF(OPFOKLEGHEN!$H$20="ja",Q44-(K44-N44)-(K44-S44),IF(OPFOKLEGHEN!$H$20="nee",(Q44-(K44-N44)-(K44-S44)),(O44-(K44-S44)))),IF(OPFOKLEGHEN!$J$18="nee",IF(OPFOKLEGHEN!$H$20="nee",1*Q44*$N$135-(K44-N44)-(K44-S44),(Q44-(K44-N44)-(K44-S44))*N$135))),IF(OPFOKLEGHEN!$L$9="nee",IF(OPFOKLEGHEN!$J$18="nee",IF(OPFOKLEGHEN!$H$20="nee",(N44*95%-(K44-Q44)/I$4-(K44-S44)),N44-(K44-Q44)/I$4-(K44-S44)),IF(OPFOKLEGHEN!$H$20="nee",IF(OPFOKLEGHEN!$J$18="ja",IF(OPFOKLEGHEN!$L$9="nee",N44-(K44-Q44)/I$4-(K44-S44))),N44-(K44-Q44)/I$4-(K44-S44))))))))</f>
        <v>#DIV/0!</v>
      </c>
      <c r="AE44" s="29">
        <f t="shared" si="6"/>
        <v>0</v>
      </c>
      <c r="AF44" s="6">
        <f t="shared" si="7"/>
        <v>0.35499338524206325</v>
      </c>
      <c r="AG44" s="6">
        <f t="shared" si="8"/>
        <v>0</v>
      </c>
      <c r="AH44" s="4">
        <f t="shared" si="9"/>
        <v>0</v>
      </c>
      <c r="AI44" s="6">
        <f t="shared" si="19"/>
        <v>0.35499338524206325</v>
      </c>
      <c r="AJ44" s="6">
        <f t="shared" si="10"/>
        <v>0</v>
      </c>
      <c r="AK44" s="4">
        <f t="shared" si="11"/>
        <v>0.37067181997969395</v>
      </c>
      <c r="AL44" s="6">
        <f t="shared" si="12"/>
        <v>3.8159952814644186E-3</v>
      </c>
      <c r="AM44" s="1">
        <v>5</v>
      </c>
      <c r="AN44" s="1">
        <v>29</v>
      </c>
      <c r="AO44" s="5">
        <f t="shared" ref="AO44:AO49" si="28">AO43+12</f>
        <v>302</v>
      </c>
      <c r="AP44" s="5">
        <f t="shared" ref="AP44:AP49" si="29">AP43+10.7</f>
        <v>265.7</v>
      </c>
      <c r="AQ44" s="5">
        <f t="shared" si="20"/>
        <v>283.85000000000002</v>
      </c>
      <c r="AR44" s="100" t="e">
        <f t="shared" si="13"/>
        <v>#DIV/0!</v>
      </c>
    </row>
    <row r="45" spans="1:45" ht="13" x14ac:dyDescent="0.3">
      <c r="A45" s="1">
        <v>5</v>
      </c>
      <c r="B45" s="1">
        <v>30</v>
      </c>
      <c r="C45" s="4">
        <f t="shared" si="14"/>
        <v>0.38156054588591193</v>
      </c>
      <c r="D45" s="7">
        <f t="shared" si="0"/>
        <v>0</v>
      </c>
      <c r="E45" s="7">
        <f>IF(I$3=0,0,IF(OPFOKLEGHEN!$H$13="parallel geschakeld met warmtewisselaar",0,MIN(I$3,C45)))</f>
        <v>0</v>
      </c>
      <c r="F45" s="7">
        <f>IF(I$3=0,0,IF(OPFOKLEGHEN!$H$13="serie geschakeld met warmtewisselaar",0,IF(C45&lt;$I$3,C45-D45,MIN($I$3,C45-D45))))</f>
        <v>0</v>
      </c>
      <c r="G45" s="137">
        <f>IF(C45&lt;$I$7,MAX(0,C45-D45-E45-F45,IF(OPFOKLEGHEN!$H$15="warmtewisselaar",IF(OPFOKLEGHEN!$H$13="serie geschakeld met warmtewisselaar",MIN(I$7,MAX(0,C45-D45-F45)),MIN(I$7,MAX(0,C45-D45-E45-F45))))),IF(OPFOKLEGHEN!$H$13="parallel geschakeld met warmtewisselaar",MIN(I$7,C45-D45-E45-F45,MIN(I$7,C45-E45-F45)),MIN(I$7,MAX(0,C45-D45-F45))))</f>
        <v>0</v>
      </c>
      <c r="H45" s="7">
        <f>IF(OPFOKLEGHEN!$H$13="parallel geschakeld met warmtewisselaar",IF(OPFOKLEGHEN!$L$9="nee",IF(OPFOKLEGHEN!$J$18="ja",C45-F45-G45,C45-D45-F45-G45),IF(OPFOKLEGHEN!$L$9="ja",IF(OPFOKLEGHEN!$J$18="ja",C45-G45,IF(OPFOKLEGHEN!$J$18="nee",C45-D45-G45)))),IF(OPFOKLEGHEN!$H$13="serie geschakeld met warmtewisselaar",IF(OPFOKLEGHEN!$J$18="ja",C45-G45,C45-D45-F45-G45),C45-D45-F45-G45))</f>
        <v>0.38156054588591193</v>
      </c>
      <c r="I45" s="98">
        <f t="shared" si="15"/>
        <v>0.38156054588591193</v>
      </c>
      <c r="J45" s="99">
        <v>0.36158572708458003</v>
      </c>
      <c r="K45" s="6">
        <f t="shared" si="16"/>
        <v>1.2085895833198932</v>
      </c>
      <c r="L45" s="130">
        <f>SUM(K$16:K45)/$K$137</f>
        <v>2.2015084749723537E-2</v>
      </c>
      <c r="M45" s="6">
        <f t="shared" si="17"/>
        <v>4.1390054223284017E-3</v>
      </c>
      <c r="N45" s="6">
        <f t="shared" si="1"/>
        <v>1.2085895833198932</v>
      </c>
      <c r="O45" s="6">
        <f>IF(E45&lt;I$3,P45*(1-I$6*D45/C45),IF(OPFOKLEGHEN!$H$11="droogtunnel (platen) 55%",P45*(1-$I$6)+(C45-D45)/C45*(K45-P45*(1-I$6)),P45*(1-$I$6)+(C45-D45)/C45*(K45-P45*(1-I$6))))</f>
        <v>1.2085895833198932</v>
      </c>
      <c r="P45" s="129">
        <f t="shared" si="2"/>
        <v>1.2085895833198932</v>
      </c>
      <c r="Q45" s="134">
        <f t="shared" si="3"/>
        <v>1.2085895833198932</v>
      </c>
      <c r="R45" s="134">
        <f t="shared" si="18"/>
        <v>1.2085895833198932</v>
      </c>
      <c r="S45" s="199">
        <f>IF(G45&lt;0.1,K45,IF(C45=F45,S45/(1-I$4),IF(I$3=0,K45-(G45/C45)*K45*S$13,IF(OPFOKLEGHEN!$H$13="Parallel geschakeld met warmtewisselaar",K45-(K45-(K45-Q45)/I$4)*(G45/(C45-F45))*S$13,IF(OPFOKLEGHEN!$H$20="ja",K45-(K45-(K45-P45)/I$4)*(G45/(C45-MIN(D45,I$5)))*S$13,K45-(K45-(K45-P45)/I$4)*(G45/(C45-MIN(D45,I$5)))*S$13)))))</f>
        <v>1.2085895833198932</v>
      </c>
      <c r="T45" s="17">
        <f t="shared" si="21"/>
        <v>1.2085895833198932</v>
      </c>
      <c r="U45" s="6" t="e">
        <f t="shared" si="22"/>
        <v>#DIV/0!</v>
      </c>
      <c r="V45" s="129">
        <f>IF(OPFOKLEGHEN!$J$18="nee",H45/C45*K45,IF(OPFOKLEGHEN!$H$20="ja",O45-(K45-Q45)-(K45-S45),Q45-(K45-O45)-(K45-S45)))</f>
        <v>1.2085895833198932</v>
      </c>
      <c r="W45" s="162">
        <f>IF(H45=0,0,IF(OPFOKLEGHEN!$H$11="geen droogtunnel",IF(OPFOKLEGHEN!$H$15="geen warmtewisselaar",Q45-(K45-R45)))+IF(OPFOKLEGHEN!$H$12&gt;0,IF(OPFOKLEGHEN!$H$13="serie geschakeld met warmtewisselaar",(O45*80%-(K45-S45)),(Q45-(K45-S45)-(K45-T45))),(N45-(K45-S45))))</f>
        <v>2.4171791666397864</v>
      </c>
      <c r="X45" s="162">
        <f>IF(H45=0,0,IF(OPFOKLEGHEN!$H$11="geen droogtunnel",IF(OPFOKLEGHEN!$H$15="geen warmtewisselaar",Q45-(K45-R45)))+IF(OPFOKLEGHEN!$H$12&gt;0,IF(OPFOKLEGHEN!$H$13="serie geschakeld met warmtewisselaar",3*(O45*80%-(K45-S45)),(Q45-(K45-S45)-(K45-N45))),(N45-(K45-S45))))</f>
        <v>2.4171791666397864</v>
      </c>
      <c r="Y45" s="162">
        <f>IF(H45=0,0,IF(OPFOKLEGHEN!$H$11="geen droogtunnel",IF(OPFOKLEGHEN!$H$15="geen warmtewisselaar",Q45-(K45-R45)))+IF(OPFOKLEGHEN!$H$12&gt;0,IF(OPFOKLEGHEN!$H$13="serie geschakeld met warmtewisselaar",(O45-(K45-S45)),IF(OPFOKLEGHEN!$H$13="parallel geschakeld met warmtewisselaar",IF(OPFOKLEGHEN!$L$9="ja",IF(OPFOKLEGHEN!$J$18="nee",(N45-(K45-Q45)-(K45-S45)),(Q45-(K45-N45/80%)))))),(O45-(K45-S45))))</f>
        <v>2.4171791666397864</v>
      </c>
      <c r="Z45" s="130">
        <f t="shared" si="5"/>
        <v>1</v>
      </c>
      <c r="AA45" s="130"/>
      <c r="AB45" s="130"/>
      <c r="AC45" s="167">
        <f>IF(H45=0,0,IF(OPFOKLEGHEN!$H$11="geen droogtunnel",IF(OPFOKLEGHEN!$H$15="geen warmtewisselaar",(P45-(K45-R45)/R$13),K45-(K45-O45)/I$6-(K45-R45)/95%)+IF(OPFOKLEGHEN!$J$18="ja",(K45-O45)*(1-I$6)),IF(OPFOKLEGHEN!$H$12&gt;=0,IF(OPFOKLEGHEN!$L$9="ja",IF(OPFOKLEGHEN!$J$18="ja",IF(OPFOKLEGHEN!$H$20="ja",O45-(K45-S45),IF(OPFOKLEGHEN!$H$20="nee",(O45-(K45-S45)),(O45-(K45-S45)))),IF(OPFOKLEGHEN!$J$18="nee",IF(OPFOKLEGHEN!$H$20="nee",O45*80%-(K45-S45),0+O45-(K45-S45)))),IF(OPFOKLEGHEN!$L$9="nee",IF(OPFOKLEGHEN!$J$18="nee",IF(OPFOKLEGHEN!$H$20="nee",(O45*80%-(K45-S45)),O45*93%-(K45-S45)),IF(OPFOKLEGHEN!$H$20="nee",IF(OPFOKLEGHEN!$J$18="ja",IF(OPFOKLEGHEN!$L$9="nee",O45-(K45-S45))),O45-(K45-S45))))))))</f>
        <v>1.2085895833198932</v>
      </c>
      <c r="AD45" s="167" t="e">
        <f>IF(H45=0,0,IF(OPFOKLEGHEN!$H$11="geen droogtunnel",IF(OPFOKLEGHEN!$H$15="geen warmtewisselaar",(Q45-(K45-R45)/S$13),N45-(K45-R45)),IF(OPFOKLEGHEN!$H$12&gt;=0,IF(OPFOKLEGHEN!$L$9="ja",IF(OPFOKLEGHEN!$J$18="ja",IF(OPFOKLEGHEN!$H$20="ja",Q45-(K45-N45)-(K45-S45),IF(OPFOKLEGHEN!$H$20="nee",(Q45-(K45-N45)-(K45-S45)),(O45-(K45-S45)))),IF(OPFOKLEGHEN!$J$18="nee",IF(OPFOKLEGHEN!$H$20="nee",1*Q45*$N$135-(K45-N45)-(K45-S45),(Q45-(K45-N45)-(K45-S45))*N$135))),IF(OPFOKLEGHEN!$L$9="nee",IF(OPFOKLEGHEN!$J$18="nee",IF(OPFOKLEGHEN!$H$20="nee",(N45*95%-(K45-Q45)/I$4-(K45-S45)),N45-(K45-Q45)/I$4-(K45-S45)),IF(OPFOKLEGHEN!$H$20="nee",IF(OPFOKLEGHEN!$J$18="ja",IF(OPFOKLEGHEN!$L$9="nee",N45-(K45-Q45)/I$4-(K45-S45))),N45-(K45-Q45)/I$4-(K45-S45))))))))</f>
        <v>#DIV/0!</v>
      </c>
      <c r="AE45" s="29">
        <f t="shared" si="6"/>
        <v>0</v>
      </c>
      <c r="AF45" s="6">
        <f t="shared" si="7"/>
        <v>0.36158572708458003</v>
      </c>
      <c r="AG45" s="6">
        <f t="shared" si="8"/>
        <v>0</v>
      </c>
      <c r="AH45" s="4">
        <f t="shared" si="9"/>
        <v>0</v>
      </c>
      <c r="AI45" s="6">
        <f t="shared" si="19"/>
        <v>0.36158572708458003</v>
      </c>
      <c r="AJ45" s="6">
        <f t="shared" si="10"/>
        <v>0</v>
      </c>
      <c r="AK45" s="4">
        <f t="shared" si="11"/>
        <v>0.38156054588591193</v>
      </c>
      <c r="AL45" s="6">
        <f t="shared" si="12"/>
        <v>4.1390054223284017E-3</v>
      </c>
      <c r="AM45" s="1">
        <v>5</v>
      </c>
      <c r="AN45" s="1">
        <v>30</v>
      </c>
      <c r="AO45" s="5">
        <f t="shared" si="28"/>
        <v>314</v>
      </c>
      <c r="AP45" s="5">
        <f t="shared" si="29"/>
        <v>276.39999999999998</v>
      </c>
      <c r="AQ45" s="5">
        <f t="shared" si="20"/>
        <v>295.2</v>
      </c>
      <c r="AR45" s="100" t="e">
        <f t="shared" si="13"/>
        <v>#DIV/0!</v>
      </c>
    </row>
    <row r="46" spans="1:45" ht="13" x14ac:dyDescent="0.3">
      <c r="A46" s="1">
        <v>5</v>
      </c>
      <c r="B46" s="1">
        <v>31</v>
      </c>
      <c r="C46" s="4">
        <f t="shared" si="14"/>
        <v>0.3924487581510579</v>
      </c>
      <c r="D46" s="7">
        <f t="shared" si="0"/>
        <v>0</v>
      </c>
      <c r="E46" s="7">
        <f>IF(I$3=0,0,IF(OPFOKLEGHEN!$H$13="parallel geschakeld met warmtewisselaar",0,MIN(I$3,C46)))</f>
        <v>0</v>
      </c>
      <c r="F46" s="7">
        <f>IF(I$3=0,0,IF(OPFOKLEGHEN!$H$13="serie geschakeld met warmtewisselaar",0,IF(C46&lt;$I$3,C46-D46,MIN($I$3,C46-D46))))</f>
        <v>0</v>
      </c>
      <c r="G46" s="137">
        <f>IF(C46&lt;$I$7,MAX(0,C46-D46-E46-F46,IF(OPFOKLEGHEN!$H$15="warmtewisselaar",IF(OPFOKLEGHEN!$H$13="serie geschakeld met warmtewisselaar",MIN(I$7,MAX(0,C46-D46-F46)),MIN(I$7,MAX(0,C46-D46-E46-F46))))),IF(OPFOKLEGHEN!$H$13="parallel geschakeld met warmtewisselaar",MIN(I$7,C46-D46-E46-F46,MIN(I$7,C46-E46-F46)),MIN(I$7,MAX(0,C46-D46-F46))))</f>
        <v>0</v>
      </c>
      <c r="H46" s="7">
        <f>IF(OPFOKLEGHEN!$H$13="parallel geschakeld met warmtewisselaar",IF(OPFOKLEGHEN!$L$9="nee",IF(OPFOKLEGHEN!$J$18="ja",C46-F46-G46,C46-D46-F46-G46),IF(OPFOKLEGHEN!$L$9="ja",IF(OPFOKLEGHEN!$J$18="ja",C46-G46,IF(OPFOKLEGHEN!$J$18="nee",C46-D46-G46)))),IF(OPFOKLEGHEN!$H$13="serie geschakeld met warmtewisselaar",IF(OPFOKLEGHEN!$J$18="ja",C46-G46,C46-D46-F46-G46),C46-D46-F46-G46))</f>
        <v>0.3924487581510579</v>
      </c>
      <c r="I46" s="98">
        <f t="shared" si="15"/>
        <v>0.3924487581510579</v>
      </c>
      <c r="J46" s="99">
        <v>0.36830049084473043</v>
      </c>
      <c r="K46" s="6">
        <f t="shared" si="16"/>
        <v>1.2661622554639302</v>
      </c>
      <c r="L46" s="130">
        <f>SUM(K$16:K46)/$K$137</f>
        <v>2.3497811547296108E-2</v>
      </c>
      <c r="M46" s="6">
        <f t="shared" si="17"/>
        <v>4.4807111780116255E-3</v>
      </c>
      <c r="N46" s="6">
        <f t="shared" si="1"/>
        <v>1.2661622554639302</v>
      </c>
      <c r="O46" s="6">
        <f>IF(E46&lt;I$3,P46*(1-I$6*D46/C46),IF(OPFOKLEGHEN!$H$11="droogtunnel (platen) 55%",P46*(1-$I$6)+(C46-D46)/C46*(K46-P46*(1-I$6)),P46*(1-$I$6)+(C46-D46)/C46*(K46-P46*(1-I$6))))</f>
        <v>1.2661622554639302</v>
      </c>
      <c r="P46" s="129">
        <f t="shared" si="2"/>
        <v>1.2661622554639302</v>
      </c>
      <c r="Q46" s="134">
        <f t="shared" si="3"/>
        <v>1.2661622554639302</v>
      </c>
      <c r="R46" s="134">
        <f t="shared" si="18"/>
        <v>1.2661622554639302</v>
      </c>
      <c r="S46" s="199">
        <f>IF(G46&lt;0.1,K46,IF(C46=F46,S46/(1-I$4),IF(I$3=0,K46-(G46/C46)*K46*S$13,IF(OPFOKLEGHEN!$H$13="Parallel geschakeld met warmtewisselaar",K46-(K46-(K46-Q46)/I$4)*(G46/(C46-F46))*S$13,IF(OPFOKLEGHEN!$H$20="ja",K46-(K46-(K46-P46)/I$4)*(G46/(C46-MIN(D46,I$5)))*S$13,K46-(K46-(K46-P46)/I$4)*(G46/(C46-MIN(D46,I$5)))*S$13)))))</f>
        <v>1.2661622554639302</v>
      </c>
      <c r="T46" s="17">
        <f t="shared" si="21"/>
        <v>1.2661622554639302</v>
      </c>
      <c r="U46" s="6" t="e">
        <f t="shared" si="22"/>
        <v>#DIV/0!</v>
      </c>
      <c r="V46" s="129">
        <f>IF(OPFOKLEGHEN!$J$18="nee",H46/C46*K46,IF(OPFOKLEGHEN!$H$20="ja",O46-(K46-Q46)-(K46-S46),Q46-(K46-O46)-(K46-S46)))</f>
        <v>1.2661622554639302</v>
      </c>
      <c r="W46" s="162">
        <f>IF(H46=0,0,IF(OPFOKLEGHEN!$H$11="geen droogtunnel",IF(OPFOKLEGHEN!$H$15="geen warmtewisselaar",Q46-(K46-R46)))+IF(OPFOKLEGHEN!$H$12&gt;0,IF(OPFOKLEGHEN!$H$13="serie geschakeld met warmtewisselaar",(O46*80%-(K46-S46)),(Q46-(K46-S46)-(K46-T46))),(N46-(K46-S46))))</f>
        <v>2.5323245109278605</v>
      </c>
      <c r="X46" s="162">
        <f>IF(H46=0,0,IF(OPFOKLEGHEN!$H$11="geen droogtunnel",IF(OPFOKLEGHEN!$H$15="geen warmtewisselaar",Q46-(K46-R46)))+IF(OPFOKLEGHEN!$H$12&gt;0,IF(OPFOKLEGHEN!$H$13="serie geschakeld met warmtewisselaar",3*(O46*80%-(K46-S46)),(Q46-(K46-S46)-(K46-N46))),(N46-(K46-S46))))</f>
        <v>2.5323245109278605</v>
      </c>
      <c r="Y46" s="162">
        <f>IF(H46=0,0,IF(OPFOKLEGHEN!$H$11="geen droogtunnel",IF(OPFOKLEGHEN!$H$15="geen warmtewisselaar",Q46-(K46-R46)))+IF(OPFOKLEGHEN!$H$12&gt;0,IF(OPFOKLEGHEN!$H$13="serie geschakeld met warmtewisselaar",(O46-(K46-S46)),IF(OPFOKLEGHEN!$H$13="parallel geschakeld met warmtewisselaar",IF(OPFOKLEGHEN!$L$9="ja",IF(OPFOKLEGHEN!$J$18="nee",(N46-(K46-Q46)-(K46-S46)),(Q46-(K46-N46/80%)))))),(O46-(K46-S46))))</f>
        <v>2.5323245109278605</v>
      </c>
      <c r="Z46" s="130">
        <f t="shared" si="5"/>
        <v>1</v>
      </c>
      <c r="AA46" s="130"/>
      <c r="AB46" s="130"/>
      <c r="AC46" s="167">
        <f>IF(H46=0,0,IF(OPFOKLEGHEN!$H$11="geen droogtunnel",IF(OPFOKLEGHEN!$H$15="geen warmtewisselaar",(P46-(K46-R46)/R$13),K46-(K46-O46)/I$6-(K46-R46)/95%)+IF(OPFOKLEGHEN!$J$18="ja",(K46-O46)*(1-I$6)),IF(OPFOKLEGHEN!$H$12&gt;=0,IF(OPFOKLEGHEN!$L$9="ja",IF(OPFOKLEGHEN!$J$18="ja",IF(OPFOKLEGHEN!$H$20="ja",O46-(K46-S46),IF(OPFOKLEGHEN!$H$20="nee",(O46-(K46-S46)),(O46-(K46-S46)))),IF(OPFOKLEGHEN!$J$18="nee",IF(OPFOKLEGHEN!$H$20="nee",O46*80%-(K46-S46),0+O46-(K46-S46)))),IF(OPFOKLEGHEN!$L$9="nee",IF(OPFOKLEGHEN!$J$18="nee",IF(OPFOKLEGHEN!$H$20="nee",(O46*80%-(K46-S46)),O46*93%-(K46-S46)),IF(OPFOKLEGHEN!$H$20="nee",IF(OPFOKLEGHEN!$J$18="ja",IF(OPFOKLEGHEN!$L$9="nee",O46-(K46-S46))),O46-(K46-S46))))))))</f>
        <v>1.2661622554639302</v>
      </c>
      <c r="AD46" s="167" t="e">
        <f>IF(H46=0,0,IF(OPFOKLEGHEN!$H$11="geen droogtunnel",IF(OPFOKLEGHEN!$H$15="geen warmtewisselaar",(Q46-(K46-R46)/S$13),N46-(K46-R46)),IF(OPFOKLEGHEN!$H$12&gt;=0,IF(OPFOKLEGHEN!$L$9="ja",IF(OPFOKLEGHEN!$J$18="ja",IF(OPFOKLEGHEN!$H$20="ja",Q46-(K46-N46)-(K46-S46),IF(OPFOKLEGHEN!$H$20="nee",(Q46-(K46-N46)-(K46-S46)),(O46-(K46-S46)))),IF(OPFOKLEGHEN!$J$18="nee",IF(OPFOKLEGHEN!$H$20="nee",1*Q46*$N$135-(K46-N46)-(K46-S46),(Q46-(K46-N46)-(K46-S46))*N$135))),IF(OPFOKLEGHEN!$L$9="nee",IF(OPFOKLEGHEN!$J$18="nee",IF(OPFOKLEGHEN!$H$20="nee",(N46*95%-(K46-Q46)/I$4-(K46-S46)),N46-(K46-Q46)/I$4-(K46-S46)),IF(OPFOKLEGHEN!$H$20="nee",IF(OPFOKLEGHEN!$J$18="ja",IF(OPFOKLEGHEN!$L$9="nee",N46-(K46-Q46)/I$4-(K46-S46))),N46-(K46-Q46)/I$4-(K46-S46))))))))</f>
        <v>#DIV/0!</v>
      </c>
      <c r="AE46" s="29">
        <f t="shared" si="6"/>
        <v>0</v>
      </c>
      <c r="AF46" s="6">
        <f t="shared" si="7"/>
        <v>0.36830049084473043</v>
      </c>
      <c r="AG46" s="6">
        <f t="shared" si="8"/>
        <v>0</v>
      </c>
      <c r="AH46" s="4">
        <f t="shared" si="9"/>
        <v>0</v>
      </c>
      <c r="AI46" s="6">
        <f t="shared" si="19"/>
        <v>0.36830049084473043</v>
      </c>
      <c r="AJ46" s="6">
        <f t="shared" si="10"/>
        <v>0</v>
      </c>
      <c r="AK46" s="4">
        <f t="shared" si="11"/>
        <v>0.3924487581510579</v>
      </c>
      <c r="AL46" s="6">
        <f t="shared" si="12"/>
        <v>4.4807111780116255E-3</v>
      </c>
      <c r="AM46" s="1">
        <v>5</v>
      </c>
      <c r="AN46" s="1">
        <v>31</v>
      </c>
      <c r="AO46" s="5">
        <f t="shared" si="28"/>
        <v>326</v>
      </c>
      <c r="AP46" s="5">
        <f t="shared" si="29"/>
        <v>287.09999999999997</v>
      </c>
      <c r="AQ46" s="5">
        <f t="shared" si="20"/>
        <v>306.54999999999995</v>
      </c>
      <c r="AR46" s="100" t="e">
        <f t="shared" si="13"/>
        <v>#DIV/0!</v>
      </c>
    </row>
    <row r="47" spans="1:45" ht="13" x14ac:dyDescent="0.3">
      <c r="A47" s="1">
        <v>5</v>
      </c>
      <c r="B47" s="1">
        <v>32</v>
      </c>
      <c r="C47" s="4">
        <f t="shared" si="14"/>
        <v>0.403339825535036</v>
      </c>
      <c r="D47" s="7">
        <f t="shared" si="0"/>
        <v>0</v>
      </c>
      <c r="E47" s="7">
        <f>IF(I$3=0,0,IF(OPFOKLEGHEN!$H$13="parallel geschakeld met warmtewisselaar",0,MIN(I$3,C47)))</f>
        <v>0</v>
      </c>
      <c r="F47" s="7">
        <f>IF(I$3=0,0,IF(OPFOKLEGHEN!$H$13="serie geschakeld met warmtewisselaar",0,IF(C47&lt;$I$3,C47-D47,MIN($I$3,C47-D47))))</f>
        <v>0</v>
      </c>
      <c r="G47" s="137">
        <f>IF(C47&lt;$I$7,MAX(0,C47-D47-E47-F47,IF(OPFOKLEGHEN!$H$15="warmtewisselaar",IF(OPFOKLEGHEN!$H$13="serie geschakeld met warmtewisselaar",MIN(I$7,MAX(0,C47-D47-F47)),MIN(I$7,MAX(0,C47-D47-E47-F47))))),IF(OPFOKLEGHEN!$H$13="parallel geschakeld met warmtewisselaar",MIN(I$7,C47-D47-E47-F47,MIN(I$7,C47-E47-F47)),MIN(I$7,MAX(0,C47-D47-F47))))</f>
        <v>0</v>
      </c>
      <c r="H47" s="7">
        <f>IF(OPFOKLEGHEN!$H$13="parallel geschakeld met warmtewisselaar",IF(OPFOKLEGHEN!$L$9="nee",IF(OPFOKLEGHEN!$J$18="ja",C47-F47-G47,C47-D47-F47-G47),IF(OPFOKLEGHEN!$L$9="ja",IF(OPFOKLEGHEN!$J$18="ja",C47-G47,IF(OPFOKLEGHEN!$J$18="nee",C47-D47-G47)))),IF(OPFOKLEGHEN!$H$13="serie geschakeld met warmtewisselaar",IF(OPFOKLEGHEN!$J$18="ja",C47-G47,C47-D47-F47-G47),C47-D47-F47-G47))</f>
        <v>0.403339825535036</v>
      </c>
      <c r="I47" s="98">
        <f t="shared" si="15"/>
        <v>0.403339825535036</v>
      </c>
      <c r="J47" s="99">
        <v>0.37513994993707267</v>
      </c>
      <c r="K47" s="6">
        <f t="shared" si="16"/>
        <v>1.3254658059594475</v>
      </c>
      <c r="L47" s="130">
        <f>SUM(K$16:K47)/$K$137</f>
        <v>2.5049985181663445E-2</v>
      </c>
      <c r="M47" s="6">
        <f t="shared" si="17"/>
        <v>4.8418842226829132E-3</v>
      </c>
      <c r="N47" s="6">
        <f t="shared" si="1"/>
        <v>1.3254658059594475</v>
      </c>
      <c r="O47" s="6">
        <f>IF(E47&lt;I$3,P47*(1-I$6*D47/C47),IF(OPFOKLEGHEN!$H$11="droogtunnel (platen) 55%",P47*(1-$I$6)+(C47-D47)/C47*(K47-P47*(1-I$6)),P47*(1-$I$6)+(C47-D47)/C47*(K47-P47*(1-I$6))))</f>
        <v>1.3254658059594475</v>
      </c>
      <c r="P47" s="129">
        <f t="shared" si="2"/>
        <v>1.3254658059594475</v>
      </c>
      <c r="Q47" s="134">
        <f t="shared" si="3"/>
        <v>1.3254658059594475</v>
      </c>
      <c r="R47" s="134">
        <f t="shared" si="18"/>
        <v>1.3254658059594475</v>
      </c>
      <c r="S47" s="199">
        <f>IF(G47&lt;0.1,K47,IF(C47=F47,S47/(1-I$4),IF(I$3=0,K47-(G47/C47)*K47*S$13,IF(OPFOKLEGHEN!$H$13="Parallel geschakeld met warmtewisselaar",K47-(K47-(K47-Q47)/I$4)*(G47/(C47-F47))*S$13,IF(OPFOKLEGHEN!$H$20="ja",K47-(K47-(K47-P47)/I$4)*(G47/(C47-MIN(D47,I$5)))*S$13,K47-(K47-(K47-P47)/I$4)*(G47/(C47-MIN(D47,I$5)))*S$13)))))</f>
        <v>1.3254658059594475</v>
      </c>
      <c r="T47" s="17">
        <f t="shared" si="21"/>
        <v>1.3254658059594475</v>
      </c>
      <c r="U47" s="6" t="e">
        <f t="shared" si="22"/>
        <v>#DIV/0!</v>
      </c>
      <c r="V47" s="129">
        <f>IF(OPFOKLEGHEN!$J$18="nee",H47/C47*K47,IF(OPFOKLEGHEN!$H$20="ja",O47-(K47-Q47)-(K47-S47),Q47-(K47-O47)-(K47-S47)))</f>
        <v>1.3254658059594475</v>
      </c>
      <c r="W47" s="162">
        <f>IF(H47=0,0,IF(OPFOKLEGHEN!$H$11="geen droogtunnel",IF(OPFOKLEGHEN!$H$15="geen warmtewisselaar",Q47-(K47-R47)))+IF(OPFOKLEGHEN!$H$12&gt;0,IF(OPFOKLEGHEN!$H$13="serie geschakeld met warmtewisselaar",(O47*80%-(K47-S47)),(Q47-(K47-S47)-(K47-T47))),(N47-(K47-S47))))</f>
        <v>2.650931611918895</v>
      </c>
      <c r="X47" s="162">
        <f>IF(H47=0,0,IF(OPFOKLEGHEN!$H$11="geen droogtunnel",IF(OPFOKLEGHEN!$H$15="geen warmtewisselaar",Q47-(K47-R47)))+IF(OPFOKLEGHEN!$H$12&gt;0,IF(OPFOKLEGHEN!$H$13="serie geschakeld met warmtewisselaar",3*(O47*80%-(K47-S47)),(Q47-(K47-S47)-(K47-N47))),(N47-(K47-S47))))</f>
        <v>2.650931611918895</v>
      </c>
      <c r="Y47" s="162">
        <f>IF(H47=0,0,IF(OPFOKLEGHEN!$H$11="geen droogtunnel",IF(OPFOKLEGHEN!$H$15="geen warmtewisselaar",Q47-(K47-R47)))+IF(OPFOKLEGHEN!$H$12&gt;0,IF(OPFOKLEGHEN!$H$13="serie geschakeld met warmtewisselaar",(O47-(K47-S47)),IF(OPFOKLEGHEN!$H$13="parallel geschakeld met warmtewisselaar",IF(OPFOKLEGHEN!$L$9="ja",IF(OPFOKLEGHEN!$J$18="nee",(N47-(K47-Q47)-(K47-S47)),(Q47-(K47-N47/80%)))))),(O47-(K47-S47))))</f>
        <v>2.650931611918895</v>
      </c>
      <c r="Z47" s="130">
        <f t="shared" si="5"/>
        <v>1</v>
      </c>
      <c r="AA47" s="130"/>
      <c r="AB47" s="130"/>
      <c r="AC47" s="167">
        <f>IF(H47=0,0,IF(OPFOKLEGHEN!$H$11="geen droogtunnel",IF(OPFOKLEGHEN!$H$15="geen warmtewisselaar",(P47-(K47-R47)/R$13),K47-(K47-O47)/I$6-(K47-R47)/95%)+IF(OPFOKLEGHEN!$J$18="ja",(K47-O47)*(1-I$6)),IF(OPFOKLEGHEN!$H$12&gt;=0,IF(OPFOKLEGHEN!$L$9="ja",IF(OPFOKLEGHEN!$J$18="ja",IF(OPFOKLEGHEN!$H$20="ja",O47-(K47-S47),IF(OPFOKLEGHEN!$H$20="nee",(O47-(K47-S47)),(O47-(K47-S47)))),IF(OPFOKLEGHEN!$J$18="nee",IF(OPFOKLEGHEN!$H$20="nee",O47*80%-(K47-S47),0+O47-(K47-S47)))),IF(OPFOKLEGHEN!$L$9="nee",IF(OPFOKLEGHEN!$J$18="nee",IF(OPFOKLEGHEN!$H$20="nee",(O47*80%-(K47-S47)),O47*93%-(K47-S47)),IF(OPFOKLEGHEN!$H$20="nee",IF(OPFOKLEGHEN!$J$18="ja",IF(OPFOKLEGHEN!$L$9="nee",O47-(K47-S47))),O47-(K47-S47))))))))</f>
        <v>1.3254658059594475</v>
      </c>
      <c r="AD47" s="167" t="e">
        <f>IF(H47=0,0,IF(OPFOKLEGHEN!$H$11="geen droogtunnel",IF(OPFOKLEGHEN!$H$15="geen warmtewisselaar",(Q47-(K47-R47)/S$13),N47-(K47-R47)),IF(OPFOKLEGHEN!$H$12&gt;=0,IF(OPFOKLEGHEN!$L$9="ja",IF(OPFOKLEGHEN!$J$18="ja",IF(OPFOKLEGHEN!$H$20="ja",Q47-(K47-N47)-(K47-S47),IF(OPFOKLEGHEN!$H$20="nee",(Q47-(K47-N47)-(K47-S47)),(O47-(K47-S47)))),IF(OPFOKLEGHEN!$J$18="nee",IF(OPFOKLEGHEN!$H$20="nee",1*Q47*$N$135-(K47-N47)-(K47-S47),(Q47-(K47-N47)-(K47-S47))*N$135))),IF(OPFOKLEGHEN!$L$9="nee",IF(OPFOKLEGHEN!$J$18="nee",IF(OPFOKLEGHEN!$H$20="nee",(N47*95%-(K47-Q47)/I$4-(K47-S47)),N47-(K47-Q47)/I$4-(K47-S47)),IF(OPFOKLEGHEN!$H$20="nee",IF(OPFOKLEGHEN!$J$18="ja",IF(OPFOKLEGHEN!$L$9="nee",N47-(K47-Q47)/I$4-(K47-S47))),N47-(K47-Q47)/I$4-(K47-S47))))))))</f>
        <v>#DIV/0!</v>
      </c>
      <c r="AE47" s="29">
        <f t="shared" si="6"/>
        <v>0</v>
      </c>
      <c r="AF47" s="6">
        <f t="shared" si="7"/>
        <v>0.37513994993707267</v>
      </c>
      <c r="AG47" s="6">
        <f t="shared" si="8"/>
        <v>0</v>
      </c>
      <c r="AH47" s="4">
        <f t="shared" si="9"/>
        <v>0</v>
      </c>
      <c r="AI47" s="6">
        <f t="shared" si="19"/>
        <v>0.37513994993707267</v>
      </c>
      <c r="AJ47" s="6">
        <f t="shared" si="10"/>
        <v>0</v>
      </c>
      <c r="AK47" s="4">
        <f t="shared" si="11"/>
        <v>0.403339825535036</v>
      </c>
      <c r="AL47" s="6">
        <f t="shared" si="12"/>
        <v>4.8418842226829132E-3</v>
      </c>
      <c r="AM47" s="1">
        <v>5</v>
      </c>
      <c r="AN47" s="1">
        <v>32</v>
      </c>
      <c r="AO47" s="5">
        <f t="shared" si="28"/>
        <v>338</v>
      </c>
      <c r="AP47" s="5">
        <f t="shared" si="29"/>
        <v>297.79999999999995</v>
      </c>
      <c r="AQ47" s="5">
        <f t="shared" si="20"/>
        <v>317.89999999999998</v>
      </c>
      <c r="AR47" s="100" t="e">
        <f t="shared" si="13"/>
        <v>#DIV/0!</v>
      </c>
    </row>
    <row r="48" spans="1:45" ht="13" x14ac:dyDescent="0.3">
      <c r="A48" s="1">
        <v>5</v>
      </c>
      <c r="B48" s="1">
        <v>33</v>
      </c>
      <c r="C48" s="4">
        <f t="shared" si="14"/>
        <v>0.41423711679774999</v>
      </c>
      <c r="D48" s="7">
        <f t="shared" si="0"/>
        <v>0</v>
      </c>
      <c r="E48" s="7">
        <f>IF(I$3=0,0,IF(OPFOKLEGHEN!$H$13="parallel geschakeld met warmtewisselaar",0,MIN(I$3,C48)))</f>
        <v>0</v>
      </c>
      <c r="F48" s="7">
        <f>IF(I$3=0,0,IF(OPFOKLEGHEN!$H$13="serie geschakeld met warmtewisselaar",0,IF(C48&lt;$I$3,C48-D48,MIN($I$3,C48-D48))))</f>
        <v>0</v>
      </c>
      <c r="G48" s="137">
        <f>IF(C48&lt;$I$7,MAX(0,C48-D48-E48-F48,IF(OPFOKLEGHEN!$H$15="warmtewisselaar",IF(OPFOKLEGHEN!$H$13="serie geschakeld met warmtewisselaar",MIN(I$7,MAX(0,C48-D48-F48)),MIN(I$7,MAX(0,C48-D48-E48-F48))))),IF(OPFOKLEGHEN!$H$13="parallel geschakeld met warmtewisselaar",MIN(I$7,C48-D48-E48-F48,MIN(I$7,C48-E48-F48)),MIN(I$7,MAX(0,C48-D48-F48))))</f>
        <v>0</v>
      </c>
      <c r="H48" s="7">
        <f>IF(OPFOKLEGHEN!$H$13="parallel geschakeld met warmtewisselaar",IF(OPFOKLEGHEN!$L$9="nee",IF(OPFOKLEGHEN!$J$18="ja",C48-F48-G48,C48-D48-F48-G48),IF(OPFOKLEGHEN!$L$9="ja",IF(OPFOKLEGHEN!$J$18="ja",C48-G48,IF(OPFOKLEGHEN!$J$18="nee",C48-D48-G48)))),IF(OPFOKLEGHEN!$H$13="serie geschakeld met warmtewisselaar",IF(OPFOKLEGHEN!$J$18="ja",C48-G48,C48-D48-F48-G48),C48-D48-F48-G48))</f>
        <v>0.41423711679774999</v>
      </c>
      <c r="I48" s="98">
        <f t="shared" si="15"/>
        <v>0.41423711679774999</v>
      </c>
      <c r="J48" s="99">
        <v>0.38210641999420758</v>
      </c>
      <c r="K48" s="6">
        <f t="shared" si="16"/>
        <v>1.3865561167400018</v>
      </c>
      <c r="L48" s="130">
        <f>SUM(K$16:K48)/$K$137</f>
        <v>2.6673698020801325E-2</v>
      </c>
      <c r="M48" s="6">
        <f t="shared" si="17"/>
        <v>5.2233278370342525E-3</v>
      </c>
      <c r="N48" s="6">
        <f t="shared" ref="N48:N79" si="30">(((($K48)*(1-($I$6*(D48)/C48)))))</f>
        <v>1.3865561167400018</v>
      </c>
      <c r="O48" s="6">
        <f>IF(E48&lt;I$3,P48*(1-I$6*D48/C48),IF(OPFOKLEGHEN!$H$11="droogtunnel (platen) 55%",P48*(1-$I$6)+(C48-D48)/C48*(K48-P48*(1-I$6)),P48*(1-$I$6)+(C48-D48)/C48*(K48-P48*(1-I$6))))</f>
        <v>1.3865561167400018</v>
      </c>
      <c r="P48" s="129">
        <f t="shared" ref="P48:P79" si="31">IF(E48=0,K48,K48-K48*I$4*E48/C48)</f>
        <v>1.3865561167400018</v>
      </c>
      <c r="Q48" s="134">
        <f t="shared" ref="Q48:Q79" si="32">IF(F48=0,K48,K48-K48*I$4*F48/C48)</f>
        <v>1.3865561167400018</v>
      </c>
      <c r="R48" s="134">
        <f t="shared" si="18"/>
        <v>1.3865561167400018</v>
      </c>
      <c r="S48" s="199">
        <f>IF(G48&lt;0.1,K48,IF(C48=F48,S48/(1-I$4),IF(I$3=0,K48-(G48/C48)*K48*S$13,IF(OPFOKLEGHEN!$H$13="Parallel geschakeld met warmtewisselaar",K48-(K48-(K48-Q48)/I$4)*(G48/(C48-F48))*S$13,IF(OPFOKLEGHEN!$H$20="ja",K48-(K48-(K48-P48)/I$4)*(G48/(C48-MIN(D48,I$5)))*S$13,K48-(K48-(K48-P48)/I$4)*(G48/(C48-MIN(D48,I$5)))*S$13)))))</f>
        <v>1.3865561167400018</v>
      </c>
      <c r="T48" s="17">
        <f t="shared" si="21"/>
        <v>1.3865561167400018</v>
      </c>
      <c r="U48" s="6" t="e">
        <f t="shared" si="22"/>
        <v>#DIV/0!</v>
      </c>
      <c r="V48" s="129">
        <f>IF(OPFOKLEGHEN!$J$18="nee",H48/C48*K48,IF(OPFOKLEGHEN!$H$20="ja",O48-(K48-Q48)-(K48-S48),Q48-(K48-O48)-(K48-S48)))</f>
        <v>1.3865561167400018</v>
      </c>
      <c r="W48" s="162">
        <f>IF(H48=0,0,IF(OPFOKLEGHEN!$H$11="geen droogtunnel",IF(OPFOKLEGHEN!$H$15="geen warmtewisselaar",Q48-(K48-R48)))+IF(OPFOKLEGHEN!$H$12&gt;0,IF(OPFOKLEGHEN!$H$13="serie geschakeld met warmtewisselaar",(O48*80%-(K48-S48)),(Q48-(K48-S48)-(K48-T48))),(N48-(K48-S48))))</f>
        <v>2.7731122334800036</v>
      </c>
      <c r="X48" s="162">
        <f>IF(H48=0,0,IF(OPFOKLEGHEN!$H$11="geen droogtunnel",IF(OPFOKLEGHEN!$H$15="geen warmtewisselaar",Q48-(K48-R48)))+IF(OPFOKLEGHEN!$H$12&gt;0,IF(OPFOKLEGHEN!$H$13="serie geschakeld met warmtewisselaar",3*(O48*80%-(K48-S48)),(Q48-(K48-S48)-(K48-N48))),(N48-(K48-S48))))</f>
        <v>2.7731122334800036</v>
      </c>
      <c r="Y48" s="162">
        <f>IF(H48=0,0,IF(OPFOKLEGHEN!$H$11="geen droogtunnel",IF(OPFOKLEGHEN!$H$15="geen warmtewisselaar",Q48-(K48-R48)))+IF(OPFOKLEGHEN!$H$12&gt;0,IF(OPFOKLEGHEN!$H$13="serie geschakeld met warmtewisselaar",(O48-(K48-S48)),IF(OPFOKLEGHEN!$H$13="parallel geschakeld met warmtewisselaar",IF(OPFOKLEGHEN!$L$9="ja",IF(OPFOKLEGHEN!$J$18="nee",(N48-(K48-Q48)-(K48-S48)),(Q48-(K48-N48/80%)))))),(O48-(K48-S48))))</f>
        <v>2.7731122334800036</v>
      </c>
      <c r="Z48" s="130">
        <f t="shared" ref="Z48:Z79" si="33">Q48/K48</f>
        <v>1</v>
      </c>
      <c r="AA48" s="130"/>
      <c r="AB48" s="130"/>
      <c r="AC48" s="167">
        <f>IF(H48=0,0,IF(OPFOKLEGHEN!$H$11="geen droogtunnel",IF(OPFOKLEGHEN!$H$15="geen warmtewisselaar",(P48-(K48-R48)/R$13),K48-(K48-O48)/I$6-(K48-R48)/95%)+IF(OPFOKLEGHEN!$J$18="ja",(K48-O48)*(1-I$6)),IF(OPFOKLEGHEN!$H$12&gt;=0,IF(OPFOKLEGHEN!$L$9="ja",IF(OPFOKLEGHEN!$J$18="ja",IF(OPFOKLEGHEN!$H$20="ja",O48-(K48-S48),IF(OPFOKLEGHEN!$H$20="nee",(O48-(K48-S48)),(O48-(K48-S48)))),IF(OPFOKLEGHEN!$J$18="nee",IF(OPFOKLEGHEN!$H$20="nee",O48*80%-(K48-S48),0+O48-(K48-S48)))),IF(OPFOKLEGHEN!$L$9="nee",IF(OPFOKLEGHEN!$J$18="nee",IF(OPFOKLEGHEN!$H$20="nee",(O48*80%-(K48-S48)),O48*93%-(K48-S48)),IF(OPFOKLEGHEN!$H$20="nee",IF(OPFOKLEGHEN!$J$18="ja",IF(OPFOKLEGHEN!$L$9="nee",O48-(K48-S48))),O48-(K48-S48))))))))</f>
        <v>1.3865561167400018</v>
      </c>
      <c r="AD48" s="167" t="e">
        <f>IF(H48=0,0,IF(OPFOKLEGHEN!$H$11="geen droogtunnel",IF(OPFOKLEGHEN!$H$15="geen warmtewisselaar",(Q48-(K48-R48)/S$13),N48-(K48-R48)),IF(OPFOKLEGHEN!$H$12&gt;=0,IF(OPFOKLEGHEN!$L$9="ja",IF(OPFOKLEGHEN!$J$18="ja",IF(OPFOKLEGHEN!$H$20="ja",Q48-(K48-N48)-(K48-S48),IF(OPFOKLEGHEN!$H$20="nee",(Q48-(K48-N48)-(K48-S48)),(O48-(K48-S48)))),IF(OPFOKLEGHEN!$J$18="nee",IF(OPFOKLEGHEN!$H$20="nee",1*Q48*$N$135-(K48-N48)-(K48-S48),(Q48-(K48-N48)-(K48-S48))*N$135))),IF(OPFOKLEGHEN!$L$9="nee",IF(OPFOKLEGHEN!$J$18="nee",IF(OPFOKLEGHEN!$H$20="nee",(N48*95%-(K48-Q48)/I$4-(K48-S48)),N48-(K48-Q48)/I$4-(K48-S48)),IF(OPFOKLEGHEN!$H$20="nee",IF(OPFOKLEGHEN!$J$18="ja",IF(OPFOKLEGHEN!$L$9="nee",N48-(K48-Q48)/I$4-(K48-S48))),N48-(K48-Q48)/I$4-(K48-S48))))))))</f>
        <v>#DIV/0!</v>
      </c>
      <c r="AE48" s="29">
        <f t="shared" ref="AE48:AE71" si="34">IF((D48+E48)&lt;$I$3,D48+E48,$I$3)</f>
        <v>0</v>
      </c>
      <c r="AF48" s="6">
        <f t="shared" ref="AF48:AF71" si="35">IF($I$3&gt;0,(J48*(1-$I$8)*(1-$I$4)),(J48*(1-$I$8)))</f>
        <v>0.38210641999420758</v>
      </c>
      <c r="AG48" s="6">
        <f t="shared" ref="AG48:AG71" si="36">($AF48/1000)*$B48*$AE48</f>
        <v>0</v>
      </c>
      <c r="AH48" s="4">
        <f t="shared" ref="AH48:AH71" si="37">D48</f>
        <v>0</v>
      </c>
      <c r="AI48" s="6">
        <f t="shared" si="19"/>
        <v>0.38210641999420758</v>
      </c>
      <c r="AJ48" s="6">
        <f t="shared" ref="AJ48:AJ71" si="38">(AI48/1000)*B48*AH48</f>
        <v>0</v>
      </c>
      <c r="AK48" s="4">
        <f t="shared" ref="AK48:AK71" si="39">IF($I$3&gt;$I$5,C48-AE48,C48-AH48)</f>
        <v>0.41423711679774999</v>
      </c>
      <c r="AL48" s="6">
        <f t="shared" ref="AL48:AL71" si="40">((($J48/1000)*(1-$I$8))*$B48*$AK48)*(1-$I$9)</f>
        <v>5.2233278370342525E-3</v>
      </c>
      <c r="AM48" s="1">
        <v>5</v>
      </c>
      <c r="AN48" s="1">
        <v>33</v>
      </c>
      <c r="AO48" s="5">
        <f t="shared" si="28"/>
        <v>350</v>
      </c>
      <c r="AP48" s="5">
        <f t="shared" si="29"/>
        <v>308.49999999999994</v>
      </c>
      <c r="AQ48" s="5">
        <f t="shared" si="20"/>
        <v>329.25</v>
      </c>
      <c r="AR48" s="100" t="e">
        <f t="shared" ref="AR48:AR71" si="41">(($AP48/1000)*(1-$I$10)*$D48*$B48)+(($AQ48/1000)*(1-$I$10)*$E48*$B48)+(($AO48/1000)*(1-$I$10)*$I48*$B48)</f>
        <v>#DIV/0!</v>
      </c>
    </row>
    <row r="49" spans="1:44" ht="13" x14ac:dyDescent="0.3">
      <c r="A49" s="1">
        <v>5</v>
      </c>
      <c r="B49" s="1">
        <v>34</v>
      </c>
      <c r="C49" s="4">
        <f t="shared" si="14"/>
        <v>0.42514400069910396</v>
      </c>
      <c r="D49" s="7">
        <f t="shared" si="0"/>
        <v>0</v>
      </c>
      <c r="E49" s="7">
        <f>IF(I$3=0,0,IF(OPFOKLEGHEN!$H$13="parallel geschakeld met warmtewisselaar",0,MIN(I$3,C49)))</f>
        <v>0</v>
      </c>
      <c r="F49" s="7">
        <f>IF(I$3=0,0,IF(OPFOKLEGHEN!$H$13="serie geschakeld met warmtewisselaar",0,IF(C49&lt;$I$3,C49-D49,MIN($I$3,C49-D49))))</f>
        <v>0</v>
      </c>
      <c r="G49" s="137">
        <f>IF(C49&lt;$I$7,MAX(0,C49-D49-E49-F49,IF(OPFOKLEGHEN!$H$15="warmtewisselaar",IF(OPFOKLEGHEN!$H$13="serie geschakeld met warmtewisselaar",MIN(I$7,MAX(0,C49-D49-F49)),MIN(I$7,MAX(0,C49-D49-E49-F49))))),IF(OPFOKLEGHEN!$H$13="parallel geschakeld met warmtewisselaar",MIN(I$7,C49-D49-E49-F49,MIN(I$7,C49-E49-F49)),MIN(I$7,MAX(0,C49-D49-F49))))</f>
        <v>0</v>
      </c>
      <c r="H49" s="7">
        <f>IF(OPFOKLEGHEN!$H$13="parallel geschakeld met warmtewisselaar",IF(OPFOKLEGHEN!$L$9="nee",IF(OPFOKLEGHEN!$J$18="ja",C49-F49-G49,C49-D49-F49-G49),IF(OPFOKLEGHEN!$L$9="ja",IF(OPFOKLEGHEN!$J$18="ja",C49-G49,IF(OPFOKLEGHEN!$J$18="nee",C49-D49-G49)))),IF(OPFOKLEGHEN!$H$13="serie geschakeld met warmtewisselaar",IF(OPFOKLEGHEN!$J$18="ja",C49-G49,C49-D49-F49-G49),C49-D49-F49-G49))</f>
        <v>0.42514400069910396</v>
      </c>
      <c r="I49" s="98">
        <f t="shared" si="15"/>
        <v>0.42514400069910396</v>
      </c>
      <c r="J49" s="99">
        <v>0.38920225965078159</v>
      </c>
      <c r="K49" s="6">
        <f t="shared" si="16"/>
        <v>1.4494909703618071</v>
      </c>
      <c r="L49" s="130">
        <f>SUM(K$16:K49)/$K$137</f>
        <v>2.8371110098376992E-2</v>
      </c>
      <c r="M49" s="6">
        <f t="shared" si="17"/>
        <v>5.6258781954682006E-3</v>
      </c>
      <c r="N49" s="6">
        <f t="shared" si="30"/>
        <v>1.4494909703618071</v>
      </c>
      <c r="O49" s="6">
        <f>IF(E49&lt;I$3,P49*(1-I$6*D49/C49),IF(OPFOKLEGHEN!$H$11="droogtunnel (platen) 55%",P49*(1-$I$6)+(C49-D49)/C49*(K49-P49*(1-I$6)),P49*(1-$I$6)+(C49-D49)/C49*(K49-P49*(1-I$6))))</f>
        <v>1.4494909703618071</v>
      </c>
      <c r="P49" s="129">
        <f t="shared" si="31"/>
        <v>1.4494909703618071</v>
      </c>
      <c r="Q49" s="134">
        <f t="shared" si="32"/>
        <v>1.4494909703618071</v>
      </c>
      <c r="R49" s="134">
        <f t="shared" si="18"/>
        <v>1.4494909703618071</v>
      </c>
      <c r="S49" s="199">
        <f>IF(G49&lt;0.1,K49,IF(C49=F49,S49/(1-I$4),IF(I$3=0,K49-(G49/C49)*K49*S$13,IF(OPFOKLEGHEN!$H$13="Parallel geschakeld met warmtewisselaar",K49-(K49-(K49-Q49)/I$4)*(G49/(C49-F49))*S$13,IF(OPFOKLEGHEN!$H$20="ja",K49-(K49-(K49-P49)/I$4)*(G49/(C49-MIN(D49,I$5)))*S$13,K49-(K49-(K49-P49)/I$4)*(G49/(C49-MIN(D49,I$5)))*S$13)))))</f>
        <v>1.4494909703618071</v>
      </c>
      <c r="T49" s="17">
        <f t="shared" si="21"/>
        <v>1.4494909703618071</v>
      </c>
      <c r="U49" s="6" t="e">
        <f t="shared" si="22"/>
        <v>#DIV/0!</v>
      </c>
      <c r="V49" s="129">
        <f>IF(OPFOKLEGHEN!$J$18="nee",H49/C49*K49,IF(OPFOKLEGHEN!$H$20="ja",O49-(K49-Q49)-(K49-S49),Q49-(K49-O49)-(K49-S49)))</f>
        <v>1.4494909703618071</v>
      </c>
      <c r="W49" s="162">
        <f>IF(H49=0,0,IF(OPFOKLEGHEN!$H$11="geen droogtunnel",IF(OPFOKLEGHEN!$H$15="geen warmtewisselaar",Q49-(K49-R49)))+IF(OPFOKLEGHEN!$H$12&gt;0,IF(OPFOKLEGHEN!$H$13="serie geschakeld met warmtewisselaar",(O49*80%-(K49-S49)),(Q49-(K49-S49)-(K49-T49))),(N49-(K49-S49))))</f>
        <v>2.8989819407236141</v>
      </c>
      <c r="X49" s="162">
        <f>IF(H49=0,0,IF(OPFOKLEGHEN!$H$11="geen droogtunnel",IF(OPFOKLEGHEN!$H$15="geen warmtewisselaar",Q49-(K49-R49)))+IF(OPFOKLEGHEN!$H$12&gt;0,IF(OPFOKLEGHEN!$H$13="serie geschakeld met warmtewisselaar",3*(O49*80%-(K49-S49)),(Q49-(K49-S49)-(K49-N49))),(N49-(K49-S49))))</f>
        <v>2.8989819407236141</v>
      </c>
      <c r="Y49" s="162">
        <f>IF(H49=0,0,IF(OPFOKLEGHEN!$H$11="geen droogtunnel",IF(OPFOKLEGHEN!$H$15="geen warmtewisselaar",Q49-(K49-R49)))+IF(OPFOKLEGHEN!$H$12&gt;0,IF(OPFOKLEGHEN!$H$13="serie geschakeld met warmtewisselaar",(O49-(K49-S49)),IF(OPFOKLEGHEN!$H$13="parallel geschakeld met warmtewisselaar",IF(OPFOKLEGHEN!$L$9="ja",IF(OPFOKLEGHEN!$J$18="nee",(N49-(K49-Q49)-(K49-S49)),(Q49-(K49-N49/80%)))))),(O49-(K49-S49))))</f>
        <v>2.8989819407236141</v>
      </c>
      <c r="Z49" s="130">
        <f t="shared" si="33"/>
        <v>1</v>
      </c>
      <c r="AA49" s="130"/>
      <c r="AB49" s="130"/>
      <c r="AC49" s="167">
        <f>IF(H49=0,0,IF(OPFOKLEGHEN!$H$11="geen droogtunnel",IF(OPFOKLEGHEN!$H$15="geen warmtewisselaar",(P49-(K49-R49)/R$13),K49-(K49-O49)/I$6-(K49-R49)/95%)+IF(OPFOKLEGHEN!$J$18="ja",(K49-O49)*(1-I$6)),IF(OPFOKLEGHEN!$H$12&gt;=0,IF(OPFOKLEGHEN!$L$9="ja",IF(OPFOKLEGHEN!$J$18="ja",IF(OPFOKLEGHEN!$H$20="ja",O49-(K49-S49),IF(OPFOKLEGHEN!$H$20="nee",(O49-(K49-S49)),(O49-(K49-S49)))),IF(OPFOKLEGHEN!$J$18="nee",IF(OPFOKLEGHEN!$H$20="nee",O49*80%-(K49-S49),0+O49-(K49-S49)))),IF(OPFOKLEGHEN!$L$9="nee",IF(OPFOKLEGHEN!$J$18="nee",IF(OPFOKLEGHEN!$H$20="nee",(O49*80%-(K49-S49)),O49*93%-(K49-S49)),IF(OPFOKLEGHEN!$H$20="nee",IF(OPFOKLEGHEN!$J$18="ja",IF(OPFOKLEGHEN!$L$9="nee",O49-(K49-S49))),O49-(K49-S49))))))))</f>
        <v>1.4494909703618071</v>
      </c>
      <c r="AD49" s="167" t="e">
        <f>IF(H49=0,0,IF(OPFOKLEGHEN!$H$11="geen droogtunnel",IF(OPFOKLEGHEN!$H$15="geen warmtewisselaar",(Q49-(K49-R49)/S$13),N49-(K49-R49)),IF(OPFOKLEGHEN!$H$12&gt;=0,IF(OPFOKLEGHEN!$L$9="ja",IF(OPFOKLEGHEN!$J$18="ja",IF(OPFOKLEGHEN!$H$20="ja",Q49-(K49-N49)-(K49-S49),IF(OPFOKLEGHEN!$H$20="nee",(Q49-(K49-N49)-(K49-S49)),(O49-(K49-S49)))),IF(OPFOKLEGHEN!$J$18="nee",IF(OPFOKLEGHEN!$H$20="nee",1*Q49*$N$135-(K49-N49)-(K49-S49),(Q49-(K49-N49)-(K49-S49))*N$135))),IF(OPFOKLEGHEN!$L$9="nee",IF(OPFOKLEGHEN!$J$18="nee",IF(OPFOKLEGHEN!$H$20="nee",(N49*95%-(K49-Q49)/I$4-(K49-S49)),N49-(K49-Q49)/I$4-(K49-S49)),IF(OPFOKLEGHEN!$H$20="nee",IF(OPFOKLEGHEN!$J$18="ja",IF(OPFOKLEGHEN!$L$9="nee",N49-(K49-Q49)/I$4-(K49-S49))),N49-(K49-Q49)/I$4-(K49-S49))))))))</f>
        <v>#DIV/0!</v>
      </c>
      <c r="AE49" s="29">
        <f t="shared" si="34"/>
        <v>0</v>
      </c>
      <c r="AF49" s="6">
        <f t="shared" si="35"/>
        <v>0.38920225965078159</v>
      </c>
      <c r="AG49" s="6">
        <f t="shared" si="36"/>
        <v>0</v>
      </c>
      <c r="AH49" s="4">
        <f t="shared" si="37"/>
        <v>0</v>
      </c>
      <c r="AI49" s="6">
        <f t="shared" si="19"/>
        <v>0.38920225965078159</v>
      </c>
      <c r="AJ49" s="6">
        <f t="shared" si="38"/>
        <v>0</v>
      </c>
      <c r="AK49" s="4">
        <f t="shared" si="39"/>
        <v>0.42514400069910396</v>
      </c>
      <c r="AL49" s="6">
        <f t="shared" si="40"/>
        <v>5.6258781954682006E-3</v>
      </c>
      <c r="AM49" s="1">
        <v>5</v>
      </c>
      <c r="AN49" s="1">
        <v>34</v>
      </c>
      <c r="AO49" s="5">
        <f t="shared" si="28"/>
        <v>362</v>
      </c>
      <c r="AP49" s="5">
        <f t="shared" si="29"/>
        <v>319.19999999999993</v>
      </c>
      <c r="AQ49" s="5">
        <f t="shared" si="20"/>
        <v>340.59999999999997</v>
      </c>
      <c r="AR49" s="100" t="e">
        <f t="shared" si="41"/>
        <v>#DIV/0!</v>
      </c>
    </row>
    <row r="50" spans="1:44" ht="13" x14ac:dyDescent="0.3">
      <c r="A50" s="1">
        <v>5</v>
      </c>
      <c r="B50" s="1">
        <v>35</v>
      </c>
      <c r="C50" s="4">
        <f t="shared" si="14"/>
        <v>0.43659338919249996</v>
      </c>
      <c r="D50" s="7">
        <f t="shared" si="0"/>
        <v>0</v>
      </c>
      <c r="E50" s="7">
        <f>IF(I$3=0,0,IF(OPFOKLEGHEN!$H$13="parallel geschakeld met warmtewisselaar",0,MIN(I$3,C50)))</f>
        <v>0</v>
      </c>
      <c r="F50" s="7">
        <f>IF(I$3=0,0,IF(OPFOKLEGHEN!$H$13="serie geschakeld met warmtewisselaar",0,IF(C50&lt;$I$3,C50-D50,MIN($I$3,C50-D50))))</f>
        <v>0</v>
      </c>
      <c r="G50" s="137">
        <f>IF(C50&lt;$I$7,MAX(0,C50-D50-E50-F50,IF(OPFOKLEGHEN!$H$15="warmtewisselaar",IF(OPFOKLEGHEN!$H$13="serie geschakeld met warmtewisselaar",MIN(I$7,MAX(0,C50-D50-F50)),MIN(I$7,MAX(0,C50-D50-E50-F50))))),IF(OPFOKLEGHEN!$H$13="parallel geschakeld met warmtewisselaar",MIN(I$7,C50-D50-E50-F50,MIN(I$7,C50-E50-F50)),MIN(I$7,MAX(0,C50-D50-F50))))</f>
        <v>0</v>
      </c>
      <c r="H50" s="7">
        <f>IF(OPFOKLEGHEN!$H$13="parallel geschakeld met warmtewisselaar",IF(OPFOKLEGHEN!$L$9="nee",IF(OPFOKLEGHEN!$J$18="ja",C50-F50-G50,C50-D50-F50-G50),IF(OPFOKLEGHEN!$L$9="ja",IF(OPFOKLEGHEN!$J$18="ja",C50-G50,IF(OPFOKLEGHEN!$J$18="nee",C50-D50-G50)))),IF(OPFOKLEGHEN!$H$13="serie geschakeld met warmtewisselaar",IF(OPFOKLEGHEN!$J$18="ja",C50-G50,C50-D50-F50-G50),C50-D50-F50-G50))</f>
        <v>0.43659338919249996</v>
      </c>
      <c r="I50" s="98">
        <f t="shared" si="15"/>
        <v>0.43659338919249996</v>
      </c>
      <c r="J50" s="99">
        <v>0.39642987134204843</v>
      </c>
      <c r="K50" s="6">
        <f t="shared" si="16"/>
        <v>1.5161690712918157</v>
      </c>
      <c r="L50" s="130">
        <f>SUM(K$16:K50)/$K$137</f>
        <v>3.0146604907161499E-2</v>
      </c>
      <c r="M50" s="6">
        <f t="shared" si="17"/>
        <v>6.0577531387230078E-3</v>
      </c>
      <c r="N50" s="6">
        <f t="shared" si="30"/>
        <v>1.5161690712918157</v>
      </c>
      <c r="O50" s="6">
        <f>IF(E50&lt;I$3,P50*(1-I$6*D50/C50),IF(OPFOKLEGHEN!$H$11="droogtunnel (platen) 55%",P50*(1-$I$6)+(C50-D50)/C50*(K50-P50*(1-I$6)),P50*(1-$I$6)+(C50-D50)/C50*(K50-P50*(1-I$6))))</f>
        <v>1.5161690712918157</v>
      </c>
      <c r="P50" s="129">
        <f t="shared" si="31"/>
        <v>1.5161690712918157</v>
      </c>
      <c r="Q50" s="134">
        <f t="shared" si="32"/>
        <v>1.5161690712918157</v>
      </c>
      <c r="R50" s="134">
        <f t="shared" si="18"/>
        <v>1.5161690712918157</v>
      </c>
      <c r="S50" s="199">
        <f>IF(G50&lt;0.1,K50,IF(C50=F50,S50/(1-I$4),IF(I$3=0,K50-(G50/C50)*K50*S$13,IF(OPFOKLEGHEN!$H$13="Parallel geschakeld met warmtewisselaar",K50-(K50-(K50-Q50)/I$4)*(G50/(C50-F50))*S$13,IF(OPFOKLEGHEN!$H$20="ja",K50-(K50-(K50-P50)/I$4)*(G50/(C50-MIN(D50,I$5)))*S$13,K50-(K50-(K50-P50)/I$4)*(G50/(C50-MIN(D50,I$5)))*S$13)))))</f>
        <v>1.5161690712918157</v>
      </c>
      <c r="T50" s="17">
        <f t="shared" ref="T50:T81" si="42">$K50*(1-($I$6*(D50)/C50))-($I$4*F50/C50)</f>
        <v>1.5161690712918157</v>
      </c>
      <c r="U50" s="6" t="e">
        <f t="shared" si="22"/>
        <v>#DIV/0!</v>
      </c>
      <c r="V50" s="129">
        <f>IF(OPFOKLEGHEN!$J$18="nee",H50/C50*K50,IF(OPFOKLEGHEN!$H$20="ja",O50-(K50-Q50)-(K50-S50),Q50-(K50-O50)-(K50-S50)))</f>
        <v>1.5161690712918157</v>
      </c>
      <c r="W50" s="162">
        <f>IF(H50=0,0,IF(OPFOKLEGHEN!$H$11="geen droogtunnel",IF(OPFOKLEGHEN!$H$15="geen warmtewisselaar",Q50-(K50-R50)))+IF(OPFOKLEGHEN!$H$12&gt;0,IF(OPFOKLEGHEN!$H$13="serie geschakeld met warmtewisselaar",(O50*80%-(K50-S50)),(Q50-(K50-S50)-(K50-T50))),(N50-(K50-S50))))</f>
        <v>3.0323381425836313</v>
      </c>
      <c r="X50" s="162">
        <f>IF(H50=0,0,IF(OPFOKLEGHEN!$H$11="geen droogtunnel",IF(OPFOKLEGHEN!$H$15="geen warmtewisselaar",Q50-(K50-R50)))+IF(OPFOKLEGHEN!$H$12&gt;0,IF(OPFOKLEGHEN!$H$13="serie geschakeld met warmtewisselaar",3*(O50*80%-(K50-S50)),(Q50-(K50-S50)-(K50-N50))),(N50-(K50-S50))))</f>
        <v>3.0323381425836313</v>
      </c>
      <c r="Y50" s="162">
        <f>IF(H50=0,0,IF(OPFOKLEGHEN!$H$11="geen droogtunnel",IF(OPFOKLEGHEN!$H$15="geen warmtewisselaar",Q50-(K50-R50)))+IF(OPFOKLEGHEN!$H$12&gt;0,IF(OPFOKLEGHEN!$H$13="serie geschakeld met warmtewisselaar",(O50-(K50-S50)),IF(OPFOKLEGHEN!$H$13="parallel geschakeld met warmtewisselaar",IF(OPFOKLEGHEN!$L$9="ja",IF(OPFOKLEGHEN!$J$18="nee",(N50-(K50-Q50)-(K50-S50)),(Q50-(K50-N50/80%)))))),(O50-(K50-S50))))</f>
        <v>3.0323381425836313</v>
      </c>
      <c r="Z50" s="130">
        <f t="shared" si="33"/>
        <v>1</v>
      </c>
      <c r="AA50" s="130"/>
      <c r="AB50" s="130"/>
      <c r="AC50" s="167">
        <f>IF(H50=0,0,IF(OPFOKLEGHEN!$H$11="geen droogtunnel",IF(OPFOKLEGHEN!$H$15="geen warmtewisselaar",(P50-(K50-R50)/R$13),K50-(K50-O50)/I$6-(K50-R50)/95%)+IF(OPFOKLEGHEN!$J$18="ja",(K50-O50)*(1-I$6)),IF(OPFOKLEGHEN!$H$12&gt;=0,IF(OPFOKLEGHEN!$L$9="ja",IF(OPFOKLEGHEN!$J$18="ja",IF(OPFOKLEGHEN!$H$20="ja",O50-(K50-S50),IF(OPFOKLEGHEN!$H$20="nee",(O50-(K50-S50)),(O50-(K50-S50)))),IF(OPFOKLEGHEN!$J$18="nee",IF(OPFOKLEGHEN!$H$20="nee",O50*80%-(K50-S50),0+O50-(K50-S50)))),IF(OPFOKLEGHEN!$L$9="nee",IF(OPFOKLEGHEN!$J$18="nee",IF(OPFOKLEGHEN!$H$20="nee",(O50*80%-(K50-S50)),O50*93%-(K50-S50)),IF(OPFOKLEGHEN!$H$20="nee",IF(OPFOKLEGHEN!$J$18="ja",IF(OPFOKLEGHEN!$L$9="nee",O50-(K50-S50))),O50-(K50-S50))))))))</f>
        <v>1.5161690712918157</v>
      </c>
      <c r="AD50" s="167" t="e">
        <f>IF(H50=0,0,IF(OPFOKLEGHEN!$H$11="geen droogtunnel",IF(OPFOKLEGHEN!$H$15="geen warmtewisselaar",(Q50-(K50-R50)/S$13),N50-(K50-R50)),IF(OPFOKLEGHEN!$H$12&gt;=0,IF(OPFOKLEGHEN!$L$9="ja",IF(OPFOKLEGHEN!$J$18="ja",IF(OPFOKLEGHEN!$H$20="ja",Q50-(K50-N50)-(K50-S50),IF(OPFOKLEGHEN!$H$20="nee",(Q50-(K50-N50)-(K50-S50)),(O50-(K50-S50)))),IF(OPFOKLEGHEN!$J$18="nee",IF(OPFOKLEGHEN!$H$20="nee",1*Q50*$N$135-(K50-N50)-(K50-S50),(Q50-(K50-N50)-(K50-S50))*N$135))),IF(OPFOKLEGHEN!$L$9="nee",IF(OPFOKLEGHEN!$J$18="nee",IF(OPFOKLEGHEN!$H$20="nee",(N50*95%-(K50-Q50)/I$4-(K50-S50)),N50-(K50-Q50)/I$4-(K50-S50)),IF(OPFOKLEGHEN!$H$20="nee",IF(OPFOKLEGHEN!$J$18="ja",IF(OPFOKLEGHEN!$L$9="nee",N50-(K50-Q50)/I$4-(K50-S50))),N50-(K50-Q50)/I$4-(K50-S50))))))))</f>
        <v>#DIV/0!</v>
      </c>
      <c r="AE50" s="29">
        <f t="shared" si="34"/>
        <v>0</v>
      </c>
      <c r="AF50" s="6">
        <f t="shared" si="35"/>
        <v>0.39642987134204843</v>
      </c>
      <c r="AG50" s="6">
        <f t="shared" si="36"/>
        <v>0</v>
      </c>
      <c r="AH50" s="4">
        <f t="shared" si="37"/>
        <v>0</v>
      </c>
      <c r="AI50" s="6">
        <f t="shared" si="19"/>
        <v>0.39642987134204843</v>
      </c>
      <c r="AJ50" s="6">
        <f t="shared" si="38"/>
        <v>0</v>
      </c>
      <c r="AK50" s="4">
        <f t="shared" si="39"/>
        <v>0.43659338919249996</v>
      </c>
      <c r="AL50" s="6">
        <f t="shared" si="40"/>
        <v>6.0577531387230078E-3</v>
      </c>
      <c r="AM50" s="1">
        <v>5</v>
      </c>
      <c r="AN50" s="1">
        <v>35</v>
      </c>
      <c r="AO50" s="5">
        <v>375</v>
      </c>
      <c r="AP50" s="5">
        <v>330</v>
      </c>
      <c r="AQ50" s="5">
        <f t="shared" si="20"/>
        <v>352.5</v>
      </c>
      <c r="AR50" s="100" t="e">
        <f t="shared" si="41"/>
        <v>#DIV/0!</v>
      </c>
    </row>
    <row r="51" spans="1:44" ht="13" x14ac:dyDescent="0.3">
      <c r="A51" s="1">
        <v>6</v>
      </c>
      <c r="B51" s="1">
        <v>36</v>
      </c>
      <c r="C51" s="4">
        <f t="shared" si="14"/>
        <v>0.44757866387335593</v>
      </c>
      <c r="D51" s="7">
        <f t="shared" si="0"/>
        <v>0</v>
      </c>
      <c r="E51" s="7">
        <f>IF(I$3=0,0,IF(OPFOKLEGHEN!$H$13="parallel geschakeld met warmtewisselaar",0,MIN(I$3,C51)))</f>
        <v>0</v>
      </c>
      <c r="F51" s="7">
        <f>IF(I$3=0,0,IF(OPFOKLEGHEN!$H$13="serie geschakeld met warmtewisselaar",0,IF(C51&lt;$I$3,C51-D51,MIN($I$3,C51-D51))))</f>
        <v>0</v>
      </c>
      <c r="G51" s="137">
        <f>IF(C51&lt;$I$7,MAX(0,C51-D51-E51-F51,IF(OPFOKLEGHEN!$H$15="warmtewisselaar",IF(OPFOKLEGHEN!$H$13="serie geschakeld met warmtewisselaar",MIN(I$7,MAX(0,C51-D51-F51)),MIN(I$7,MAX(0,C51-D51-E51-F51))))),IF(OPFOKLEGHEN!$H$13="parallel geschakeld met warmtewisselaar",MIN(I$7,C51-D51-E51-F51,MIN(I$7,C51-E51-F51)),MIN(I$7,MAX(0,C51-D51-F51))))</f>
        <v>0</v>
      </c>
      <c r="H51" s="7">
        <f>IF(OPFOKLEGHEN!$H$13="parallel geschakeld met warmtewisselaar",IF(OPFOKLEGHEN!$L$9="nee",IF(OPFOKLEGHEN!$J$18="ja",C51-F51-G51,C51-D51-F51-G51),IF(OPFOKLEGHEN!$L$9="ja",IF(OPFOKLEGHEN!$J$18="ja",C51-G51,IF(OPFOKLEGHEN!$J$18="nee",C51-D51-G51)))),IF(OPFOKLEGHEN!$H$13="serie geschakeld met warmtewisselaar",IF(OPFOKLEGHEN!$J$18="ja",C51-G51,C51-D51-F51-G51),C51-D51-F51-G51))</f>
        <v>0.44757866387335593</v>
      </c>
      <c r="I51" s="98">
        <f t="shared" si="15"/>
        <v>0.44757866387335593</v>
      </c>
      <c r="J51" s="99">
        <v>0.40379170211726045</v>
      </c>
      <c r="K51" s="6">
        <f t="shared" si="16"/>
        <v>1.5831821025270945</v>
      </c>
      <c r="L51" s="130">
        <f>SUM(K$16:K51)/$K$137</f>
        <v>3.2000574663979195E-2</v>
      </c>
      <c r="M51" s="6">
        <f t="shared" si="17"/>
        <v>6.5062278186044965E-3</v>
      </c>
      <c r="N51" s="6">
        <f t="shared" si="30"/>
        <v>1.5831821025270945</v>
      </c>
      <c r="O51" s="6">
        <f>IF(E51&lt;I$3,P51*(1-I$6*D51/C51),IF(OPFOKLEGHEN!$H$11="droogtunnel (platen) 55%",P51*(1-$I$6)+(C51-D51)/C51*(K51-P51*(1-I$6)),P51*(1-$I$6)+(C51-D51)/C51*(K51-P51*(1-I$6))))</f>
        <v>1.5831821025270945</v>
      </c>
      <c r="P51" s="129">
        <f t="shared" si="31"/>
        <v>1.5831821025270945</v>
      </c>
      <c r="Q51" s="134">
        <f t="shared" si="32"/>
        <v>1.5831821025270945</v>
      </c>
      <c r="R51" s="134">
        <f t="shared" si="18"/>
        <v>1.5831821025270945</v>
      </c>
      <c r="S51" s="199">
        <f>IF(G51&lt;0.1,K51,IF(C51=F51,S51/(1-I$4),IF(I$3=0,K51-(G51/C51)*K51*S$13,IF(OPFOKLEGHEN!$H$13="Parallel geschakeld met warmtewisselaar",K51-(K51-(K51-Q51)/I$4)*(G51/(C51-F51))*S$13,IF(OPFOKLEGHEN!$H$20="ja",K51-(K51-(K51-P51)/I$4)*(G51/(C51-MIN(D51,I$5)))*S$13,K51-(K51-(K51-P51)/I$4)*(G51/(C51-MIN(D51,I$5)))*S$13)))))</f>
        <v>1.5831821025270945</v>
      </c>
      <c r="T51" s="17">
        <f t="shared" si="42"/>
        <v>1.5831821025270945</v>
      </c>
      <c r="U51" s="6" t="e">
        <f t="shared" si="22"/>
        <v>#DIV/0!</v>
      </c>
      <c r="V51" s="129">
        <f>IF(OPFOKLEGHEN!$J$18="nee",H51/C51*K51,IF(OPFOKLEGHEN!$H$20="ja",O51-(K51-Q51)-(K51-S51),Q51-(K51-O51)-(K51-S51)))</f>
        <v>1.5831821025270945</v>
      </c>
      <c r="W51" s="162">
        <f>IF(H51=0,0,IF(OPFOKLEGHEN!$H$11="geen droogtunnel",IF(OPFOKLEGHEN!$H$15="geen warmtewisselaar",Q51-(K51-R51)))+IF(OPFOKLEGHEN!$H$12&gt;0,IF(OPFOKLEGHEN!$H$13="serie geschakeld met warmtewisselaar",(O51*80%-(K51-S51)),(Q51-(K51-S51)-(K51-T51))),(N51-(K51-S51))))</f>
        <v>3.1663642050541889</v>
      </c>
      <c r="X51" s="162">
        <f>IF(H51=0,0,IF(OPFOKLEGHEN!$H$11="geen droogtunnel",IF(OPFOKLEGHEN!$H$15="geen warmtewisselaar",Q51-(K51-R51)))+IF(OPFOKLEGHEN!$H$12&gt;0,IF(OPFOKLEGHEN!$H$13="serie geschakeld met warmtewisselaar",3*(O51*80%-(K51-S51)),(Q51-(K51-S51)-(K51-N51))),(N51-(K51-S51))))</f>
        <v>3.1663642050541889</v>
      </c>
      <c r="Y51" s="162">
        <f>IF(H51=0,0,IF(OPFOKLEGHEN!$H$11="geen droogtunnel",IF(OPFOKLEGHEN!$H$15="geen warmtewisselaar",Q51-(K51-R51)))+IF(OPFOKLEGHEN!$H$12&gt;0,IF(OPFOKLEGHEN!$H$13="serie geschakeld met warmtewisselaar",(O51-(K51-S51)),IF(OPFOKLEGHEN!$H$13="parallel geschakeld met warmtewisselaar",IF(OPFOKLEGHEN!$L$9="ja",IF(OPFOKLEGHEN!$J$18="nee",(N51-(K51-Q51)-(K51-S51)),(Q51-(K51-N51/80%)))))),(O51-(K51-S51))))</f>
        <v>3.1663642050541889</v>
      </c>
      <c r="Z51" s="130">
        <f t="shared" si="33"/>
        <v>1</v>
      </c>
      <c r="AA51" s="130"/>
      <c r="AB51" s="130"/>
      <c r="AC51" s="167">
        <f>IF(H51=0,0,IF(OPFOKLEGHEN!$H$11="geen droogtunnel",IF(OPFOKLEGHEN!$H$15="geen warmtewisselaar",(P51-(K51-R51)/R$13),K51-(K51-O51)/I$6-(K51-R51)/95%)+IF(OPFOKLEGHEN!$J$18="ja",(K51-O51)*(1-I$6)),IF(OPFOKLEGHEN!$H$12&gt;=0,IF(OPFOKLEGHEN!$L$9="ja",IF(OPFOKLEGHEN!$J$18="ja",IF(OPFOKLEGHEN!$H$20="ja",O51-(K51-S51),IF(OPFOKLEGHEN!$H$20="nee",(O51-(K51-S51)),(O51-(K51-S51)))),IF(OPFOKLEGHEN!$J$18="nee",IF(OPFOKLEGHEN!$H$20="nee",O51*80%-(K51-S51),0+O51-(K51-S51)))),IF(OPFOKLEGHEN!$L$9="nee",IF(OPFOKLEGHEN!$J$18="nee",IF(OPFOKLEGHEN!$H$20="nee",(O51*80%-(K51-S51)),O51*93%-(K51-S51)),IF(OPFOKLEGHEN!$H$20="nee",IF(OPFOKLEGHEN!$J$18="ja",IF(OPFOKLEGHEN!$L$9="nee",O51-(K51-S51))),O51-(K51-S51))))))))</f>
        <v>1.5831821025270945</v>
      </c>
      <c r="AD51" s="167" t="e">
        <f>IF(H51=0,0,IF(OPFOKLEGHEN!$H$11="geen droogtunnel",IF(OPFOKLEGHEN!$H$15="geen warmtewisselaar",(Q51-(K51-R51)/S$13),N51-(K51-R51)),IF(OPFOKLEGHEN!$H$12&gt;=0,IF(OPFOKLEGHEN!$L$9="ja",IF(OPFOKLEGHEN!$J$18="ja",IF(OPFOKLEGHEN!$H$20="ja",Q51-(K51-N51)-(K51-S51),IF(OPFOKLEGHEN!$H$20="nee",(Q51-(K51-N51)-(K51-S51)),(O51-(K51-S51)))),IF(OPFOKLEGHEN!$J$18="nee",IF(OPFOKLEGHEN!$H$20="nee",1*Q51*$N$135-(K51-N51)-(K51-S51),(Q51-(K51-N51)-(K51-S51))*N$135))),IF(OPFOKLEGHEN!$L$9="nee",IF(OPFOKLEGHEN!$J$18="nee",IF(OPFOKLEGHEN!$H$20="nee",(N51*95%-(K51-Q51)/I$4-(K51-S51)),N51-(K51-Q51)/I$4-(K51-S51)),IF(OPFOKLEGHEN!$H$20="nee",IF(OPFOKLEGHEN!$J$18="ja",IF(OPFOKLEGHEN!$L$9="nee",N51-(K51-Q51)/I$4-(K51-S51))),N51-(K51-Q51)/I$4-(K51-S51))))))))</f>
        <v>#DIV/0!</v>
      </c>
      <c r="AE51" s="29">
        <f t="shared" si="34"/>
        <v>0</v>
      </c>
      <c r="AF51" s="6">
        <f t="shared" si="35"/>
        <v>0.40379170211726045</v>
      </c>
      <c r="AG51" s="6">
        <f t="shared" si="36"/>
        <v>0</v>
      </c>
      <c r="AH51" s="4">
        <f t="shared" si="37"/>
        <v>0</v>
      </c>
      <c r="AI51" s="6">
        <f t="shared" si="19"/>
        <v>0.40379170211726045</v>
      </c>
      <c r="AJ51" s="6">
        <f t="shared" si="38"/>
        <v>0</v>
      </c>
      <c r="AK51" s="4">
        <f t="shared" si="39"/>
        <v>0.44757866387335593</v>
      </c>
      <c r="AL51" s="6">
        <f t="shared" si="40"/>
        <v>6.5062278186044965E-3</v>
      </c>
      <c r="AM51" s="1">
        <v>6</v>
      </c>
      <c r="AN51" s="1">
        <v>36</v>
      </c>
      <c r="AO51" s="5">
        <f t="shared" ref="AO51:AO56" si="43">AO50+12.1</f>
        <v>387.1</v>
      </c>
      <c r="AP51" s="5">
        <f t="shared" ref="AP51:AP56" si="44">AP50+10.7</f>
        <v>340.7</v>
      </c>
      <c r="AQ51" s="5">
        <f t="shared" si="20"/>
        <v>363.9</v>
      </c>
      <c r="AR51" s="100" t="e">
        <f t="shared" si="41"/>
        <v>#DIV/0!</v>
      </c>
    </row>
    <row r="52" spans="1:44" ht="13" x14ac:dyDescent="0.3">
      <c r="A52" s="1">
        <v>6</v>
      </c>
      <c r="B52" s="1">
        <v>37</v>
      </c>
      <c r="C52" s="4">
        <f t="shared" si="14"/>
        <v>0.45858399107030801</v>
      </c>
      <c r="D52" s="7">
        <f t="shared" si="0"/>
        <v>0</v>
      </c>
      <c r="E52" s="7">
        <f>IF(I$3=0,0,IF(OPFOKLEGHEN!$H$13="parallel geschakeld met warmtewisselaar",0,MIN(I$3,C52)))</f>
        <v>0</v>
      </c>
      <c r="F52" s="7">
        <f>IF(I$3=0,0,IF(OPFOKLEGHEN!$H$13="serie geschakeld met warmtewisselaar",0,IF(C52&lt;$I$3,C52-D52,MIN($I$3,C52-D52))))</f>
        <v>0</v>
      </c>
      <c r="G52" s="137">
        <f>IF(C52&lt;$I$7,MAX(0,C52-D52-E52-F52,IF(OPFOKLEGHEN!$H$15="warmtewisselaar",IF(OPFOKLEGHEN!$H$13="serie geschakeld met warmtewisselaar",MIN(I$7,MAX(0,C52-D52-F52)),MIN(I$7,MAX(0,C52-D52-E52-F52))))),IF(OPFOKLEGHEN!$H$13="parallel geschakeld met warmtewisselaar",MIN(I$7,C52-D52-E52-F52,MIN(I$7,C52-E52-F52)),MIN(I$7,MAX(0,C52-D52-F52))))</f>
        <v>0</v>
      </c>
      <c r="H52" s="7">
        <f>IF(OPFOKLEGHEN!$H$13="parallel geschakeld met warmtewisselaar",IF(OPFOKLEGHEN!$L$9="nee",IF(OPFOKLEGHEN!$J$18="ja",C52-F52-G52,C52-D52-F52-G52),IF(OPFOKLEGHEN!$L$9="ja",IF(OPFOKLEGHEN!$J$18="ja",C52-G52,IF(OPFOKLEGHEN!$J$18="nee",C52-D52-G52)))),IF(OPFOKLEGHEN!$H$13="serie geschakeld met warmtewisselaar",IF(OPFOKLEGHEN!$J$18="ja",C52-G52,C52-D52-F52-G52),C52-D52-F52-G52))</f>
        <v>0.45858399107030801</v>
      </c>
      <c r="I52" s="98">
        <f t="shared" si="15"/>
        <v>0.45858399107030801</v>
      </c>
      <c r="J52" s="99">
        <v>0.4112902444681652</v>
      </c>
      <c r="K52" s="6">
        <f t="shared" si="16"/>
        <v>1.652233426937286</v>
      </c>
      <c r="L52" s="130">
        <f>SUM(K$16:K52)/$K$137</f>
        <v>3.393540629191099E-2</v>
      </c>
      <c r="M52" s="6">
        <f t="shared" si="17"/>
        <v>6.9786115064702729E-3</v>
      </c>
      <c r="N52" s="6">
        <f t="shared" si="30"/>
        <v>1.652233426937286</v>
      </c>
      <c r="O52" s="6">
        <f>IF(E52&lt;I$3,P52*(1-I$6*D52/C52),IF(OPFOKLEGHEN!$H$11="droogtunnel (platen) 55%",P52*(1-$I$6)+(C52-D52)/C52*(K52-P52*(1-I$6)),P52*(1-$I$6)+(C52-D52)/C52*(K52-P52*(1-I$6))))</f>
        <v>1.652233426937286</v>
      </c>
      <c r="P52" s="129">
        <f t="shared" si="31"/>
        <v>1.652233426937286</v>
      </c>
      <c r="Q52" s="134">
        <f t="shared" si="32"/>
        <v>1.652233426937286</v>
      </c>
      <c r="R52" s="134">
        <f t="shared" si="18"/>
        <v>1.652233426937286</v>
      </c>
      <c r="S52" s="199">
        <f>IF(G52&lt;0.1,K52,IF(C52=F52,S52/(1-I$4),IF(I$3=0,K52-(G52/C52)*K52*S$13,IF(OPFOKLEGHEN!$H$13="Parallel geschakeld met warmtewisselaar",K52-(K52-(K52-Q52)/I$4)*(G52/(C52-F52))*S$13,IF(OPFOKLEGHEN!$H$20="ja",K52-(K52-(K52-P52)/I$4)*(G52/(C52-MIN(D52,I$5)))*S$13,K52-(K52-(K52-P52)/I$4)*(G52/(C52-MIN(D52,I$5)))*S$13)))))</f>
        <v>1.652233426937286</v>
      </c>
      <c r="T52" s="17">
        <f t="shared" si="42"/>
        <v>1.652233426937286</v>
      </c>
      <c r="U52" s="6" t="e">
        <f t="shared" si="22"/>
        <v>#DIV/0!</v>
      </c>
      <c r="V52" s="129">
        <f>IF(OPFOKLEGHEN!$J$18="nee",H52/C52*K52,IF(OPFOKLEGHEN!$H$20="ja",O52-(K52-Q52)-(K52-S52),Q52-(K52-O52)-(K52-S52)))</f>
        <v>1.652233426937286</v>
      </c>
      <c r="W52" s="162">
        <f>IF(H52=0,0,IF(OPFOKLEGHEN!$H$11="geen droogtunnel",IF(OPFOKLEGHEN!$H$15="geen warmtewisselaar",Q52-(K52-R52)))+IF(OPFOKLEGHEN!$H$12&gt;0,IF(OPFOKLEGHEN!$H$13="serie geschakeld met warmtewisselaar",(O52*80%-(K52-S52)),(Q52-(K52-S52)-(K52-T52))),(N52-(K52-S52))))</f>
        <v>3.3044668538745721</v>
      </c>
      <c r="X52" s="162">
        <f>IF(H52=0,0,IF(OPFOKLEGHEN!$H$11="geen droogtunnel",IF(OPFOKLEGHEN!$H$15="geen warmtewisselaar",Q52-(K52-R52)))+IF(OPFOKLEGHEN!$H$12&gt;0,IF(OPFOKLEGHEN!$H$13="serie geschakeld met warmtewisselaar",3*(O52*80%-(K52-S52)),(Q52-(K52-S52)-(K52-N52))),(N52-(K52-S52))))</f>
        <v>3.3044668538745721</v>
      </c>
      <c r="Y52" s="162">
        <f>IF(H52=0,0,IF(OPFOKLEGHEN!$H$11="geen droogtunnel",IF(OPFOKLEGHEN!$H$15="geen warmtewisselaar",Q52-(K52-R52)))+IF(OPFOKLEGHEN!$H$12&gt;0,IF(OPFOKLEGHEN!$H$13="serie geschakeld met warmtewisselaar",(O52-(K52-S52)),IF(OPFOKLEGHEN!$H$13="parallel geschakeld met warmtewisselaar",IF(OPFOKLEGHEN!$L$9="ja",IF(OPFOKLEGHEN!$J$18="nee",(N52-(K52-Q52)-(K52-S52)),(Q52-(K52-N52/80%)))))),(O52-(K52-S52))))</f>
        <v>3.3044668538745721</v>
      </c>
      <c r="Z52" s="130">
        <f t="shared" si="33"/>
        <v>1</v>
      </c>
      <c r="AA52" s="130"/>
      <c r="AB52" s="130"/>
      <c r="AC52" s="167">
        <f>IF(H52=0,0,IF(OPFOKLEGHEN!$H$11="geen droogtunnel",IF(OPFOKLEGHEN!$H$15="geen warmtewisselaar",(P52-(K52-R52)/R$13),K52-(K52-O52)/I$6-(K52-R52)/95%)+IF(OPFOKLEGHEN!$J$18="ja",(K52-O52)*(1-I$6)),IF(OPFOKLEGHEN!$H$12&gt;=0,IF(OPFOKLEGHEN!$L$9="ja",IF(OPFOKLEGHEN!$J$18="ja",IF(OPFOKLEGHEN!$H$20="ja",O52-(K52-S52),IF(OPFOKLEGHEN!$H$20="nee",(O52-(K52-S52)),(O52-(K52-S52)))),IF(OPFOKLEGHEN!$J$18="nee",IF(OPFOKLEGHEN!$H$20="nee",O52*80%-(K52-S52),0+O52-(K52-S52)))),IF(OPFOKLEGHEN!$L$9="nee",IF(OPFOKLEGHEN!$J$18="nee",IF(OPFOKLEGHEN!$H$20="nee",(O52*80%-(K52-S52)),O52*93%-(K52-S52)),IF(OPFOKLEGHEN!$H$20="nee",IF(OPFOKLEGHEN!$J$18="ja",IF(OPFOKLEGHEN!$L$9="nee",O52-(K52-S52))),O52-(K52-S52))))))))</f>
        <v>1.652233426937286</v>
      </c>
      <c r="AD52" s="167" t="e">
        <f>IF(H52=0,0,IF(OPFOKLEGHEN!$H$11="geen droogtunnel",IF(OPFOKLEGHEN!$H$15="geen warmtewisselaar",(Q52-(K52-R52)/S$13),N52-(K52-R52)),IF(OPFOKLEGHEN!$H$12&gt;=0,IF(OPFOKLEGHEN!$L$9="ja",IF(OPFOKLEGHEN!$J$18="ja",IF(OPFOKLEGHEN!$H$20="ja",Q52-(K52-N52)-(K52-S52),IF(OPFOKLEGHEN!$H$20="nee",(Q52-(K52-N52)-(K52-S52)),(O52-(K52-S52)))),IF(OPFOKLEGHEN!$J$18="nee",IF(OPFOKLEGHEN!$H$20="nee",1*Q52*$N$135-(K52-N52)-(K52-S52),(Q52-(K52-N52)-(K52-S52))*N$135))),IF(OPFOKLEGHEN!$L$9="nee",IF(OPFOKLEGHEN!$J$18="nee",IF(OPFOKLEGHEN!$H$20="nee",(N52*95%-(K52-Q52)/I$4-(K52-S52)),N52-(K52-Q52)/I$4-(K52-S52)),IF(OPFOKLEGHEN!$H$20="nee",IF(OPFOKLEGHEN!$J$18="ja",IF(OPFOKLEGHEN!$L$9="nee",N52-(K52-Q52)/I$4-(K52-S52))),N52-(K52-Q52)/I$4-(K52-S52))))))))</f>
        <v>#DIV/0!</v>
      </c>
      <c r="AE52" s="29">
        <f t="shared" si="34"/>
        <v>0</v>
      </c>
      <c r="AF52" s="6">
        <f t="shared" si="35"/>
        <v>0.4112902444681652</v>
      </c>
      <c r="AG52" s="6">
        <f t="shared" si="36"/>
        <v>0</v>
      </c>
      <c r="AH52" s="4">
        <f t="shared" si="37"/>
        <v>0</v>
      </c>
      <c r="AI52" s="6">
        <f t="shared" si="19"/>
        <v>0.4112902444681652</v>
      </c>
      <c r="AJ52" s="6">
        <f t="shared" si="38"/>
        <v>0</v>
      </c>
      <c r="AK52" s="4">
        <f t="shared" si="39"/>
        <v>0.45858399107030801</v>
      </c>
      <c r="AL52" s="6">
        <f t="shared" si="40"/>
        <v>6.9786115064702729E-3</v>
      </c>
      <c r="AM52" s="1">
        <v>6</v>
      </c>
      <c r="AN52" s="1">
        <v>37</v>
      </c>
      <c r="AO52" s="5">
        <f t="shared" si="43"/>
        <v>399.20000000000005</v>
      </c>
      <c r="AP52" s="5">
        <f t="shared" si="44"/>
        <v>351.4</v>
      </c>
      <c r="AQ52" s="5">
        <f t="shared" si="20"/>
        <v>375.3</v>
      </c>
      <c r="AR52" s="100" t="e">
        <f t="shared" si="41"/>
        <v>#DIV/0!</v>
      </c>
    </row>
    <row r="53" spans="1:44" ht="13" x14ac:dyDescent="0.3">
      <c r="A53" s="1">
        <v>6</v>
      </c>
      <c r="B53" s="1">
        <v>38</v>
      </c>
      <c r="C53" s="4">
        <f t="shared" si="14"/>
        <v>0.469612784260732</v>
      </c>
      <c r="D53" s="7">
        <f t="shared" si="0"/>
        <v>0</v>
      </c>
      <c r="E53" s="7">
        <f>IF(I$3=0,0,IF(OPFOKLEGHEN!$H$13="parallel geschakeld met warmtewisselaar",0,MIN(I$3,C53)))</f>
        <v>0</v>
      </c>
      <c r="F53" s="7">
        <f>IF(I$3=0,0,IF(OPFOKLEGHEN!$H$13="serie geschakeld met warmtewisselaar",0,IF(C53&lt;$I$3,C53-D53,MIN($I$3,C53-D53))))</f>
        <v>0</v>
      </c>
      <c r="G53" s="137">
        <f>IF(C53&lt;$I$7,MAX(0,C53-D53-E53-F53,IF(OPFOKLEGHEN!$H$15="warmtewisselaar",IF(OPFOKLEGHEN!$H$13="serie geschakeld met warmtewisselaar",MIN(I$7,MAX(0,C53-D53-F53)),MIN(I$7,MAX(0,C53-D53-E53-F53))))),IF(OPFOKLEGHEN!$H$13="parallel geschakeld met warmtewisselaar",MIN(I$7,C53-D53-E53-F53,MIN(I$7,C53-E53-F53)),MIN(I$7,MAX(0,C53-D53-F53))))</f>
        <v>0</v>
      </c>
      <c r="H53" s="7">
        <f>IF(OPFOKLEGHEN!$H$13="parallel geschakeld met warmtewisselaar",IF(OPFOKLEGHEN!$L$9="nee",IF(OPFOKLEGHEN!$J$18="ja",C53-F53-G53,C53-D53-F53-G53),IF(OPFOKLEGHEN!$L$9="ja",IF(OPFOKLEGHEN!$J$18="ja",C53-G53,IF(OPFOKLEGHEN!$J$18="nee",C53-D53-G53)))),IF(OPFOKLEGHEN!$H$13="serie geschakeld met warmtewisselaar",IF(OPFOKLEGHEN!$J$18="ja",C53-G53,C53-D53-F53-G53),C53-D53-F53-G53))</f>
        <v>0.469612784260732</v>
      </c>
      <c r="I53" s="98">
        <f t="shared" si="15"/>
        <v>0.469612784260732</v>
      </c>
      <c r="J53" s="99">
        <v>0.41892803717288729</v>
      </c>
      <c r="K53" s="6">
        <f t="shared" si="16"/>
        <v>1.723389506608793</v>
      </c>
      <c r="L53" s="130">
        <f>SUM(K$16:K53)/$K$137</f>
        <v>3.595356454380734E-2</v>
      </c>
      <c r="M53" s="6">
        <f t="shared" si="17"/>
        <v>7.4758905537824346E-3</v>
      </c>
      <c r="N53" s="6">
        <f t="shared" si="30"/>
        <v>1.723389506608793</v>
      </c>
      <c r="O53" s="6">
        <f>IF(E53&lt;I$3,P53*(1-I$6*D53/C53),IF(OPFOKLEGHEN!$H$11="droogtunnel (platen) 55%",P53*(1-$I$6)+(C53-D53)/C53*(K53-P53*(1-I$6)),P53*(1-$I$6)+(C53-D53)/C53*(K53-P53*(1-I$6))))</f>
        <v>1.723389506608793</v>
      </c>
      <c r="P53" s="129">
        <f t="shared" si="31"/>
        <v>1.723389506608793</v>
      </c>
      <c r="Q53" s="134">
        <f t="shared" si="32"/>
        <v>1.723389506608793</v>
      </c>
      <c r="R53" s="134">
        <f t="shared" si="18"/>
        <v>1.723389506608793</v>
      </c>
      <c r="S53" s="199">
        <f>IF(G53&lt;0.1,K53,IF(C53=F53,S53/(1-I$4),IF(I$3=0,K53-(G53/C53)*K53*S$13,IF(OPFOKLEGHEN!$H$13="Parallel geschakeld met warmtewisselaar",K53-(K53-(K53-Q53)/I$4)*(G53/(C53-F53))*S$13,IF(OPFOKLEGHEN!$H$20="ja",K53-(K53-(K53-P53)/I$4)*(G53/(C53-MIN(D53,I$5)))*S$13,K53-(K53-(K53-P53)/I$4)*(G53/(C53-MIN(D53,I$5)))*S$13)))))</f>
        <v>1.723389506608793</v>
      </c>
      <c r="T53" s="17">
        <f t="shared" si="42"/>
        <v>1.723389506608793</v>
      </c>
      <c r="U53" s="6" t="e">
        <f t="shared" si="22"/>
        <v>#DIV/0!</v>
      </c>
      <c r="V53" s="129">
        <f>IF(OPFOKLEGHEN!$J$18="nee",H53/C53*K53,IF(OPFOKLEGHEN!$H$20="ja",O53-(K53-Q53)-(K53-S53),Q53-(K53-O53)-(K53-S53)))</f>
        <v>1.723389506608793</v>
      </c>
      <c r="W53" s="162">
        <f>IF(H53=0,0,IF(OPFOKLEGHEN!$H$11="geen droogtunnel",IF(OPFOKLEGHEN!$H$15="geen warmtewisselaar",Q53-(K53-R53)))+IF(OPFOKLEGHEN!$H$12&gt;0,IF(OPFOKLEGHEN!$H$13="serie geschakeld met warmtewisselaar",(O53*80%-(K53-S53)),(Q53-(K53-S53)-(K53-T53))),(N53-(K53-S53))))</f>
        <v>3.446779013217586</v>
      </c>
      <c r="X53" s="162">
        <f>IF(H53=0,0,IF(OPFOKLEGHEN!$H$11="geen droogtunnel",IF(OPFOKLEGHEN!$H$15="geen warmtewisselaar",Q53-(K53-R53)))+IF(OPFOKLEGHEN!$H$12&gt;0,IF(OPFOKLEGHEN!$H$13="serie geschakeld met warmtewisselaar",3*(O53*80%-(K53-S53)),(Q53-(K53-S53)-(K53-N53))),(N53-(K53-S53))))</f>
        <v>3.446779013217586</v>
      </c>
      <c r="Y53" s="162">
        <f>IF(H53=0,0,IF(OPFOKLEGHEN!$H$11="geen droogtunnel",IF(OPFOKLEGHEN!$H$15="geen warmtewisselaar",Q53-(K53-R53)))+IF(OPFOKLEGHEN!$H$12&gt;0,IF(OPFOKLEGHEN!$H$13="serie geschakeld met warmtewisselaar",(O53-(K53-S53)),IF(OPFOKLEGHEN!$H$13="parallel geschakeld met warmtewisselaar",IF(OPFOKLEGHEN!$L$9="ja",IF(OPFOKLEGHEN!$J$18="nee",(N53-(K53-Q53)-(K53-S53)),(Q53-(K53-N53/80%)))))),(O53-(K53-S53))))</f>
        <v>3.446779013217586</v>
      </c>
      <c r="Z53" s="130">
        <f t="shared" si="33"/>
        <v>1</v>
      </c>
      <c r="AA53" s="130"/>
      <c r="AB53" s="130"/>
      <c r="AC53" s="167">
        <f>IF(H53=0,0,IF(OPFOKLEGHEN!$H$11="geen droogtunnel",IF(OPFOKLEGHEN!$H$15="geen warmtewisselaar",(P53-(K53-R53)/R$13),K53-(K53-O53)/I$6-(K53-R53)/95%)+IF(OPFOKLEGHEN!$J$18="ja",(K53-O53)*(1-I$6)),IF(OPFOKLEGHEN!$H$12&gt;=0,IF(OPFOKLEGHEN!$L$9="ja",IF(OPFOKLEGHEN!$J$18="ja",IF(OPFOKLEGHEN!$H$20="ja",O53-(K53-S53),IF(OPFOKLEGHEN!$H$20="nee",(O53-(K53-S53)),(O53-(K53-S53)))),IF(OPFOKLEGHEN!$J$18="nee",IF(OPFOKLEGHEN!$H$20="nee",O53*80%-(K53-S53),0+O53-(K53-S53)))),IF(OPFOKLEGHEN!$L$9="nee",IF(OPFOKLEGHEN!$J$18="nee",IF(OPFOKLEGHEN!$H$20="nee",(O53*80%-(K53-S53)),O53*93%-(K53-S53)),IF(OPFOKLEGHEN!$H$20="nee",IF(OPFOKLEGHEN!$J$18="ja",IF(OPFOKLEGHEN!$L$9="nee",O53-(K53-S53))),O53-(K53-S53))))))))</f>
        <v>1.723389506608793</v>
      </c>
      <c r="AD53" s="167" t="e">
        <f>IF(H53=0,0,IF(OPFOKLEGHEN!$H$11="geen droogtunnel",IF(OPFOKLEGHEN!$H$15="geen warmtewisselaar",(Q53-(K53-R53)/S$13),N53-(K53-R53)),IF(OPFOKLEGHEN!$H$12&gt;=0,IF(OPFOKLEGHEN!$L$9="ja",IF(OPFOKLEGHEN!$J$18="ja",IF(OPFOKLEGHEN!$H$20="ja",Q53-(K53-N53)-(K53-S53),IF(OPFOKLEGHEN!$H$20="nee",(Q53-(K53-N53)-(K53-S53)),(O53-(K53-S53)))),IF(OPFOKLEGHEN!$J$18="nee",IF(OPFOKLEGHEN!$H$20="nee",1*Q53*$N$135-(K53-N53)-(K53-S53),(Q53-(K53-N53)-(K53-S53))*N$135))),IF(OPFOKLEGHEN!$L$9="nee",IF(OPFOKLEGHEN!$J$18="nee",IF(OPFOKLEGHEN!$H$20="nee",(N53*95%-(K53-Q53)/I$4-(K53-S53)),N53-(K53-Q53)/I$4-(K53-S53)),IF(OPFOKLEGHEN!$H$20="nee",IF(OPFOKLEGHEN!$J$18="ja",IF(OPFOKLEGHEN!$L$9="nee",N53-(K53-Q53)/I$4-(K53-S53))),N53-(K53-Q53)/I$4-(K53-S53))))))))</f>
        <v>#DIV/0!</v>
      </c>
      <c r="AE53" s="29">
        <f t="shared" si="34"/>
        <v>0</v>
      </c>
      <c r="AF53" s="6">
        <f t="shared" si="35"/>
        <v>0.41892803717288729</v>
      </c>
      <c r="AG53" s="6">
        <f t="shared" si="36"/>
        <v>0</v>
      </c>
      <c r="AH53" s="4">
        <f t="shared" si="37"/>
        <v>0</v>
      </c>
      <c r="AI53" s="6">
        <f t="shared" si="19"/>
        <v>0.41892803717288729</v>
      </c>
      <c r="AJ53" s="6">
        <f t="shared" si="38"/>
        <v>0</v>
      </c>
      <c r="AK53" s="4">
        <f t="shared" si="39"/>
        <v>0.469612784260732</v>
      </c>
      <c r="AL53" s="6">
        <f t="shared" si="40"/>
        <v>7.4758905537824346E-3</v>
      </c>
      <c r="AM53" s="1">
        <v>6</v>
      </c>
      <c r="AN53" s="1">
        <v>38</v>
      </c>
      <c r="AO53" s="5">
        <f t="shared" si="43"/>
        <v>411.30000000000007</v>
      </c>
      <c r="AP53" s="5">
        <f t="shared" si="44"/>
        <v>362.09999999999997</v>
      </c>
      <c r="AQ53" s="5">
        <f t="shared" si="20"/>
        <v>386.70000000000005</v>
      </c>
      <c r="AR53" s="100" t="e">
        <f t="shared" si="41"/>
        <v>#DIV/0!</v>
      </c>
    </row>
    <row r="54" spans="1:44" ht="13" x14ac:dyDescent="0.3">
      <c r="A54" s="1">
        <v>6</v>
      </c>
      <c r="B54" s="1">
        <v>39</v>
      </c>
      <c r="C54" s="4">
        <f t="shared" si="14"/>
        <v>0.48066845692200399</v>
      </c>
      <c r="D54" s="7">
        <f t="shared" si="0"/>
        <v>0</v>
      </c>
      <c r="E54" s="7">
        <f>IF(I$3=0,0,IF(OPFOKLEGHEN!$H$13="parallel geschakeld met warmtewisselaar",0,MIN(I$3,C54)))</f>
        <v>0</v>
      </c>
      <c r="F54" s="7">
        <f>IF(I$3=0,0,IF(OPFOKLEGHEN!$H$13="serie geschakeld met warmtewisselaar",0,IF(C54&lt;$I$3,C54-D54,MIN($I$3,C54-D54))))</f>
        <v>0</v>
      </c>
      <c r="G54" s="137">
        <f>IF(C54&lt;$I$7,MAX(0,C54-D54-E54-F54,IF(OPFOKLEGHEN!$H$15="warmtewisselaar",IF(OPFOKLEGHEN!$H$13="serie geschakeld met warmtewisselaar",MIN(I$7,MAX(0,C54-D54-F54)),MIN(I$7,MAX(0,C54-D54-E54-F54))))),IF(OPFOKLEGHEN!$H$13="parallel geschakeld met warmtewisselaar",MIN(I$7,C54-D54-E54-F54,MIN(I$7,C54-E54-F54)),MIN(I$7,MAX(0,C54-D54-F54))))</f>
        <v>0</v>
      </c>
      <c r="H54" s="7">
        <f>IF(OPFOKLEGHEN!$H$13="parallel geschakeld met warmtewisselaar",IF(OPFOKLEGHEN!$L$9="nee",IF(OPFOKLEGHEN!$J$18="ja",C54-F54-G54,C54-D54-F54-G54),IF(OPFOKLEGHEN!$L$9="ja",IF(OPFOKLEGHEN!$J$18="ja",C54-G54,IF(OPFOKLEGHEN!$J$18="nee",C54-D54-G54)))),IF(OPFOKLEGHEN!$H$13="serie geschakeld met warmtewisselaar",IF(OPFOKLEGHEN!$J$18="ja",C54-G54,C54-D54-F54-G54),C54-D54-F54-G54))</f>
        <v>0.48066845692200399</v>
      </c>
      <c r="I54" s="98">
        <f t="shared" si="15"/>
        <v>0.48066845692200399</v>
      </c>
      <c r="J54" s="99">
        <v>0.42670766615548111</v>
      </c>
      <c r="K54" s="6">
        <f t="shared" si="16"/>
        <v>1.796719059322244</v>
      </c>
      <c r="L54" s="130">
        <f>SUM(K$16:K54)/$K$137</f>
        <v>3.8057594643796662E-2</v>
      </c>
      <c r="M54" s="6">
        <f t="shared" si="17"/>
        <v>7.999091702462045E-3</v>
      </c>
      <c r="N54" s="6">
        <f t="shared" si="30"/>
        <v>1.796719059322244</v>
      </c>
      <c r="O54" s="6">
        <f>IF(E54&lt;I$3,P54*(1-I$6*D54/C54),IF(OPFOKLEGHEN!$H$11="droogtunnel (platen) 55%",P54*(1-$I$6)+(C54-D54)/C54*(K54-P54*(1-I$6)),P54*(1-$I$6)+(C54-D54)/C54*(K54-P54*(1-I$6))))</f>
        <v>1.796719059322244</v>
      </c>
      <c r="P54" s="129">
        <f t="shared" si="31"/>
        <v>1.796719059322244</v>
      </c>
      <c r="Q54" s="134">
        <f t="shared" si="32"/>
        <v>1.796719059322244</v>
      </c>
      <c r="R54" s="134">
        <f t="shared" si="18"/>
        <v>1.796719059322244</v>
      </c>
      <c r="S54" s="199">
        <f>IF(G54&lt;0.1,K54,IF(C54=F54,S54/(1-I$4),IF(I$3=0,K54-(G54/C54)*K54*S$13,IF(OPFOKLEGHEN!$H$13="Parallel geschakeld met warmtewisselaar",K54-(K54-(K54-Q54)/I$4)*(G54/(C54-F54))*S$13,IF(OPFOKLEGHEN!$H$20="ja",K54-(K54-(K54-P54)/I$4)*(G54/(C54-MIN(D54,I$5)))*S$13,K54-(K54-(K54-P54)/I$4)*(G54/(C54-MIN(D54,I$5)))*S$13)))))</f>
        <v>1.796719059322244</v>
      </c>
      <c r="T54" s="17">
        <f t="shared" si="42"/>
        <v>1.796719059322244</v>
      </c>
      <c r="U54" s="6" t="e">
        <f t="shared" si="22"/>
        <v>#DIV/0!</v>
      </c>
      <c r="V54" s="129">
        <f>IF(OPFOKLEGHEN!$J$18="nee",H54/C54*K54,IF(OPFOKLEGHEN!$H$20="ja",O54-(K54-Q54)-(K54-S54),Q54-(K54-O54)-(K54-S54)))</f>
        <v>1.796719059322244</v>
      </c>
      <c r="W54" s="162">
        <f>IF(H54=0,0,IF(OPFOKLEGHEN!$H$11="geen droogtunnel",IF(OPFOKLEGHEN!$H$15="geen warmtewisselaar",Q54-(K54-R54)))+IF(OPFOKLEGHEN!$H$12&gt;0,IF(OPFOKLEGHEN!$H$13="serie geschakeld met warmtewisselaar",(O54*80%-(K54-S54)),(Q54-(K54-S54)-(K54-T54))),(N54-(K54-S54))))</f>
        <v>3.5934381186444879</v>
      </c>
      <c r="X54" s="162">
        <f>IF(H54=0,0,IF(OPFOKLEGHEN!$H$11="geen droogtunnel",IF(OPFOKLEGHEN!$H$15="geen warmtewisselaar",Q54-(K54-R54)))+IF(OPFOKLEGHEN!$H$12&gt;0,IF(OPFOKLEGHEN!$H$13="serie geschakeld met warmtewisselaar",3*(O54*80%-(K54-S54)),(Q54-(K54-S54)-(K54-N54))),(N54-(K54-S54))))</f>
        <v>3.5934381186444879</v>
      </c>
      <c r="Y54" s="162">
        <f>IF(H54=0,0,IF(OPFOKLEGHEN!$H$11="geen droogtunnel",IF(OPFOKLEGHEN!$H$15="geen warmtewisselaar",Q54-(K54-R54)))+IF(OPFOKLEGHEN!$H$12&gt;0,IF(OPFOKLEGHEN!$H$13="serie geschakeld met warmtewisselaar",(O54-(K54-S54)),IF(OPFOKLEGHEN!$H$13="parallel geschakeld met warmtewisselaar",IF(OPFOKLEGHEN!$L$9="ja",IF(OPFOKLEGHEN!$J$18="nee",(N54-(K54-Q54)-(K54-S54)),(Q54-(K54-N54/80%)))))),(O54-(K54-S54))))</f>
        <v>3.5934381186444879</v>
      </c>
      <c r="Z54" s="130">
        <f t="shared" si="33"/>
        <v>1</v>
      </c>
      <c r="AA54" s="130"/>
      <c r="AB54" s="130"/>
      <c r="AC54" s="167">
        <f>IF(H54=0,0,IF(OPFOKLEGHEN!$H$11="geen droogtunnel",IF(OPFOKLEGHEN!$H$15="geen warmtewisselaar",(P54-(K54-R54)/R$13),K54-(K54-O54)/I$6-(K54-R54)/95%)+IF(OPFOKLEGHEN!$J$18="ja",(K54-O54)*(1-I$6)),IF(OPFOKLEGHEN!$H$12&gt;=0,IF(OPFOKLEGHEN!$L$9="ja",IF(OPFOKLEGHEN!$J$18="ja",IF(OPFOKLEGHEN!$H$20="ja",O54-(K54-S54),IF(OPFOKLEGHEN!$H$20="nee",(O54-(K54-S54)),(O54-(K54-S54)))),IF(OPFOKLEGHEN!$J$18="nee",IF(OPFOKLEGHEN!$H$20="nee",O54*80%-(K54-S54),0+O54-(K54-S54)))),IF(OPFOKLEGHEN!$L$9="nee",IF(OPFOKLEGHEN!$J$18="nee",IF(OPFOKLEGHEN!$H$20="nee",(O54*80%-(K54-S54)),O54*93%-(K54-S54)),IF(OPFOKLEGHEN!$H$20="nee",IF(OPFOKLEGHEN!$J$18="ja",IF(OPFOKLEGHEN!$L$9="nee",O54-(K54-S54))),O54-(K54-S54))))))))</f>
        <v>1.796719059322244</v>
      </c>
      <c r="AD54" s="167" t="e">
        <f>IF(H54=0,0,IF(OPFOKLEGHEN!$H$11="geen droogtunnel",IF(OPFOKLEGHEN!$H$15="geen warmtewisselaar",(Q54-(K54-R54)/S$13),N54-(K54-R54)),IF(OPFOKLEGHEN!$H$12&gt;=0,IF(OPFOKLEGHEN!$L$9="ja",IF(OPFOKLEGHEN!$J$18="ja",IF(OPFOKLEGHEN!$H$20="ja",Q54-(K54-N54)-(K54-S54),IF(OPFOKLEGHEN!$H$20="nee",(Q54-(K54-N54)-(K54-S54)),(O54-(K54-S54)))),IF(OPFOKLEGHEN!$J$18="nee",IF(OPFOKLEGHEN!$H$20="nee",1*Q54*$N$135-(K54-N54)-(K54-S54),(Q54-(K54-N54)-(K54-S54))*N$135))),IF(OPFOKLEGHEN!$L$9="nee",IF(OPFOKLEGHEN!$J$18="nee",IF(OPFOKLEGHEN!$H$20="nee",(N54*95%-(K54-Q54)/I$4-(K54-S54)),N54-(K54-Q54)/I$4-(K54-S54)),IF(OPFOKLEGHEN!$H$20="nee",IF(OPFOKLEGHEN!$J$18="ja",IF(OPFOKLEGHEN!$L$9="nee",N54-(K54-Q54)/I$4-(K54-S54))),N54-(K54-Q54)/I$4-(K54-S54))))))))</f>
        <v>#DIV/0!</v>
      </c>
      <c r="AE54" s="29">
        <f t="shared" si="34"/>
        <v>0</v>
      </c>
      <c r="AF54" s="6">
        <f t="shared" si="35"/>
        <v>0.42670766615548111</v>
      </c>
      <c r="AG54" s="6">
        <f t="shared" si="36"/>
        <v>0</v>
      </c>
      <c r="AH54" s="4">
        <f t="shared" si="37"/>
        <v>0</v>
      </c>
      <c r="AI54" s="6">
        <f t="shared" si="19"/>
        <v>0.42670766615548111</v>
      </c>
      <c r="AJ54" s="6">
        <f t="shared" si="38"/>
        <v>0</v>
      </c>
      <c r="AK54" s="4">
        <f t="shared" si="39"/>
        <v>0.48066845692200399</v>
      </c>
      <c r="AL54" s="6">
        <f t="shared" si="40"/>
        <v>7.999091702462045E-3</v>
      </c>
      <c r="AM54" s="1">
        <v>6</v>
      </c>
      <c r="AN54" s="1">
        <v>39</v>
      </c>
      <c r="AO54" s="5">
        <f t="shared" si="43"/>
        <v>423.40000000000009</v>
      </c>
      <c r="AP54" s="5">
        <f t="shared" si="44"/>
        <v>372.79999999999995</v>
      </c>
      <c r="AQ54" s="5">
        <f t="shared" si="20"/>
        <v>398.1</v>
      </c>
      <c r="AR54" s="100" t="e">
        <f t="shared" si="41"/>
        <v>#DIV/0!</v>
      </c>
    </row>
    <row r="55" spans="1:44" ht="13" x14ac:dyDescent="0.3">
      <c r="A55" s="1">
        <v>6</v>
      </c>
      <c r="B55" s="1">
        <v>40</v>
      </c>
      <c r="C55" s="4">
        <f t="shared" si="14"/>
        <v>0.49175442253149998</v>
      </c>
      <c r="D55" s="7">
        <f t="shared" si="0"/>
        <v>0</v>
      </c>
      <c r="E55" s="7">
        <f>IF(I$3=0,0,IF(OPFOKLEGHEN!$H$13="parallel geschakeld met warmtewisselaar",0,MIN(I$3,C55)))</f>
        <v>0</v>
      </c>
      <c r="F55" s="7">
        <f>IF(I$3=0,0,IF(OPFOKLEGHEN!$H$13="serie geschakeld met warmtewisselaar",0,IF(C55&lt;$I$3,C55-D55,MIN($I$3,C55-D55))))</f>
        <v>0</v>
      </c>
      <c r="G55" s="137">
        <f>IF(C55&lt;$I$7,MAX(0,C55-D55-E55-F55,IF(OPFOKLEGHEN!$H$15="warmtewisselaar",IF(OPFOKLEGHEN!$H$13="serie geschakeld met warmtewisselaar",MIN(I$7,MAX(0,C55-D55-F55)),MIN(I$7,MAX(0,C55-D55-E55-F55))))),IF(OPFOKLEGHEN!$H$13="parallel geschakeld met warmtewisselaar",MIN(I$7,C55-D55-E55-F55,MIN(I$7,C55-E55-F55)),MIN(I$7,MAX(0,C55-D55-F55))))</f>
        <v>0</v>
      </c>
      <c r="H55" s="7">
        <f>IF(OPFOKLEGHEN!$H$13="parallel geschakeld met warmtewisselaar",IF(OPFOKLEGHEN!$L$9="nee",IF(OPFOKLEGHEN!$J$18="ja",C55-F55-G55,C55-D55-F55-G55),IF(OPFOKLEGHEN!$L$9="ja",IF(OPFOKLEGHEN!$J$18="ja",C55-G55,IF(OPFOKLEGHEN!$J$18="nee",C55-D55-G55)))),IF(OPFOKLEGHEN!$H$13="serie geschakeld met warmtewisselaar",IF(OPFOKLEGHEN!$J$18="ja",C55-G55,C55-D55-F55-G55),C55-D55-F55-G55))</f>
        <v>0.49175442253149998</v>
      </c>
      <c r="I55" s="98">
        <f t="shared" si="15"/>
        <v>0.49175442253149998</v>
      </c>
      <c r="J55" s="99">
        <v>0.43463176536144604</v>
      </c>
      <c r="K55" s="6">
        <f t="shared" si="16"/>
        <v>1.8722931328330794</v>
      </c>
      <c r="L55" s="130">
        <f>SUM(K$16:K55)/$K$137</f>
        <v>4.0250125015779299E-2</v>
      </c>
      <c r="M55" s="6">
        <f t="shared" si="17"/>
        <v>8.5492837115665708E-3</v>
      </c>
      <c r="N55" s="6">
        <f t="shared" si="30"/>
        <v>1.8722931328330794</v>
      </c>
      <c r="O55" s="6">
        <f>IF(E55&lt;I$3,P55*(1-I$6*D55/C55),IF(OPFOKLEGHEN!$H$11="droogtunnel (platen) 55%",P55*(1-$I$6)+(C55-D55)/C55*(K55-P55*(1-I$6)),P55*(1-$I$6)+(C55-D55)/C55*(K55-P55*(1-I$6))))</f>
        <v>1.8722931328330794</v>
      </c>
      <c r="P55" s="129">
        <f t="shared" si="31"/>
        <v>1.8722931328330794</v>
      </c>
      <c r="Q55" s="134">
        <f t="shared" si="32"/>
        <v>1.8722931328330794</v>
      </c>
      <c r="R55" s="134">
        <f t="shared" si="18"/>
        <v>1.8722931328330794</v>
      </c>
      <c r="S55" s="199">
        <f>IF(G55&lt;0.1,K55,IF(C55=F55,S55/(1-I$4),IF(I$3=0,K55-(G55/C55)*K55*S$13,IF(OPFOKLEGHEN!$H$13="Parallel geschakeld met warmtewisselaar",K55-(K55-(K55-Q55)/I$4)*(G55/(C55-F55))*S$13,IF(OPFOKLEGHEN!$H$20="ja",K55-(K55-(K55-P55)/I$4)*(G55/(C55-MIN(D55,I$5)))*S$13,K55-(K55-(K55-P55)/I$4)*(G55/(C55-MIN(D55,I$5)))*S$13)))))</f>
        <v>1.8722931328330794</v>
      </c>
      <c r="T55" s="17">
        <f t="shared" si="42"/>
        <v>1.8722931328330794</v>
      </c>
      <c r="U55" s="6" t="e">
        <f t="shared" si="22"/>
        <v>#DIV/0!</v>
      </c>
      <c r="V55" s="129">
        <f>IF(OPFOKLEGHEN!$J$18="nee",H55/C55*K55,IF(OPFOKLEGHEN!$H$20="ja",O55-(K55-Q55)-(K55-S55),Q55-(K55-O55)-(K55-S55)))</f>
        <v>1.8722931328330794</v>
      </c>
      <c r="W55" s="162">
        <f>IF(H55=0,0,IF(OPFOKLEGHEN!$H$11="geen droogtunnel",IF(OPFOKLEGHEN!$H$15="geen warmtewisselaar",Q55-(K55-R55)))+IF(OPFOKLEGHEN!$H$12&gt;0,IF(OPFOKLEGHEN!$H$13="serie geschakeld met warmtewisselaar",(O55*80%-(K55-S55)),(Q55-(K55-S55)-(K55-T55))),(N55-(K55-S55))))</f>
        <v>3.7445862656661588</v>
      </c>
      <c r="X55" s="162">
        <f>IF(H55=0,0,IF(OPFOKLEGHEN!$H$11="geen droogtunnel",IF(OPFOKLEGHEN!$H$15="geen warmtewisselaar",Q55-(K55-R55)))+IF(OPFOKLEGHEN!$H$12&gt;0,IF(OPFOKLEGHEN!$H$13="serie geschakeld met warmtewisselaar",3*(O55*80%-(K55-S55)),(Q55-(K55-S55)-(K55-N55))),(N55-(K55-S55))))</f>
        <v>3.7445862656661588</v>
      </c>
      <c r="Y55" s="162">
        <f>IF(H55=0,0,IF(OPFOKLEGHEN!$H$11="geen droogtunnel",IF(OPFOKLEGHEN!$H$15="geen warmtewisselaar",Q55-(K55-R55)))+IF(OPFOKLEGHEN!$H$12&gt;0,IF(OPFOKLEGHEN!$H$13="serie geschakeld met warmtewisselaar",(O55-(K55-S55)),IF(OPFOKLEGHEN!$H$13="parallel geschakeld met warmtewisselaar",IF(OPFOKLEGHEN!$L$9="ja",IF(OPFOKLEGHEN!$J$18="nee",(N55-(K55-Q55)-(K55-S55)),(Q55-(K55-N55/80%)))))),(O55-(K55-S55))))</f>
        <v>3.7445862656661588</v>
      </c>
      <c r="Z55" s="130">
        <f t="shared" si="33"/>
        <v>1</v>
      </c>
      <c r="AA55" s="130"/>
      <c r="AB55" s="130"/>
      <c r="AC55" s="167">
        <f>IF(H55=0,0,IF(OPFOKLEGHEN!$H$11="geen droogtunnel",IF(OPFOKLEGHEN!$H$15="geen warmtewisselaar",(P55-(K55-R55)/R$13),K55-(K55-O55)/I$6-(K55-R55)/95%)+IF(OPFOKLEGHEN!$J$18="ja",(K55-O55)*(1-I$6)),IF(OPFOKLEGHEN!$H$12&gt;=0,IF(OPFOKLEGHEN!$L$9="ja",IF(OPFOKLEGHEN!$J$18="ja",IF(OPFOKLEGHEN!$H$20="ja",O55-(K55-S55),IF(OPFOKLEGHEN!$H$20="nee",(O55-(K55-S55)),(O55-(K55-S55)))),IF(OPFOKLEGHEN!$J$18="nee",IF(OPFOKLEGHEN!$H$20="nee",O55*80%-(K55-S55),0+O55-(K55-S55)))),IF(OPFOKLEGHEN!$L$9="nee",IF(OPFOKLEGHEN!$J$18="nee",IF(OPFOKLEGHEN!$H$20="nee",(O55*80%-(K55-S55)),O55*93%-(K55-S55)),IF(OPFOKLEGHEN!$H$20="nee",IF(OPFOKLEGHEN!$J$18="ja",IF(OPFOKLEGHEN!$L$9="nee",O55-(K55-S55))),O55-(K55-S55))))))))</f>
        <v>1.8722931328330794</v>
      </c>
      <c r="AD55" s="167" t="e">
        <f>IF(H55=0,0,IF(OPFOKLEGHEN!$H$11="geen droogtunnel",IF(OPFOKLEGHEN!$H$15="geen warmtewisselaar",(Q55-(K55-R55)/S$13),N55-(K55-R55)),IF(OPFOKLEGHEN!$H$12&gt;=0,IF(OPFOKLEGHEN!$L$9="ja",IF(OPFOKLEGHEN!$J$18="ja",IF(OPFOKLEGHEN!$H$20="ja",Q55-(K55-N55)-(K55-S55),IF(OPFOKLEGHEN!$H$20="nee",(Q55-(K55-N55)-(K55-S55)),(O55-(K55-S55)))),IF(OPFOKLEGHEN!$J$18="nee",IF(OPFOKLEGHEN!$H$20="nee",1*Q55*$N$135-(K55-N55)-(K55-S55),(Q55-(K55-N55)-(K55-S55))*N$135))),IF(OPFOKLEGHEN!$L$9="nee",IF(OPFOKLEGHEN!$J$18="nee",IF(OPFOKLEGHEN!$H$20="nee",(N55*95%-(K55-Q55)/I$4-(K55-S55)),N55-(K55-Q55)/I$4-(K55-S55)),IF(OPFOKLEGHEN!$H$20="nee",IF(OPFOKLEGHEN!$J$18="ja",IF(OPFOKLEGHEN!$L$9="nee",N55-(K55-Q55)/I$4-(K55-S55))),N55-(K55-Q55)/I$4-(K55-S55))))))))</f>
        <v>#DIV/0!</v>
      </c>
      <c r="AE55" s="29">
        <f t="shared" si="34"/>
        <v>0</v>
      </c>
      <c r="AF55" s="6">
        <f t="shared" si="35"/>
        <v>0.43463176536144604</v>
      </c>
      <c r="AG55" s="6">
        <f t="shared" si="36"/>
        <v>0</v>
      </c>
      <c r="AH55" s="4">
        <f t="shared" si="37"/>
        <v>0</v>
      </c>
      <c r="AI55" s="6">
        <f t="shared" si="19"/>
        <v>0.43463176536144604</v>
      </c>
      <c r="AJ55" s="6">
        <f t="shared" si="38"/>
        <v>0</v>
      </c>
      <c r="AK55" s="4">
        <f t="shared" si="39"/>
        <v>0.49175442253149998</v>
      </c>
      <c r="AL55" s="6">
        <f t="shared" si="40"/>
        <v>8.5492837115665708E-3</v>
      </c>
      <c r="AM55" s="1">
        <v>6</v>
      </c>
      <c r="AN55" s="1">
        <v>40</v>
      </c>
      <c r="AO55" s="5">
        <f t="shared" si="43"/>
        <v>435.50000000000011</v>
      </c>
      <c r="AP55" s="5">
        <f t="shared" si="44"/>
        <v>383.49999999999994</v>
      </c>
      <c r="AQ55" s="5">
        <f t="shared" si="20"/>
        <v>409.5</v>
      </c>
      <c r="AR55" s="100" t="e">
        <f t="shared" si="41"/>
        <v>#DIV/0!</v>
      </c>
    </row>
    <row r="56" spans="1:44" ht="13" x14ac:dyDescent="0.3">
      <c r="A56" s="1">
        <v>6</v>
      </c>
      <c r="B56" s="1">
        <v>41</v>
      </c>
      <c r="C56" s="4">
        <f t="shared" si="14"/>
        <v>0.50287409456659604</v>
      </c>
      <c r="D56" s="7">
        <f t="shared" si="0"/>
        <v>0</v>
      </c>
      <c r="E56" s="7">
        <f>IF(I$3=0,0,IF(OPFOKLEGHEN!$H$13="parallel geschakeld met warmtewisselaar",0,MIN(I$3,C56)))</f>
        <v>0</v>
      </c>
      <c r="F56" s="7">
        <f>IF(I$3=0,0,IF(OPFOKLEGHEN!$H$13="serie geschakeld met warmtewisselaar",0,IF(C56&lt;$I$3,C56-D56,MIN($I$3,C56-D56))))</f>
        <v>0</v>
      </c>
      <c r="G56" s="137">
        <f>IF(C56&lt;$I$7,MAX(0,C56-D56-E56-F56,IF(OPFOKLEGHEN!$H$15="warmtewisselaar",IF(OPFOKLEGHEN!$H$13="serie geschakeld met warmtewisselaar",MIN(I$7,MAX(0,C56-D56-F56)),MIN(I$7,MAX(0,C56-D56-E56-F56))))),IF(OPFOKLEGHEN!$H$13="parallel geschakeld met warmtewisselaar",MIN(I$7,C56-D56-E56-F56,MIN(I$7,C56-E56-F56)),MIN(I$7,MAX(0,C56-D56-F56))))</f>
        <v>0</v>
      </c>
      <c r="H56" s="7">
        <f>IF(OPFOKLEGHEN!$H$13="parallel geschakeld met warmtewisselaar",IF(OPFOKLEGHEN!$L$9="nee",IF(OPFOKLEGHEN!$J$18="ja",C56-F56-G56,C56-D56-F56-G56),IF(OPFOKLEGHEN!$L$9="ja",IF(OPFOKLEGHEN!$J$18="ja",C56-G56,IF(OPFOKLEGHEN!$J$18="nee",C56-D56-G56)))),IF(OPFOKLEGHEN!$H$13="serie geschakeld met warmtewisselaar",IF(OPFOKLEGHEN!$J$18="ja",C56-G56,C56-D56-F56-G56),C56-D56-F56-G56))</f>
        <v>0.50287409456659604</v>
      </c>
      <c r="I56" s="98">
        <f t="shared" si="15"/>
        <v>0.50287409456659604</v>
      </c>
      <c r="J56" s="99">
        <v>0.44270301764950043</v>
      </c>
      <c r="K56" s="6">
        <f t="shared" si="16"/>
        <v>1.9501851814625564</v>
      </c>
      <c r="L56" s="130">
        <f>SUM(K$16:K56)/$K$137</f>
        <v>4.2533870101612678E-2</v>
      </c>
      <c r="M56" s="6">
        <f t="shared" si="17"/>
        <v>9.1275790456580852E-3</v>
      </c>
      <c r="N56" s="6">
        <f t="shared" si="30"/>
        <v>1.9501851814625564</v>
      </c>
      <c r="O56" s="6">
        <f>IF(E56&lt;I$3,P56*(1-I$6*D56/C56),IF(OPFOKLEGHEN!$H$11="droogtunnel (platen) 55%",P56*(1-$I$6)+(C56-D56)/C56*(K56-P56*(1-I$6)),P56*(1-$I$6)+(C56-D56)/C56*(K56-P56*(1-I$6))))</f>
        <v>1.9501851814625564</v>
      </c>
      <c r="P56" s="129">
        <f t="shared" si="31"/>
        <v>1.9501851814625564</v>
      </c>
      <c r="Q56" s="134">
        <f t="shared" si="32"/>
        <v>1.9501851814625564</v>
      </c>
      <c r="R56" s="134">
        <f t="shared" si="18"/>
        <v>1.9501851814625564</v>
      </c>
      <c r="S56" s="199">
        <f>IF(G56&lt;0.1,K56,IF(C56=F56,S56/(1-I$4),IF(I$3=0,K56-(G56/C56)*K56*S$13,IF(OPFOKLEGHEN!$H$13="Parallel geschakeld met warmtewisselaar",K56-(K56-(K56-Q56)/I$4)*(G56/(C56-F56))*S$13,IF(OPFOKLEGHEN!$H$20="ja",K56-(K56-(K56-P56)/I$4)*(G56/(C56-MIN(D56,I$5)))*S$13,K56-(K56-(K56-P56)/I$4)*(G56/(C56-MIN(D56,I$5)))*S$13)))))</f>
        <v>1.9501851814625564</v>
      </c>
      <c r="T56" s="17">
        <f t="shared" si="42"/>
        <v>1.9501851814625564</v>
      </c>
      <c r="U56" s="6" t="e">
        <f t="shared" si="22"/>
        <v>#DIV/0!</v>
      </c>
      <c r="V56" s="129">
        <f>IF(OPFOKLEGHEN!$J$18="nee",H56/C56*K56,IF(OPFOKLEGHEN!$H$20="ja",O56-(K56-Q56)-(K56-S56),Q56-(K56-O56)-(K56-S56)))</f>
        <v>1.9501851814625564</v>
      </c>
      <c r="W56" s="162">
        <f>IF(H56=0,0,IF(OPFOKLEGHEN!$H$11="geen droogtunnel",IF(OPFOKLEGHEN!$H$15="geen warmtewisselaar",Q56-(K56-R56)))+IF(OPFOKLEGHEN!$H$12&gt;0,IF(OPFOKLEGHEN!$H$13="serie geschakeld met warmtewisselaar",(O56*80%-(K56-S56)),(Q56-(K56-S56)-(K56-T56))),(N56-(K56-S56))))</f>
        <v>3.9003703629251127</v>
      </c>
      <c r="X56" s="162">
        <f>IF(H56=0,0,IF(OPFOKLEGHEN!$H$11="geen droogtunnel",IF(OPFOKLEGHEN!$H$15="geen warmtewisselaar",Q56-(K56-R56)))+IF(OPFOKLEGHEN!$H$12&gt;0,IF(OPFOKLEGHEN!$H$13="serie geschakeld met warmtewisselaar",3*(O56*80%-(K56-S56)),(Q56-(K56-S56)-(K56-N56))),(N56-(K56-S56))))</f>
        <v>3.9003703629251127</v>
      </c>
      <c r="Y56" s="162">
        <f>IF(H56=0,0,IF(OPFOKLEGHEN!$H$11="geen droogtunnel",IF(OPFOKLEGHEN!$H$15="geen warmtewisselaar",Q56-(K56-R56)))+IF(OPFOKLEGHEN!$H$12&gt;0,IF(OPFOKLEGHEN!$H$13="serie geschakeld met warmtewisselaar",(O56-(K56-S56)),IF(OPFOKLEGHEN!$H$13="parallel geschakeld met warmtewisselaar",IF(OPFOKLEGHEN!$L$9="ja",IF(OPFOKLEGHEN!$J$18="nee",(N56-(K56-Q56)-(K56-S56)),(Q56-(K56-N56/80%)))))),(O56-(K56-S56))))</f>
        <v>3.9003703629251127</v>
      </c>
      <c r="Z56" s="130">
        <f t="shared" si="33"/>
        <v>1</v>
      </c>
      <c r="AA56" s="130"/>
      <c r="AB56" s="130"/>
      <c r="AC56" s="167">
        <f>IF(H56=0,0,IF(OPFOKLEGHEN!$H$11="geen droogtunnel",IF(OPFOKLEGHEN!$H$15="geen warmtewisselaar",(P56-(K56-R56)/R$13),K56-(K56-O56)/I$6-(K56-R56)/95%)+IF(OPFOKLEGHEN!$J$18="ja",(K56-O56)*(1-I$6)),IF(OPFOKLEGHEN!$H$12&gt;=0,IF(OPFOKLEGHEN!$L$9="ja",IF(OPFOKLEGHEN!$J$18="ja",IF(OPFOKLEGHEN!$H$20="ja",O56-(K56-S56),IF(OPFOKLEGHEN!$H$20="nee",(O56-(K56-S56)),(O56-(K56-S56)))),IF(OPFOKLEGHEN!$J$18="nee",IF(OPFOKLEGHEN!$H$20="nee",O56*80%-(K56-S56),0+O56-(K56-S56)))),IF(OPFOKLEGHEN!$L$9="nee",IF(OPFOKLEGHEN!$J$18="nee",IF(OPFOKLEGHEN!$H$20="nee",(O56*80%-(K56-S56)),O56*93%-(K56-S56)),IF(OPFOKLEGHEN!$H$20="nee",IF(OPFOKLEGHEN!$J$18="ja",IF(OPFOKLEGHEN!$L$9="nee",O56-(K56-S56))),O56-(K56-S56))))))))</f>
        <v>1.9501851814625564</v>
      </c>
      <c r="AD56" s="167" t="e">
        <f>IF(H56=0,0,IF(OPFOKLEGHEN!$H$11="geen droogtunnel",IF(OPFOKLEGHEN!$H$15="geen warmtewisselaar",(Q56-(K56-R56)/S$13),N56-(K56-R56)),IF(OPFOKLEGHEN!$H$12&gt;=0,IF(OPFOKLEGHEN!$L$9="ja",IF(OPFOKLEGHEN!$J$18="ja",IF(OPFOKLEGHEN!$H$20="ja",Q56-(K56-N56)-(K56-S56),IF(OPFOKLEGHEN!$H$20="nee",(Q56-(K56-N56)-(K56-S56)),(O56-(K56-S56)))),IF(OPFOKLEGHEN!$J$18="nee",IF(OPFOKLEGHEN!$H$20="nee",1*Q56*$N$135-(K56-N56)-(K56-S56),(Q56-(K56-N56)-(K56-S56))*N$135))),IF(OPFOKLEGHEN!$L$9="nee",IF(OPFOKLEGHEN!$J$18="nee",IF(OPFOKLEGHEN!$H$20="nee",(N56*95%-(K56-Q56)/I$4-(K56-S56)),N56-(K56-Q56)/I$4-(K56-S56)),IF(OPFOKLEGHEN!$H$20="nee",IF(OPFOKLEGHEN!$J$18="ja",IF(OPFOKLEGHEN!$L$9="nee",N56-(K56-Q56)/I$4-(K56-S56))),N56-(K56-Q56)/I$4-(K56-S56))))))))</f>
        <v>#DIV/0!</v>
      </c>
      <c r="AE56" s="29">
        <f t="shared" si="34"/>
        <v>0</v>
      </c>
      <c r="AF56" s="6">
        <f t="shared" si="35"/>
        <v>0.44270301764950043</v>
      </c>
      <c r="AG56" s="6">
        <f t="shared" si="36"/>
        <v>0</v>
      </c>
      <c r="AH56" s="4">
        <f t="shared" si="37"/>
        <v>0</v>
      </c>
      <c r="AI56" s="6">
        <f t="shared" si="19"/>
        <v>0.44270301764950043</v>
      </c>
      <c r="AJ56" s="6">
        <f t="shared" si="38"/>
        <v>0</v>
      </c>
      <c r="AK56" s="4">
        <f t="shared" si="39"/>
        <v>0.50287409456659604</v>
      </c>
      <c r="AL56" s="6">
        <f t="shared" si="40"/>
        <v>9.1275790456580852E-3</v>
      </c>
      <c r="AM56" s="1">
        <v>6</v>
      </c>
      <c r="AN56" s="1">
        <v>41</v>
      </c>
      <c r="AO56" s="5">
        <f t="shared" si="43"/>
        <v>447.60000000000014</v>
      </c>
      <c r="AP56" s="5">
        <f t="shared" si="44"/>
        <v>394.19999999999993</v>
      </c>
      <c r="AQ56" s="5">
        <f t="shared" si="20"/>
        <v>420.90000000000003</v>
      </c>
      <c r="AR56" s="100" t="e">
        <f t="shared" si="41"/>
        <v>#DIV/0!</v>
      </c>
    </row>
    <row r="57" spans="1:44" ht="13" x14ac:dyDescent="0.3">
      <c r="A57" s="1">
        <v>6</v>
      </c>
      <c r="B57" s="1">
        <v>42</v>
      </c>
      <c r="C57" s="4">
        <f t="shared" si="14"/>
        <v>0.51422697151249996</v>
      </c>
      <c r="D57" s="7">
        <f t="shared" si="0"/>
        <v>0</v>
      </c>
      <c r="E57" s="7">
        <f>IF(I$3=0,0,IF(OPFOKLEGHEN!$H$13="parallel geschakeld met warmtewisselaar",0,MIN(I$3,C57)))</f>
        <v>0</v>
      </c>
      <c r="F57" s="7">
        <f>IF(I$3=0,0,IF(OPFOKLEGHEN!$H$13="serie geschakeld met warmtewisselaar",0,IF(C57&lt;$I$3,C57-D57,MIN($I$3,C57-D57))))</f>
        <v>0</v>
      </c>
      <c r="G57" s="137">
        <f>IF(C57&lt;$I$7,MAX(0,C57-D57-E57-F57,IF(OPFOKLEGHEN!$H$15="warmtewisselaar",IF(OPFOKLEGHEN!$H$13="serie geschakeld met warmtewisselaar",MIN(I$7,MAX(0,C57-D57-F57)),MIN(I$7,MAX(0,C57-D57-E57-F57))))),IF(OPFOKLEGHEN!$H$13="parallel geschakeld met warmtewisselaar",MIN(I$7,C57-D57-E57-F57,MIN(I$7,C57-E57-F57)),MIN(I$7,MAX(0,C57-D57-F57))))</f>
        <v>0</v>
      </c>
      <c r="H57" s="7">
        <f>IF(OPFOKLEGHEN!$H$13="parallel geschakeld met warmtewisselaar",IF(OPFOKLEGHEN!$L$9="nee",IF(OPFOKLEGHEN!$J$18="ja",C57-F57-G57,C57-D57-F57-G57),IF(OPFOKLEGHEN!$L$9="ja",IF(OPFOKLEGHEN!$J$18="ja",C57-G57,IF(OPFOKLEGHEN!$J$18="nee",C57-D57-G57)))),IF(OPFOKLEGHEN!$H$13="serie geschakeld met warmtewisselaar",IF(OPFOKLEGHEN!$J$18="ja",C57-G57,C57-D57-F57-G57),C57-D57-F57-G57))</f>
        <v>0.51422697151249996</v>
      </c>
      <c r="I57" s="98">
        <f t="shared" si="15"/>
        <v>0.51422697151249996</v>
      </c>
      <c r="J57" s="99">
        <v>0.45092415569991562</v>
      </c>
      <c r="K57" s="6">
        <f t="shared" si="16"/>
        <v>2.0312456995944115</v>
      </c>
      <c r="L57" s="130">
        <f>SUM(K$16:K57)/$K$137</f>
        <v>4.4912540306198061E-2</v>
      </c>
      <c r="M57" s="6">
        <f t="shared" si="17"/>
        <v>9.7388492446307418E-3</v>
      </c>
      <c r="N57" s="6">
        <f t="shared" si="30"/>
        <v>2.0312456995944115</v>
      </c>
      <c r="O57" s="6">
        <f>IF(E57&lt;I$3,P57*(1-I$6*D57/C57),IF(OPFOKLEGHEN!$H$11="droogtunnel (platen) 55%",P57*(1-$I$6)+(C57-D57)/C57*(K57-P57*(1-I$6)),P57*(1-$I$6)+(C57-D57)/C57*(K57-P57*(1-I$6))))</f>
        <v>2.0312456995944115</v>
      </c>
      <c r="P57" s="129">
        <f t="shared" si="31"/>
        <v>2.0312456995944115</v>
      </c>
      <c r="Q57" s="134">
        <f t="shared" si="32"/>
        <v>2.0312456995944115</v>
      </c>
      <c r="R57" s="134">
        <f t="shared" si="18"/>
        <v>2.0312456995944115</v>
      </c>
      <c r="S57" s="199">
        <f>IF(G57&lt;0.1,K57,IF(C57=F57,S57/(1-I$4),IF(I$3=0,K57-(G57/C57)*K57*S$13,IF(OPFOKLEGHEN!$H$13="Parallel geschakeld met warmtewisselaar",K57-(K57-(K57-Q57)/I$4)*(G57/(C57-F57))*S$13,IF(OPFOKLEGHEN!$H$20="ja",K57-(K57-(K57-P57)/I$4)*(G57/(C57-MIN(D57,I$5)))*S$13,K57-(K57-(K57-P57)/I$4)*(G57/(C57-MIN(D57,I$5)))*S$13)))))</f>
        <v>2.0312456995944115</v>
      </c>
      <c r="T57" s="17">
        <f t="shared" si="42"/>
        <v>2.0312456995944115</v>
      </c>
      <c r="U57" s="6" t="e">
        <f t="shared" si="22"/>
        <v>#DIV/0!</v>
      </c>
      <c r="V57" s="129">
        <f>IF(OPFOKLEGHEN!$J$18="nee",H57/C57*K57,IF(OPFOKLEGHEN!$H$20="ja",O57-(K57-Q57)-(K57-S57),Q57-(K57-O57)-(K57-S57)))</f>
        <v>2.0312456995944115</v>
      </c>
      <c r="W57" s="162">
        <f>IF(H57=0,0,IF(OPFOKLEGHEN!$H$11="geen droogtunnel",IF(OPFOKLEGHEN!$H$15="geen warmtewisselaar",Q57-(K57-R57)))+IF(OPFOKLEGHEN!$H$12&gt;0,IF(OPFOKLEGHEN!$H$13="serie geschakeld met warmtewisselaar",(O57*80%-(K57-S57)),(Q57-(K57-S57)-(K57-T57))),(N57-(K57-S57))))</f>
        <v>4.062491399188823</v>
      </c>
      <c r="X57" s="162">
        <f>IF(H57=0,0,IF(OPFOKLEGHEN!$H$11="geen droogtunnel",IF(OPFOKLEGHEN!$H$15="geen warmtewisselaar",Q57-(K57-R57)))+IF(OPFOKLEGHEN!$H$12&gt;0,IF(OPFOKLEGHEN!$H$13="serie geschakeld met warmtewisselaar",3*(O57*80%-(K57-S57)),(Q57-(K57-S57)-(K57-N57))),(N57-(K57-S57))))</f>
        <v>4.062491399188823</v>
      </c>
      <c r="Y57" s="162">
        <f>IF(H57=0,0,IF(OPFOKLEGHEN!$H$11="geen droogtunnel",IF(OPFOKLEGHEN!$H$15="geen warmtewisselaar",Q57-(K57-R57)))+IF(OPFOKLEGHEN!$H$12&gt;0,IF(OPFOKLEGHEN!$H$13="serie geschakeld met warmtewisselaar",(O57-(K57-S57)),IF(OPFOKLEGHEN!$H$13="parallel geschakeld met warmtewisselaar",IF(OPFOKLEGHEN!$L$9="ja",IF(OPFOKLEGHEN!$J$18="nee",(N57-(K57-Q57)-(K57-S57)),(Q57-(K57-N57/80%)))))),(O57-(K57-S57))))</f>
        <v>4.062491399188823</v>
      </c>
      <c r="Z57" s="130">
        <f t="shared" si="33"/>
        <v>1</v>
      </c>
      <c r="AA57" s="130"/>
      <c r="AB57" s="130"/>
      <c r="AC57" s="167">
        <f>IF(H57=0,0,IF(OPFOKLEGHEN!$H$11="geen droogtunnel",IF(OPFOKLEGHEN!$H$15="geen warmtewisselaar",(P57-(K57-R57)/R$13),K57-(K57-O57)/I$6-(K57-R57)/95%)+IF(OPFOKLEGHEN!$J$18="ja",(K57-O57)*(1-I$6)),IF(OPFOKLEGHEN!$H$12&gt;=0,IF(OPFOKLEGHEN!$L$9="ja",IF(OPFOKLEGHEN!$J$18="ja",IF(OPFOKLEGHEN!$H$20="ja",O57-(K57-S57),IF(OPFOKLEGHEN!$H$20="nee",(O57-(K57-S57)),(O57-(K57-S57)))),IF(OPFOKLEGHEN!$J$18="nee",IF(OPFOKLEGHEN!$H$20="nee",O57*80%-(K57-S57),0+O57-(K57-S57)))),IF(OPFOKLEGHEN!$L$9="nee",IF(OPFOKLEGHEN!$J$18="nee",IF(OPFOKLEGHEN!$H$20="nee",(O57*80%-(K57-S57)),O57*93%-(K57-S57)),IF(OPFOKLEGHEN!$H$20="nee",IF(OPFOKLEGHEN!$J$18="ja",IF(OPFOKLEGHEN!$L$9="nee",O57-(K57-S57))),O57-(K57-S57))))))))</f>
        <v>2.0312456995944115</v>
      </c>
      <c r="AD57" s="167" t="e">
        <f>IF(H57=0,0,IF(OPFOKLEGHEN!$H$11="geen droogtunnel",IF(OPFOKLEGHEN!$H$15="geen warmtewisselaar",(Q57-(K57-R57)/S$13),N57-(K57-R57)),IF(OPFOKLEGHEN!$H$12&gt;=0,IF(OPFOKLEGHEN!$L$9="ja",IF(OPFOKLEGHEN!$J$18="ja",IF(OPFOKLEGHEN!$H$20="ja",Q57-(K57-N57)-(K57-S57),IF(OPFOKLEGHEN!$H$20="nee",(Q57-(K57-N57)-(K57-S57)),(O57-(K57-S57)))),IF(OPFOKLEGHEN!$J$18="nee",IF(OPFOKLEGHEN!$H$20="nee",1*Q57*$N$135-(K57-N57)-(K57-S57),(Q57-(K57-N57)-(K57-S57))*N$135))),IF(OPFOKLEGHEN!$L$9="nee",IF(OPFOKLEGHEN!$J$18="nee",IF(OPFOKLEGHEN!$H$20="nee",(N57*95%-(K57-Q57)/I$4-(K57-S57)),N57-(K57-Q57)/I$4-(K57-S57)),IF(OPFOKLEGHEN!$H$20="nee",IF(OPFOKLEGHEN!$J$18="ja",IF(OPFOKLEGHEN!$L$9="nee",N57-(K57-Q57)/I$4-(K57-S57))),N57-(K57-Q57)/I$4-(K57-S57))))))))</f>
        <v>#DIV/0!</v>
      </c>
      <c r="AE57" s="29">
        <f t="shared" si="34"/>
        <v>0</v>
      </c>
      <c r="AF57" s="6">
        <f t="shared" si="35"/>
        <v>0.45092415569991562</v>
      </c>
      <c r="AG57" s="6">
        <f t="shared" si="36"/>
        <v>0</v>
      </c>
      <c r="AH57" s="4">
        <f t="shared" si="37"/>
        <v>0</v>
      </c>
      <c r="AI57" s="6">
        <f t="shared" si="19"/>
        <v>0.45092415569991562</v>
      </c>
      <c r="AJ57" s="6">
        <f t="shared" si="38"/>
        <v>0</v>
      </c>
      <c r="AK57" s="4">
        <f t="shared" si="39"/>
        <v>0.51422697151249996</v>
      </c>
      <c r="AL57" s="6">
        <f t="shared" si="40"/>
        <v>9.7388492446307418E-3</v>
      </c>
      <c r="AM57" s="1">
        <v>6</v>
      </c>
      <c r="AN57" s="1">
        <v>42</v>
      </c>
      <c r="AO57" s="5">
        <v>460</v>
      </c>
      <c r="AP57" s="5">
        <v>405</v>
      </c>
      <c r="AQ57" s="5">
        <f t="shared" si="20"/>
        <v>432.5</v>
      </c>
      <c r="AR57" s="100" t="e">
        <f t="shared" si="41"/>
        <v>#DIV/0!</v>
      </c>
    </row>
    <row r="58" spans="1:44" ht="13" x14ac:dyDescent="0.3">
      <c r="A58" s="1">
        <v>7</v>
      </c>
      <c r="B58" s="1">
        <v>43</v>
      </c>
      <c r="C58" s="4">
        <f t="shared" si="14"/>
        <v>0.52616325889844595</v>
      </c>
      <c r="D58" s="7">
        <f t="shared" si="0"/>
        <v>0</v>
      </c>
      <c r="E58" s="7">
        <f>IF(I$3=0,0,IF(OPFOKLEGHEN!$H$13="parallel geschakeld met warmtewisselaar",0,MIN(I$3,C58)))</f>
        <v>0</v>
      </c>
      <c r="F58" s="7">
        <f>IF(I$3=0,0,IF(OPFOKLEGHEN!$H$13="serie geschakeld met warmtewisselaar",0,IF(C58&lt;$I$3,C58-D58,MIN($I$3,C58-D58))))</f>
        <v>0</v>
      </c>
      <c r="G58" s="137">
        <f>IF(C58&lt;$I$7,MAX(0,C58-D58-E58-F58,IF(OPFOKLEGHEN!$H$15="warmtewisselaar",IF(OPFOKLEGHEN!$H$13="serie geschakeld met warmtewisselaar",MIN(I$7,MAX(0,C58-D58-F58)),MIN(I$7,MAX(0,C58-D58-E58-F58))))),IF(OPFOKLEGHEN!$H$13="parallel geschakeld met warmtewisselaar",MIN(I$7,C58-D58-E58-F58,MIN(I$7,C58-E58-F58)),MIN(I$7,MAX(0,C58-D58-F58))))</f>
        <v>0</v>
      </c>
      <c r="H58" s="7">
        <f>IF(OPFOKLEGHEN!$H$13="parallel geschakeld met warmtewisselaar",IF(OPFOKLEGHEN!$L$9="nee",IF(OPFOKLEGHEN!$J$18="ja",C58-F58-G58,C58-D58-F58-G58),IF(OPFOKLEGHEN!$L$9="ja",IF(OPFOKLEGHEN!$J$18="ja",C58-G58,IF(OPFOKLEGHEN!$J$18="nee",C58-D58-G58)))),IF(OPFOKLEGHEN!$H$13="serie geschakeld met warmtewisselaar",IF(OPFOKLEGHEN!$J$18="ja",C58-G58,C58-D58-F58-G58),C58-D58-F58-G58))</f>
        <v>0.52616325889844595</v>
      </c>
      <c r="I58" s="98">
        <f t="shared" si="15"/>
        <v>0.52616325889844595</v>
      </c>
      <c r="J58" s="99">
        <v>0.45929796293971847</v>
      </c>
      <c r="K58" s="6">
        <f t="shared" si="16"/>
        <v>2.1169916457554323</v>
      </c>
      <c r="L58" s="130">
        <f>SUM(K$16:K58)/$K$137</f>
        <v>4.7391622453729555E-2</v>
      </c>
      <c r="M58" s="6">
        <f t="shared" si="17"/>
        <v>1.0391625658388538E-2</v>
      </c>
      <c r="N58" s="6">
        <f t="shared" si="30"/>
        <v>2.1169916457554323</v>
      </c>
      <c r="O58" s="6">
        <f>IF(E58&lt;I$3,P58*(1-I$6*D58/C58),IF(OPFOKLEGHEN!$H$11="droogtunnel (platen) 55%",P58*(1-$I$6)+(C58-D58)/C58*(K58-P58*(1-I$6)),P58*(1-$I$6)+(C58-D58)/C58*(K58-P58*(1-I$6))))</f>
        <v>2.1169916457554323</v>
      </c>
      <c r="P58" s="129">
        <f t="shared" si="31"/>
        <v>2.1169916457554323</v>
      </c>
      <c r="Q58" s="134">
        <f t="shared" si="32"/>
        <v>2.1169916457554323</v>
      </c>
      <c r="R58" s="134">
        <f t="shared" si="18"/>
        <v>2.1169916457554323</v>
      </c>
      <c r="S58" s="199">
        <f>IF(G58&lt;0.1,K58,IF(C58=F58,S58/(1-I$4),IF(I$3=0,K58-(G58/C58)*K58*S$13,IF(OPFOKLEGHEN!$H$13="Parallel geschakeld met warmtewisselaar",K58-(K58-(K58-Q58)/I$4)*(G58/(C58-F58))*S$13,IF(OPFOKLEGHEN!$H$20="ja",K58-(K58-(K58-P58)/I$4)*(G58/(C58-MIN(D58,I$5)))*S$13,K58-(K58-(K58-P58)/I$4)*(G58/(C58-MIN(D58,I$5)))*S$13)))))</f>
        <v>2.1169916457554323</v>
      </c>
      <c r="T58" s="17">
        <f t="shared" si="42"/>
        <v>2.1169916457554323</v>
      </c>
      <c r="U58" s="6" t="e">
        <f t="shared" si="22"/>
        <v>#DIV/0!</v>
      </c>
      <c r="V58" s="129">
        <f>IF(OPFOKLEGHEN!$J$18="nee",H58/C58*K58,IF(OPFOKLEGHEN!$H$20="ja",O58-(K58-Q58)-(K58-S58),Q58-(K58-O58)-(K58-S58)))</f>
        <v>2.1169916457554323</v>
      </c>
      <c r="W58" s="162">
        <f>IF(H58=0,0,IF(OPFOKLEGHEN!$H$11="geen droogtunnel",IF(OPFOKLEGHEN!$H$15="geen warmtewisselaar",Q58-(K58-R58)))+IF(OPFOKLEGHEN!$H$12&gt;0,IF(OPFOKLEGHEN!$H$13="serie geschakeld met warmtewisselaar",(O58*80%-(K58-S58)),(Q58-(K58-S58)-(K58-T58))),(N58-(K58-S58))))</f>
        <v>4.2339832915108646</v>
      </c>
      <c r="X58" s="162">
        <f>IF(H58=0,0,IF(OPFOKLEGHEN!$H$11="geen droogtunnel",IF(OPFOKLEGHEN!$H$15="geen warmtewisselaar",Q58-(K58-R58)))+IF(OPFOKLEGHEN!$H$12&gt;0,IF(OPFOKLEGHEN!$H$13="serie geschakeld met warmtewisselaar",3*(O58*80%-(K58-S58)),(Q58-(K58-S58)-(K58-N58))),(N58-(K58-S58))))</f>
        <v>4.2339832915108646</v>
      </c>
      <c r="Y58" s="162">
        <f>IF(H58=0,0,IF(OPFOKLEGHEN!$H$11="geen droogtunnel",IF(OPFOKLEGHEN!$H$15="geen warmtewisselaar",Q58-(K58-R58)))+IF(OPFOKLEGHEN!$H$12&gt;0,IF(OPFOKLEGHEN!$H$13="serie geschakeld met warmtewisselaar",(O58-(K58-S58)),IF(OPFOKLEGHEN!$H$13="parallel geschakeld met warmtewisselaar",IF(OPFOKLEGHEN!$L$9="ja",IF(OPFOKLEGHEN!$J$18="nee",(N58-(K58-Q58)-(K58-S58)),(Q58-(K58-N58/80%)))))),(O58-(K58-S58))))</f>
        <v>4.2339832915108646</v>
      </c>
      <c r="Z58" s="130">
        <f t="shared" si="33"/>
        <v>1</v>
      </c>
      <c r="AA58" s="130"/>
      <c r="AB58" s="130"/>
      <c r="AC58" s="167">
        <f>IF(H58=0,0,IF(OPFOKLEGHEN!$H$11="geen droogtunnel",IF(OPFOKLEGHEN!$H$15="geen warmtewisselaar",(P58-(K58-R58)/R$13),K58-(K58-O58)/I$6-(K58-R58)/95%)+IF(OPFOKLEGHEN!$J$18="ja",(K58-O58)*(1-I$6)),IF(OPFOKLEGHEN!$H$12&gt;=0,IF(OPFOKLEGHEN!$L$9="ja",IF(OPFOKLEGHEN!$J$18="ja",IF(OPFOKLEGHEN!$H$20="ja",O58-(K58-S58),IF(OPFOKLEGHEN!$H$20="nee",(O58-(K58-S58)),(O58-(K58-S58)))),IF(OPFOKLEGHEN!$J$18="nee",IF(OPFOKLEGHEN!$H$20="nee",O58*80%-(K58-S58),0+O58-(K58-S58)))),IF(OPFOKLEGHEN!$L$9="nee",IF(OPFOKLEGHEN!$J$18="nee",IF(OPFOKLEGHEN!$H$20="nee",(O58*80%-(K58-S58)),O58*93%-(K58-S58)),IF(OPFOKLEGHEN!$H$20="nee",IF(OPFOKLEGHEN!$J$18="ja",IF(OPFOKLEGHEN!$L$9="nee",O58-(K58-S58))),O58-(K58-S58))))))))</f>
        <v>2.1169916457554323</v>
      </c>
      <c r="AD58" s="167" t="e">
        <f>IF(H58=0,0,IF(OPFOKLEGHEN!$H$11="geen droogtunnel",IF(OPFOKLEGHEN!$H$15="geen warmtewisselaar",(Q58-(K58-R58)/S$13),N58-(K58-R58)),IF(OPFOKLEGHEN!$H$12&gt;=0,IF(OPFOKLEGHEN!$L$9="ja",IF(OPFOKLEGHEN!$J$18="ja",IF(OPFOKLEGHEN!$H$20="ja",Q58-(K58-N58)-(K58-S58),IF(OPFOKLEGHEN!$H$20="nee",(Q58-(K58-N58)-(K58-S58)),(O58-(K58-S58)))),IF(OPFOKLEGHEN!$J$18="nee",IF(OPFOKLEGHEN!$H$20="nee",1*Q58*$N$135-(K58-N58)-(K58-S58),(Q58-(K58-N58)-(K58-S58))*N$135))),IF(OPFOKLEGHEN!$L$9="nee",IF(OPFOKLEGHEN!$J$18="nee",IF(OPFOKLEGHEN!$H$20="nee",(N58*95%-(K58-Q58)/I$4-(K58-S58)),N58-(K58-Q58)/I$4-(K58-S58)),IF(OPFOKLEGHEN!$H$20="nee",IF(OPFOKLEGHEN!$J$18="ja",IF(OPFOKLEGHEN!$L$9="nee",N58-(K58-Q58)/I$4-(K58-S58))),N58-(K58-Q58)/I$4-(K58-S58))))))))</f>
        <v>#DIV/0!</v>
      </c>
      <c r="AE58" s="29">
        <f t="shared" si="34"/>
        <v>0</v>
      </c>
      <c r="AF58" s="6">
        <f t="shared" si="35"/>
        <v>0.45929796293971847</v>
      </c>
      <c r="AG58" s="6">
        <f t="shared" si="36"/>
        <v>0</v>
      </c>
      <c r="AH58" s="4">
        <f t="shared" si="37"/>
        <v>0</v>
      </c>
      <c r="AI58" s="6">
        <f t="shared" si="19"/>
        <v>0.45929796293971847</v>
      </c>
      <c r="AJ58" s="6">
        <f t="shared" si="38"/>
        <v>0</v>
      </c>
      <c r="AK58" s="4">
        <f t="shared" si="39"/>
        <v>0.52616325889844595</v>
      </c>
      <c r="AL58" s="6">
        <f t="shared" si="40"/>
        <v>1.0391625658388538E-2</v>
      </c>
      <c r="AM58" s="1">
        <v>7</v>
      </c>
      <c r="AN58" s="1">
        <v>43</v>
      </c>
      <c r="AO58" s="5">
        <f t="shared" ref="AO58:AO63" si="45">AO57+12.9</f>
        <v>472.9</v>
      </c>
      <c r="AP58" s="5">
        <f t="shared" ref="AP58:AP63" si="46">AP57+11.4</f>
        <v>416.4</v>
      </c>
      <c r="AQ58" s="5">
        <f t="shared" si="20"/>
        <v>444.65</v>
      </c>
      <c r="AR58" s="100" t="e">
        <f t="shared" si="41"/>
        <v>#DIV/0!</v>
      </c>
    </row>
    <row r="59" spans="1:44" ht="13" x14ac:dyDescent="0.3">
      <c r="A59" s="1">
        <v>7</v>
      </c>
      <c r="B59" s="1">
        <v>44</v>
      </c>
      <c r="C59" s="4">
        <f t="shared" si="14"/>
        <v>0.53814978895272791</v>
      </c>
      <c r="D59" s="7">
        <f t="shared" si="0"/>
        <v>0</v>
      </c>
      <c r="E59" s="7">
        <f>IF(I$3=0,0,IF(OPFOKLEGHEN!$H$13="parallel geschakeld met warmtewisselaar",0,MIN(I$3,C59)))</f>
        <v>0</v>
      </c>
      <c r="F59" s="7">
        <f>IF(I$3=0,0,IF(OPFOKLEGHEN!$H$13="serie geschakeld met warmtewisselaar",0,IF(C59&lt;$I$3,C59-D59,MIN($I$3,C59-D59))))</f>
        <v>0</v>
      </c>
      <c r="G59" s="137">
        <f>IF(C59&lt;$I$7,MAX(0,C59-D59-E59-F59,IF(OPFOKLEGHEN!$H$15="warmtewisselaar",IF(OPFOKLEGHEN!$H$13="serie geschakeld met warmtewisselaar",MIN(I$7,MAX(0,C59-D59-F59)),MIN(I$7,MAX(0,C59-D59-E59-F59))))),IF(OPFOKLEGHEN!$H$13="parallel geschakeld met warmtewisselaar",MIN(I$7,C59-D59-E59-F59,MIN(I$7,C59-E59-F59)),MIN(I$7,MAX(0,C59-D59-F59))))</f>
        <v>0</v>
      </c>
      <c r="H59" s="7">
        <f>IF(OPFOKLEGHEN!$H$13="parallel geschakeld met warmtewisselaar",IF(OPFOKLEGHEN!$L$9="nee",IF(OPFOKLEGHEN!$J$18="ja",C59-F59-G59,C59-D59-F59-G59),IF(OPFOKLEGHEN!$L$9="ja",IF(OPFOKLEGHEN!$J$18="ja",C59-G59,IF(OPFOKLEGHEN!$J$18="nee",C59-D59-G59)))),IF(OPFOKLEGHEN!$H$13="serie geschakeld met warmtewisselaar",IF(OPFOKLEGHEN!$J$18="ja",C59-G59,C59-D59-F59-G59),C59-D59-F59-G59))</f>
        <v>0.53814978895272791</v>
      </c>
      <c r="I59" s="98">
        <f t="shared" si="15"/>
        <v>0.53814978895272791</v>
      </c>
      <c r="J59" s="99">
        <v>0.46782727448507472</v>
      </c>
      <c r="K59" s="6">
        <f t="shared" si="16"/>
        <v>2.2054276655069422</v>
      </c>
      <c r="L59" s="130">
        <f>SUM(K$16:K59)/$K$137</f>
        <v>4.9974266728303102E-2</v>
      </c>
      <c r="M59" s="6">
        <f t="shared" si="17"/>
        <v>1.1077490557340806E-2</v>
      </c>
      <c r="N59" s="6">
        <f t="shared" si="30"/>
        <v>2.2054276655069422</v>
      </c>
      <c r="O59" s="6">
        <f>IF(E59&lt;I$3,P59*(1-I$6*D59/C59),IF(OPFOKLEGHEN!$H$11="droogtunnel (platen) 55%",P59*(1-$I$6)+(C59-D59)/C59*(K59-P59*(1-I$6)),P59*(1-$I$6)+(C59-D59)/C59*(K59-P59*(1-I$6))))</f>
        <v>2.2054276655069422</v>
      </c>
      <c r="P59" s="129">
        <f t="shared" si="31"/>
        <v>2.2054276655069422</v>
      </c>
      <c r="Q59" s="134">
        <f t="shared" si="32"/>
        <v>2.2054276655069422</v>
      </c>
      <c r="R59" s="134">
        <f t="shared" si="18"/>
        <v>2.2054276655069422</v>
      </c>
      <c r="S59" s="199">
        <f>IF(G59&lt;0.1,K59,IF(C59=F59,S59/(1-I$4),IF(I$3=0,K59-(G59/C59)*K59*S$13,IF(OPFOKLEGHEN!$H$13="Parallel geschakeld met warmtewisselaar",K59-(K59-(K59-Q59)/I$4)*(G59/(C59-F59))*S$13,IF(OPFOKLEGHEN!$H$20="ja",K59-(K59-(K59-P59)/I$4)*(G59/(C59-MIN(D59,I$5)))*S$13,K59-(K59-(K59-P59)/I$4)*(G59/(C59-MIN(D59,I$5)))*S$13)))))</f>
        <v>2.2054276655069422</v>
      </c>
      <c r="T59" s="17">
        <f t="shared" si="42"/>
        <v>2.2054276655069422</v>
      </c>
      <c r="U59" s="6" t="e">
        <f t="shared" si="22"/>
        <v>#DIV/0!</v>
      </c>
      <c r="V59" s="129">
        <f>IF(OPFOKLEGHEN!$J$18="nee",H59/C59*K59,IF(OPFOKLEGHEN!$H$20="ja",O59-(K59-Q59)-(K59-S59),Q59-(K59-O59)-(K59-S59)))</f>
        <v>2.2054276655069422</v>
      </c>
      <c r="W59" s="162">
        <f>IF(H59=0,0,IF(OPFOKLEGHEN!$H$11="geen droogtunnel",IF(OPFOKLEGHEN!$H$15="geen warmtewisselaar",Q59-(K59-R59)))+IF(OPFOKLEGHEN!$H$12&gt;0,IF(OPFOKLEGHEN!$H$13="serie geschakeld met warmtewisselaar",(O59*80%-(K59-S59)),(Q59-(K59-S59)-(K59-T59))),(N59-(K59-S59))))</f>
        <v>4.4108553310138845</v>
      </c>
      <c r="X59" s="162">
        <f>IF(H59=0,0,IF(OPFOKLEGHEN!$H$11="geen droogtunnel",IF(OPFOKLEGHEN!$H$15="geen warmtewisselaar",Q59-(K59-R59)))+IF(OPFOKLEGHEN!$H$12&gt;0,IF(OPFOKLEGHEN!$H$13="serie geschakeld met warmtewisselaar",3*(O59*80%-(K59-S59)),(Q59-(K59-S59)-(K59-N59))),(N59-(K59-S59))))</f>
        <v>4.4108553310138845</v>
      </c>
      <c r="Y59" s="162">
        <f>IF(H59=0,0,IF(OPFOKLEGHEN!$H$11="geen droogtunnel",IF(OPFOKLEGHEN!$H$15="geen warmtewisselaar",Q59-(K59-R59)))+IF(OPFOKLEGHEN!$H$12&gt;0,IF(OPFOKLEGHEN!$H$13="serie geschakeld met warmtewisselaar",(O59-(K59-S59)),IF(OPFOKLEGHEN!$H$13="parallel geschakeld met warmtewisselaar",IF(OPFOKLEGHEN!$L$9="ja",IF(OPFOKLEGHEN!$J$18="nee",(N59-(K59-Q59)-(K59-S59)),(Q59-(K59-N59/80%)))))),(O59-(K59-S59))))</f>
        <v>4.4108553310138845</v>
      </c>
      <c r="Z59" s="130">
        <f t="shared" si="33"/>
        <v>1</v>
      </c>
      <c r="AA59" s="130"/>
      <c r="AB59" s="130"/>
      <c r="AC59" s="167">
        <f>IF(H59=0,0,IF(OPFOKLEGHEN!$H$11="geen droogtunnel",IF(OPFOKLEGHEN!$H$15="geen warmtewisselaar",(P59-(K59-R59)/R$13),K59-(K59-O59)/I$6-(K59-R59)/95%)+IF(OPFOKLEGHEN!$J$18="ja",(K59-O59)*(1-I$6)),IF(OPFOKLEGHEN!$H$12&gt;=0,IF(OPFOKLEGHEN!$L$9="ja",IF(OPFOKLEGHEN!$J$18="ja",IF(OPFOKLEGHEN!$H$20="ja",O59-(K59-S59),IF(OPFOKLEGHEN!$H$20="nee",(O59-(K59-S59)),(O59-(K59-S59)))),IF(OPFOKLEGHEN!$J$18="nee",IF(OPFOKLEGHEN!$H$20="nee",O59*80%-(K59-S59),0+O59-(K59-S59)))),IF(OPFOKLEGHEN!$L$9="nee",IF(OPFOKLEGHEN!$J$18="nee",IF(OPFOKLEGHEN!$H$20="nee",(O59*80%-(K59-S59)),O59*93%-(K59-S59)),IF(OPFOKLEGHEN!$H$20="nee",IF(OPFOKLEGHEN!$J$18="ja",IF(OPFOKLEGHEN!$L$9="nee",O59-(K59-S59))),O59-(K59-S59))))))))</f>
        <v>2.2054276655069422</v>
      </c>
      <c r="AD59" s="167" t="e">
        <f>IF(H59=0,0,IF(OPFOKLEGHEN!$H$11="geen droogtunnel",IF(OPFOKLEGHEN!$H$15="geen warmtewisselaar",(Q59-(K59-R59)/S$13),N59-(K59-R59)),IF(OPFOKLEGHEN!$H$12&gt;=0,IF(OPFOKLEGHEN!$L$9="ja",IF(OPFOKLEGHEN!$J$18="ja",IF(OPFOKLEGHEN!$H$20="ja",Q59-(K59-N59)-(K59-S59),IF(OPFOKLEGHEN!$H$20="nee",(Q59-(K59-N59)-(K59-S59)),(O59-(K59-S59)))),IF(OPFOKLEGHEN!$J$18="nee",IF(OPFOKLEGHEN!$H$20="nee",1*Q59*$N$135-(K59-N59)-(K59-S59),(Q59-(K59-N59)-(K59-S59))*N$135))),IF(OPFOKLEGHEN!$L$9="nee",IF(OPFOKLEGHEN!$J$18="nee",IF(OPFOKLEGHEN!$H$20="nee",(N59*95%-(K59-Q59)/I$4-(K59-S59)),N59-(K59-Q59)/I$4-(K59-S59)),IF(OPFOKLEGHEN!$H$20="nee",IF(OPFOKLEGHEN!$J$18="ja",IF(OPFOKLEGHEN!$L$9="nee",N59-(K59-Q59)/I$4-(K59-S59))),N59-(K59-Q59)/I$4-(K59-S59))))))))</f>
        <v>#DIV/0!</v>
      </c>
      <c r="AE59" s="29">
        <f t="shared" si="34"/>
        <v>0</v>
      </c>
      <c r="AF59" s="6">
        <f t="shared" si="35"/>
        <v>0.46782727448507472</v>
      </c>
      <c r="AG59" s="6">
        <f t="shared" si="36"/>
        <v>0</v>
      </c>
      <c r="AH59" s="4">
        <f t="shared" si="37"/>
        <v>0</v>
      </c>
      <c r="AI59" s="6">
        <f t="shared" si="19"/>
        <v>0.46782727448507472</v>
      </c>
      <c r="AJ59" s="6">
        <f t="shared" si="38"/>
        <v>0</v>
      </c>
      <c r="AK59" s="4">
        <f t="shared" si="39"/>
        <v>0.53814978895272791</v>
      </c>
      <c r="AL59" s="6">
        <f t="shared" si="40"/>
        <v>1.1077490557340806E-2</v>
      </c>
      <c r="AM59" s="1">
        <v>7</v>
      </c>
      <c r="AN59" s="1">
        <v>44</v>
      </c>
      <c r="AO59" s="5">
        <f t="shared" si="45"/>
        <v>485.79999999999995</v>
      </c>
      <c r="AP59" s="5">
        <f t="shared" si="46"/>
        <v>427.79999999999995</v>
      </c>
      <c r="AQ59" s="5">
        <f t="shared" si="20"/>
        <v>456.79999999999995</v>
      </c>
      <c r="AR59" s="100" t="e">
        <f t="shared" si="41"/>
        <v>#DIV/0!</v>
      </c>
    </row>
    <row r="60" spans="1:44" ht="13" x14ac:dyDescent="0.3">
      <c r="A60" s="1">
        <v>7</v>
      </c>
      <c r="B60" s="1">
        <v>45</v>
      </c>
      <c r="C60" s="4">
        <f t="shared" si="14"/>
        <v>0.55019069416056188</v>
      </c>
      <c r="D60" s="7">
        <f t="shared" si="0"/>
        <v>0</v>
      </c>
      <c r="E60" s="7">
        <f>IF(I$3=0,0,IF(OPFOKLEGHEN!$H$13="parallel geschakeld met warmtewisselaar",0,MIN(I$3,C60)))</f>
        <v>0</v>
      </c>
      <c r="F60" s="7">
        <f>IF(I$3=0,0,IF(OPFOKLEGHEN!$H$13="serie geschakeld met warmtewisselaar",0,IF(C60&lt;$I$3,C60-D60,MIN($I$3,C60-D60))))</f>
        <v>0</v>
      </c>
      <c r="G60" s="137">
        <f>IF(C60&lt;$I$7,MAX(0,C60-D60-E60-F60,IF(OPFOKLEGHEN!$H$15="warmtewisselaar",IF(OPFOKLEGHEN!$H$13="serie geschakeld met warmtewisselaar",MIN(I$7,MAX(0,C60-D60-F60)),MIN(I$7,MAX(0,C60-D60-E60-F60))))),IF(OPFOKLEGHEN!$H$13="parallel geschakeld met warmtewisselaar",MIN(I$7,C60-D60-E60-F60,MIN(I$7,C60-E60-F60)),MIN(I$7,MAX(0,C60-D60-F60))))</f>
        <v>0</v>
      </c>
      <c r="H60" s="7">
        <f>IF(OPFOKLEGHEN!$H$13="parallel geschakeld met warmtewisselaar",IF(OPFOKLEGHEN!$L$9="nee",IF(OPFOKLEGHEN!$J$18="ja",C60-F60-G60,C60-D60-F60-G60),IF(OPFOKLEGHEN!$L$9="ja",IF(OPFOKLEGHEN!$J$18="ja",C60-G60,IF(OPFOKLEGHEN!$J$18="nee",C60-D60-G60)))),IF(OPFOKLEGHEN!$H$13="serie geschakeld met warmtewisselaar",IF(OPFOKLEGHEN!$J$18="ja",C60-G60,C60-D60-F60-G60),C60-D60-F60-G60))</f>
        <v>0.55019069416056188</v>
      </c>
      <c r="I60" s="98">
        <f t="shared" si="15"/>
        <v>0.55019069416056188</v>
      </c>
      <c r="J60" s="99">
        <v>0.47651497810117321</v>
      </c>
      <c r="K60" s="6">
        <f t="shared" si="16"/>
        <v>2.2966451736354521</v>
      </c>
      <c r="L60" s="130">
        <f>SUM(K$16:K60)/$K$137</f>
        <v>5.2663730364397095E-2</v>
      </c>
      <c r="M60" s="6">
        <f t="shared" si="17"/>
        <v>1.1797834796072526E-2</v>
      </c>
      <c r="N60" s="6">
        <f t="shared" si="30"/>
        <v>2.2966451736354521</v>
      </c>
      <c r="O60" s="6">
        <f>IF(E60&lt;I$3,P60*(1-I$6*D60/C60),IF(OPFOKLEGHEN!$H$11="droogtunnel (platen) 55%",P60*(1-$I$6)+(C60-D60)/C60*(K60-P60*(1-I$6)),P60*(1-$I$6)+(C60-D60)/C60*(K60-P60*(1-I$6))))</f>
        <v>2.2966451736354521</v>
      </c>
      <c r="P60" s="129">
        <f t="shared" si="31"/>
        <v>2.2966451736354521</v>
      </c>
      <c r="Q60" s="134">
        <f t="shared" si="32"/>
        <v>2.2966451736354521</v>
      </c>
      <c r="R60" s="134">
        <f t="shared" si="18"/>
        <v>2.2966451736354521</v>
      </c>
      <c r="S60" s="199">
        <f>IF(G60&lt;0.1,K60,IF(C60=F60,S60/(1-I$4),IF(I$3=0,K60-(G60/C60)*K60*S$13,IF(OPFOKLEGHEN!$H$13="Parallel geschakeld met warmtewisselaar",K60-(K60-(K60-Q60)/I$4)*(G60/(C60-F60))*S$13,IF(OPFOKLEGHEN!$H$20="ja",K60-(K60-(K60-P60)/I$4)*(G60/(C60-MIN(D60,I$5)))*S$13,K60-(K60-(K60-P60)/I$4)*(G60/(C60-MIN(D60,I$5)))*S$13)))))</f>
        <v>2.2966451736354521</v>
      </c>
      <c r="T60" s="17">
        <f t="shared" si="42"/>
        <v>2.2966451736354521</v>
      </c>
      <c r="U60" s="6" t="e">
        <f t="shared" si="22"/>
        <v>#DIV/0!</v>
      </c>
      <c r="V60" s="129">
        <f>IF(OPFOKLEGHEN!$J$18="nee",H60/C60*K60,IF(OPFOKLEGHEN!$H$20="ja",O60-(K60-Q60)-(K60-S60),Q60-(K60-O60)-(K60-S60)))</f>
        <v>2.2966451736354521</v>
      </c>
      <c r="W60" s="162">
        <f>IF(H60=0,0,IF(OPFOKLEGHEN!$H$11="geen droogtunnel",IF(OPFOKLEGHEN!$H$15="geen warmtewisselaar",Q60-(K60-R60)))+IF(OPFOKLEGHEN!$H$12&gt;0,IF(OPFOKLEGHEN!$H$13="serie geschakeld met warmtewisselaar",(O60*80%-(K60-S60)),(Q60-(K60-S60)-(K60-T60))),(N60-(K60-S60))))</f>
        <v>4.5932903472709041</v>
      </c>
      <c r="X60" s="162">
        <f>IF(H60=0,0,IF(OPFOKLEGHEN!$H$11="geen droogtunnel",IF(OPFOKLEGHEN!$H$15="geen warmtewisselaar",Q60-(K60-R60)))+IF(OPFOKLEGHEN!$H$12&gt;0,IF(OPFOKLEGHEN!$H$13="serie geschakeld met warmtewisselaar",3*(O60*80%-(K60-S60)),(Q60-(K60-S60)-(K60-N60))),(N60-(K60-S60))))</f>
        <v>4.5932903472709041</v>
      </c>
      <c r="Y60" s="162">
        <f>IF(H60=0,0,IF(OPFOKLEGHEN!$H$11="geen droogtunnel",IF(OPFOKLEGHEN!$H$15="geen warmtewisselaar",Q60-(K60-R60)))+IF(OPFOKLEGHEN!$H$12&gt;0,IF(OPFOKLEGHEN!$H$13="serie geschakeld met warmtewisselaar",(O60-(K60-S60)),IF(OPFOKLEGHEN!$H$13="parallel geschakeld met warmtewisselaar",IF(OPFOKLEGHEN!$L$9="ja",IF(OPFOKLEGHEN!$J$18="nee",(N60-(K60-Q60)-(K60-S60)),(Q60-(K60-N60/80%)))))),(O60-(K60-S60))))</f>
        <v>4.5932903472709041</v>
      </c>
      <c r="Z60" s="130">
        <f t="shared" si="33"/>
        <v>1</v>
      </c>
      <c r="AA60" s="130"/>
      <c r="AB60" s="130"/>
      <c r="AC60" s="167">
        <f>IF(H60=0,0,IF(OPFOKLEGHEN!$H$11="geen droogtunnel",IF(OPFOKLEGHEN!$H$15="geen warmtewisselaar",(P60-(K60-R60)/R$13),K60-(K60-O60)/I$6-(K60-R60)/95%)+IF(OPFOKLEGHEN!$J$18="ja",(K60-O60)*(1-I$6)),IF(OPFOKLEGHEN!$H$12&gt;=0,IF(OPFOKLEGHEN!$L$9="ja",IF(OPFOKLEGHEN!$J$18="ja",IF(OPFOKLEGHEN!$H$20="ja",O60-(K60-S60),IF(OPFOKLEGHEN!$H$20="nee",(O60-(K60-S60)),(O60-(K60-S60)))),IF(OPFOKLEGHEN!$J$18="nee",IF(OPFOKLEGHEN!$H$20="nee",O60*80%-(K60-S60),0+O60-(K60-S60)))),IF(OPFOKLEGHEN!$L$9="nee",IF(OPFOKLEGHEN!$J$18="nee",IF(OPFOKLEGHEN!$H$20="nee",(O60*80%-(K60-S60)),O60*93%-(K60-S60)),IF(OPFOKLEGHEN!$H$20="nee",IF(OPFOKLEGHEN!$J$18="ja",IF(OPFOKLEGHEN!$L$9="nee",O60-(K60-S60))),O60-(K60-S60))))))))</f>
        <v>2.2966451736354521</v>
      </c>
      <c r="AD60" s="167" t="e">
        <f>IF(H60=0,0,IF(OPFOKLEGHEN!$H$11="geen droogtunnel",IF(OPFOKLEGHEN!$H$15="geen warmtewisselaar",(Q60-(K60-R60)/S$13),N60-(K60-R60)),IF(OPFOKLEGHEN!$H$12&gt;=0,IF(OPFOKLEGHEN!$L$9="ja",IF(OPFOKLEGHEN!$J$18="ja",IF(OPFOKLEGHEN!$H$20="ja",Q60-(K60-N60)-(K60-S60),IF(OPFOKLEGHEN!$H$20="nee",(Q60-(K60-N60)-(K60-S60)),(O60-(K60-S60)))),IF(OPFOKLEGHEN!$J$18="nee",IF(OPFOKLEGHEN!$H$20="nee",1*Q60*$N$135-(K60-N60)-(K60-S60),(Q60-(K60-N60)-(K60-S60))*N$135))),IF(OPFOKLEGHEN!$L$9="nee",IF(OPFOKLEGHEN!$J$18="nee",IF(OPFOKLEGHEN!$H$20="nee",(N60*95%-(K60-Q60)/I$4-(K60-S60)),N60-(K60-Q60)/I$4-(K60-S60)),IF(OPFOKLEGHEN!$H$20="nee",IF(OPFOKLEGHEN!$J$18="ja",IF(OPFOKLEGHEN!$L$9="nee",N60-(K60-Q60)/I$4-(K60-S60))),N60-(K60-Q60)/I$4-(K60-S60))))))))</f>
        <v>#DIV/0!</v>
      </c>
      <c r="AE60" s="29">
        <f t="shared" si="34"/>
        <v>0</v>
      </c>
      <c r="AF60" s="6">
        <f t="shared" si="35"/>
        <v>0.47651497810117321</v>
      </c>
      <c r="AG60" s="6">
        <f t="shared" si="36"/>
        <v>0</v>
      </c>
      <c r="AH60" s="4">
        <f t="shared" si="37"/>
        <v>0</v>
      </c>
      <c r="AI60" s="6">
        <f t="shared" si="19"/>
        <v>0.47651497810117321</v>
      </c>
      <c r="AJ60" s="6">
        <f t="shared" si="38"/>
        <v>0</v>
      </c>
      <c r="AK60" s="4">
        <f t="shared" si="39"/>
        <v>0.55019069416056188</v>
      </c>
      <c r="AL60" s="6">
        <f t="shared" si="40"/>
        <v>1.1797834796072526E-2</v>
      </c>
      <c r="AM60" s="1">
        <v>7</v>
      </c>
      <c r="AN60" s="1">
        <v>45</v>
      </c>
      <c r="AO60" s="5">
        <f t="shared" si="45"/>
        <v>498.69999999999993</v>
      </c>
      <c r="AP60" s="5">
        <f t="shared" si="46"/>
        <v>439.19999999999993</v>
      </c>
      <c r="AQ60" s="5">
        <f t="shared" si="20"/>
        <v>468.94999999999993</v>
      </c>
      <c r="AR60" s="100" t="e">
        <f t="shared" si="41"/>
        <v>#DIV/0!</v>
      </c>
    </row>
    <row r="61" spans="1:44" ht="13" x14ac:dyDescent="0.3">
      <c r="A61" s="1">
        <v>7</v>
      </c>
      <c r="B61" s="1">
        <v>46</v>
      </c>
      <c r="C61" s="4">
        <f t="shared" si="14"/>
        <v>0.56229010700716398</v>
      </c>
      <c r="D61" s="7">
        <f t="shared" si="0"/>
        <v>0</v>
      </c>
      <c r="E61" s="7">
        <f>IF(I$3=0,0,IF(OPFOKLEGHEN!$H$13="parallel geschakeld met warmtewisselaar",0,MIN(I$3,C61)))</f>
        <v>0</v>
      </c>
      <c r="F61" s="7">
        <f>IF(I$3=0,0,IF(OPFOKLEGHEN!$H$13="serie geschakeld met warmtewisselaar",0,IF(C61&lt;$I$3,C61-D61,MIN($I$3,C61-D61))))</f>
        <v>0</v>
      </c>
      <c r="G61" s="137">
        <f>IF(C61&lt;$I$7,MAX(0,C61-D61-E61-F61,IF(OPFOKLEGHEN!$H$15="warmtewisselaar",IF(OPFOKLEGHEN!$H$13="serie geschakeld met warmtewisselaar",MIN(I$7,MAX(0,C61-D61-F61)),MIN(I$7,MAX(0,C61-D61-E61-F61))))),IF(OPFOKLEGHEN!$H$13="parallel geschakeld met warmtewisselaar",MIN(I$7,C61-D61-E61-F61,MIN(I$7,C61-E61-F61)),MIN(I$7,MAX(0,C61-D61-F61))))</f>
        <v>0</v>
      </c>
      <c r="H61" s="7">
        <f>IF(OPFOKLEGHEN!$H$13="parallel geschakeld met warmtewisselaar",IF(OPFOKLEGHEN!$L$9="nee",IF(OPFOKLEGHEN!$J$18="ja",C61-F61-G61,C61-D61-F61-G61),IF(OPFOKLEGHEN!$L$9="ja",IF(OPFOKLEGHEN!$J$18="ja",C61-G61,IF(OPFOKLEGHEN!$J$18="nee",C61-D61-G61)))),IF(OPFOKLEGHEN!$H$13="serie geschakeld met warmtewisselaar",IF(OPFOKLEGHEN!$J$18="ja",C61-G61,C61-D61-F61-G61),C61-D61-F61-G61))</f>
        <v>0.56229010700716398</v>
      </c>
      <c r="I61" s="98">
        <f t="shared" si="15"/>
        <v>0.56229010700716398</v>
      </c>
      <c r="J61" s="99">
        <v>0.48536401517993538</v>
      </c>
      <c r="K61" s="6">
        <f t="shared" si="16"/>
        <v>2.3907387641286646</v>
      </c>
      <c r="L61" s="130">
        <f>SUM(K$16:K61)/$K$137</f>
        <v>5.546338136984446E-2</v>
      </c>
      <c r="M61" s="6">
        <f t="shared" si="17"/>
        <v>1.2554107665515821E-2</v>
      </c>
      <c r="N61" s="6">
        <f t="shared" si="30"/>
        <v>2.3907387641286646</v>
      </c>
      <c r="O61" s="6">
        <f>IF(E61&lt;I$3,P61*(1-I$6*D61/C61),IF(OPFOKLEGHEN!$H$11="droogtunnel (platen) 55%",P61*(1-$I$6)+(C61-D61)/C61*(K61-P61*(1-I$6)),P61*(1-$I$6)+(C61-D61)/C61*(K61-P61*(1-I$6))))</f>
        <v>2.3907387641286646</v>
      </c>
      <c r="P61" s="129">
        <f t="shared" si="31"/>
        <v>2.3907387641286646</v>
      </c>
      <c r="Q61" s="134">
        <f t="shared" si="32"/>
        <v>2.3907387641286646</v>
      </c>
      <c r="R61" s="134">
        <f t="shared" si="18"/>
        <v>2.3907387641286646</v>
      </c>
      <c r="S61" s="199">
        <f>IF(G61&lt;0.1,K61,IF(C61=F61,S61/(1-I$4),IF(I$3=0,K61-(G61/C61)*K61*S$13,IF(OPFOKLEGHEN!$H$13="Parallel geschakeld met warmtewisselaar",K61-(K61-(K61-Q61)/I$4)*(G61/(C61-F61))*S$13,IF(OPFOKLEGHEN!$H$20="ja",K61-(K61-(K61-P61)/I$4)*(G61/(C61-MIN(D61,I$5)))*S$13,K61-(K61-(K61-P61)/I$4)*(G61/(C61-MIN(D61,I$5)))*S$13)))))</f>
        <v>2.3907387641286646</v>
      </c>
      <c r="T61" s="17">
        <f t="shared" si="42"/>
        <v>2.3907387641286646</v>
      </c>
      <c r="U61" s="6" t="e">
        <f t="shared" si="22"/>
        <v>#DIV/0!</v>
      </c>
      <c r="V61" s="129">
        <f>IF(OPFOKLEGHEN!$J$18="nee",H61/C61*K61,IF(OPFOKLEGHEN!$H$20="ja",O61-(K61-Q61)-(K61-S61),Q61-(K61-O61)-(K61-S61)))</f>
        <v>2.3907387641286646</v>
      </c>
      <c r="W61" s="162">
        <f>IF(H61=0,0,IF(OPFOKLEGHEN!$H$11="geen droogtunnel",IF(OPFOKLEGHEN!$H$15="geen warmtewisselaar",Q61-(K61-R61)))+IF(OPFOKLEGHEN!$H$12&gt;0,IF(OPFOKLEGHEN!$H$13="serie geschakeld met warmtewisselaar",(O61*80%-(K61-S61)),(Q61-(K61-S61)-(K61-T61))),(N61-(K61-S61))))</f>
        <v>4.7814775282573292</v>
      </c>
      <c r="X61" s="162">
        <f>IF(H61=0,0,IF(OPFOKLEGHEN!$H$11="geen droogtunnel",IF(OPFOKLEGHEN!$H$15="geen warmtewisselaar",Q61-(K61-R61)))+IF(OPFOKLEGHEN!$H$12&gt;0,IF(OPFOKLEGHEN!$H$13="serie geschakeld met warmtewisselaar",3*(O61*80%-(K61-S61)),(Q61-(K61-S61)-(K61-N61))),(N61-(K61-S61))))</f>
        <v>4.7814775282573292</v>
      </c>
      <c r="Y61" s="162">
        <f>IF(H61=0,0,IF(OPFOKLEGHEN!$H$11="geen droogtunnel",IF(OPFOKLEGHEN!$H$15="geen warmtewisselaar",Q61-(K61-R61)))+IF(OPFOKLEGHEN!$H$12&gt;0,IF(OPFOKLEGHEN!$H$13="serie geschakeld met warmtewisselaar",(O61-(K61-S61)),IF(OPFOKLEGHEN!$H$13="parallel geschakeld met warmtewisselaar",IF(OPFOKLEGHEN!$L$9="ja",IF(OPFOKLEGHEN!$J$18="nee",(N61-(K61-Q61)-(K61-S61)),(Q61-(K61-N61/80%)))))),(O61-(K61-S61))))</f>
        <v>4.7814775282573292</v>
      </c>
      <c r="Z61" s="130">
        <f t="shared" si="33"/>
        <v>1</v>
      </c>
      <c r="AA61" s="130"/>
      <c r="AB61" s="130"/>
      <c r="AC61" s="167">
        <f>IF(H61=0,0,IF(OPFOKLEGHEN!$H$11="geen droogtunnel",IF(OPFOKLEGHEN!$H$15="geen warmtewisselaar",(P61-(K61-R61)/R$13),K61-(K61-O61)/I$6-(K61-R61)/95%)+IF(OPFOKLEGHEN!$J$18="ja",(K61-O61)*(1-I$6)),IF(OPFOKLEGHEN!$H$12&gt;=0,IF(OPFOKLEGHEN!$L$9="ja",IF(OPFOKLEGHEN!$J$18="ja",IF(OPFOKLEGHEN!$H$20="ja",O61-(K61-S61),IF(OPFOKLEGHEN!$H$20="nee",(O61-(K61-S61)),(O61-(K61-S61)))),IF(OPFOKLEGHEN!$J$18="nee",IF(OPFOKLEGHEN!$H$20="nee",O61*80%-(K61-S61),0+O61-(K61-S61)))),IF(OPFOKLEGHEN!$L$9="nee",IF(OPFOKLEGHEN!$J$18="nee",IF(OPFOKLEGHEN!$H$20="nee",(O61*80%-(K61-S61)),O61*93%-(K61-S61)),IF(OPFOKLEGHEN!$H$20="nee",IF(OPFOKLEGHEN!$J$18="ja",IF(OPFOKLEGHEN!$L$9="nee",O61-(K61-S61))),O61-(K61-S61))))))))</f>
        <v>2.3907387641286646</v>
      </c>
      <c r="AD61" s="167" t="e">
        <f>IF(H61=0,0,IF(OPFOKLEGHEN!$H$11="geen droogtunnel",IF(OPFOKLEGHEN!$H$15="geen warmtewisselaar",(Q61-(K61-R61)/S$13),N61-(K61-R61)),IF(OPFOKLEGHEN!$H$12&gt;=0,IF(OPFOKLEGHEN!$L$9="ja",IF(OPFOKLEGHEN!$J$18="ja",IF(OPFOKLEGHEN!$H$20="ja",Q61-(K61-N61)-(K61-S61),IF(OPFOKLEGHEN!$H$20="nee",(Q61-(K61-N61)-(K61-S61)),(O61-(K61-S61)))),IF(OPFOKLEGHEN!$J$18="nee",IF(OPFOKLEGHEN!$H$20="nee",1*Q61*$N$135-(K61-N61)-(K61-S61),(Q61-(K61-N61)-(K61-S61))*N$135))),IF(OPFOKLEGHEN!$L$9="nee",IF(OPFOKLEGHEN!$J$18="nee",IF(OPFOKLEGHEN!$H$20="nee",(N61*95%-(K61-Q61)/I$4-(K61-S61)),N61-(K61-Q61)/I$4-(K61-S61)),IF(OPFOKLEGHEN!$H$20="nee",IF(OPFOKLEGHEN!$J$18="ja",IF(OPFOKLEGHEN!$L$9="nee",N61-(K61-Q61)/I$4-(K61-S61))),N61-(K61-Q61)/I$4-(K61-S61))))))))</f>
        <v>#DIV/0!</v>
      </c>
      <c r="AE61" s="29">
        <f t="shared" si="34"/>
        <v>0</v>
      </c>
      <c r="AF61" s="6">
        <f t="shared" si="35"/>
        <v>0.48536401517993538</v>
      </c>
      <c r="AG61" s="6">
        <f t="shared" si="36"/>
        <v>0</v>
      </c>
      <c r="AH61" s="4">
        <f t="shared" si="37"/>
        <v>0</v>
      </c>
      <c r="AI61" s="6">
        <f t="shared" si="19"/>
        <v>0.48536401517993538</v>
      </c>
      <c r="AJ61" s="6">
        <f t="shared" si="38"/>
        <v>0</v>
      </c>
      <c r="AK61" s="4">
        <f t="shared" si="39"/>
        <v>0.56229010700716398</v>
      </c>
      <c r="AL61" s="6">
        <f t="shared" si="40"/>
        <v>1.2554107665515821E-2</v>
      </c>
      <c r="AM61" s="1">
        <v>7</v>
      </c>
      <c r="AN61" s="1">
        <v>46</v>
      </c>
      <c r="AO61" s="5">
        <f t="shared" si="45"/>
        <v>511.59999999999991</v>
      </c>
      <c r="AP61" s="5">
        <f t="shared" si="46"/>
        <v>450.59999999999991</v>
      </c>
      <c r="AQ61" s="5">
        <f t="shared" si="20"/>
        <v>481.09999999999991</v>
      </c>
      <c r="AR61" s="100" t="e">
        <f t="shared" si="41"/>
        <v>#DIV/0!</v>
      </c>
    </row>
    <row r="62" spans="1:44" ht="13" x14ac:dyDescent="0.3">
      <c r="A62" s="1">
        <v>7</v>
      </c>
      <c r="B62" s="1">
        <v>47</v>
      </c>
      <c r="C62" s="4">
        <f t="shared" si="14"/>
        <v>0.5744521599777499</v>
      </c>
      <c r="D62" s="7">
        <f t="shared" si="0"/>
        <v>0</v>
      </c>
      <c r="E62" s="7">
        <f>IF(I$3=0,0,IF(OPFOKLEGHEN!$H$13="parallel geschakeld met warmtewisselaar",0,MIN(I$3,C62)))</f>
        <v>0</v>
      </c>
      <c r="F62" s="7">
        <f>IF(I$3=0,0,IF(OPFOKLEGHEN!$H$13="serie geschakeld met warmtewisselaar",0,IF(C62&lt;$I$3,C62-D62,MIN($I$3,C62-D62))))</f>
        <v>0</v>
      </c>
      <c r="G62" s="137">
        <f>IF(C62&lt;$I$7,MAX(0,C62-D62-E62-F62,IF(OPFOKLEGHEN!$H$15="warmtewisselaar",IF(OPFOKLEGHEN!$H$13="serie geschakeld met warmtewisselaar",MIN(I$7,MAX(0,C62-D62-F62)),MIN(I$7,MAX(0,C62-D62-E62-F62))))),IF(OPFOKLEGHEN!$H$13="parallel geschakeld met warmtewisselaar",MIN(I$7,C62-D62-E62-F62,MIN(I$7,C62-E62-F62)),MIN(I$7,MAX(0,C62-D62-F62))))</f>
        <v>0</v>
      </c>
      <c r="H62" s="7">
        <f>IF(OPFOKLEGHEN!$H$13="parallel geschakeld met warmtewisselaar",IF(OPFOKLEGHEN!$L$9="nee",IF(OPFOKLEGHEN!$J$18="ja",C62-F62-G62,C62-D62-F62-G62),IF(OPFOKLEGHEN!$L$9="ja",IF(OPFOKLEGHEN!$J$18="ja",C62-G62,IF(OPFOKLEGHEN!$J$18="nee",C62-D62-G62)))),IF(OPFOKLEGHEN!$H$13="serie geschakeld met warmtewisselaar",IF(OPFOKLEGHEN!$J$18="ja",C62-G62,C62-D62-F62-G62),C62-D62-F62-G62))</f>
        <v>0.5744521599777499</v>
      </c>
      <c r="I62" s="98">
        <f t="shared" si="15"/>
        <v>0.5744521599777499</v>
      </c>
      <c r="J62" s="99">
        <v>0.49437738173588069</v>
      </c>
      <c r="K62" s="6">
        <f t="shared" si="16"/>
        <v>2.4878063158931343</v>
      </c>
      <c r="L62" s="130">
        <f>SUM(K$16:K62)/$K$137</f>
        <v>5.8376702372604457E-2</v>
      </c>
      <c r="M62" s="6">
        <f t="shared" si="17"/>
        <v>1.3347819274769098E-2</v>
      </c>
      <c r="N62" s="6">
        <f t="shared" si="30"/>
        <v>2.4878063158931343</v>
      </c>
      <c r="O62" s="6">
        <f>IF(E62&lt;I$3,P62*(1-I$6*D62/C62),IF(OPFOKLEGHEN!$H$11="droogtunnel (platen) 55%",P62*(1-$I$6)+(C62-D62)/C62*(K62-P62*(1-I$6)),P62*(1-$I$6)+(C62-D62)/C62*(K62-P62*(1-I$6))))</f>
        <v>2.4878063158931343</v>
      </c>
      <c r="P62" s="129">
        <f t="shared" si="31"/>
        <v>2.4878063158931343</v>
      </c>
      <c r="Q62" s="134">
        <f t="shared" si="32"/>
        <v>2.4878063158931343</v>
      </c>
      <c r="R62" s="134">
        <f t="shared" si="18"/>
        <v>2.4878063158931343</v>
      </c>
      <c r="S62" s="199">
        <f>IF(G62&lt;0.1,K62,IF(C62=F62,S62/(1-I$4),IF(I$3=0,K62-(G62/C62)*K62*S$13,IF(OPFOKLEGHEN!$H$13="Parallel geschakeld met warmtewisselaar",K62-(K62-(K62-Q62)/I$4)*(G62/(C62-F62))*S$13,IF(OPFOKLEGHEN!$H$20="ja",K62-(K62-(K62-P62)/I$4)*(G62/(C62-MIN(D62,I$5)))*S$13,K62-(K62-(K62-P62)/I$4)*(G62/(C62-MIN(D62,I$5)))*S$13)))))</f>
        <v>2.4878063158931343</v>
      </c>
      <c r="T62" s="17">
        <f t="shared" si="42"/>
        <v>2.4878063158931343</v>
      </c>
      <c r="U62" s="6" t="e">
        <f t="shared" si="22"/>
        <v>#DIV/0!</v>
      </c>
      <c r="V62" s="129">
        <f>IF(OPFOKLEGHEN!$J$18="nee",H62/C62*K62,IF(OPFOKLEGHEN!$H$20="ja",O62-(K62-Q62)-(K62-S62),Q62-(K62-O62)-(K62-S62)))</f>
        <v>2.4878063158931343</v>
      </c>
      <c r="W62" s="162">
        <f>IF(H62=0,0,IF(OPFOKLEGHEN!$H$11="geen droogtunnel",IF(OPFOKLEGHEN!$H$15="geen warmtewisselaar",Q62-(K62-R62)))+IF(OPFOKLEGHEN!$H$12&gt;0,IF(OPFOKLEGHEN!$H$13="serie geschakeld met warmtewisselaar",(O62*80%-(K62-S62)),(Q62-(K62-S62)-(K62-T62))),(N62-(K62-S62))))</f>
        <v>4.9756126317862686</v>
      </c>
      <c r="X62" s="162">
        <f>IF(H62=0,0,IF(OPFOKLEGHEN!$H$11="geen droogtunnel",IF(OPFOKLEGHEN!$H$15="geen warmtewisselaar",Q62-(K62-R62)))+IF(OPFOKLEGHEN!$H$12&gt;0,IF(OPFOKLEGHEN!$H$13="serie geschakeld met warmtewisselaar",3*(O62*80%-(K62-S62)),(Q62-(K62-S62)-(K62-N62))),(N62-(K62-S62))))</f>
        <v>4.9756126317862686</v>
      </c>
      <c r="Y62" s="162">
        <f>IF(H62=0,0,IF(OPFOKLEGHEN!$H$11="geen droogtunnel",IF(OPFOKLEGHEN!$H$15="geen warmtewisselaar",Q62-(K62-R62)))+IF(OPFOKLEGHEN!$H$12&gt;0,IF(OPFOKLEGHEN!$H$13="serie geschakeld met warmtewisselaar",(O62-(K62-S62)),IF(OPFOKLEGHEN!$H$13="parallel geschakeld met warmtewisselaar",IF(OPFOKLEGHEN!$L$9="ja",IF(OPFOKLEGHEN!$J$18="nee",(N62-(K62-Q62)-(K62-S62)),(Q62-(K62-N62/80%)))))),(O62-(K62-S62))))</f>
        <v>4.9756126317862686</v>
      </c>
      <c r="Z62" s="130">
        <f t="shared" si="33"/>
        <v>1</v>
      </c>
      <c r="AA62" s="130"/>
      <c r="AB62" s="130"/>
      <c r="AC62" s="167">
        <f>IF(H62=0,0,IF(OPFOKLEGHEN!$H$11="geen droogtunnel",IF(OPFOKLEGHEN!$H$15="geen warmtewisselaar",(P62-(K62-R62)/R$13),K62-(K62-O62)/I$6-(K62-R62)/95%)+IF(OPFOKLEGHEN!$J$18="ja",(K62-O62)*(1-I$6)),IF(OPFOKLEGHEN!$H$12&gt;=0,IF(OPFOKLEGHEN!$L$9="ja",IF(OPFOKLEGHEN!$J$18="ja",IF(OPFOKLEGHEN!$H$20="ja",O62-(K62-S62),IF(OPFOKLEGHEN!$H$20="nee",(O62-(K62-S62)),(O62-(K62-S62)))),IF(OPFOKLEGHEN!$J$18="nee",IF(OPFOKLEGHEN!$H$20="nee",O62*80%-(K62-S62),0+O62-(K62-S62)))),IF(OPFOKLEGHEN!$L$9="nee",IF(OPFOKLEGHEN!$J$18="nee",IF(OPFOKLEGHEN!$H$20="nee",(O62*80%-(K62-S62)),O62*93%-(K62-S62)),IF(OPFOKLEGHEN!$H$20="nee",IF(OPFOKLEGHEN!$J$18="ja",IF(OPFOKLEGHEN!$L$9="nee",O62-(K62-S62))),O62-(K62-S62))))))))</f>
        <v>2.4878063158931343</v>
      </c>
      <c r="AD62" s="167" t="e">
        <f>IF(H62=0,0,IF(OPFOKLEGHEN!$H$11="geen droogtunnel",IF(OPFOKLEGHEN!$H$15="geen warmtewisselaar",(Q62-(K62-R62)/S$13),N62-(K62-R62)),IF(OPFOKLEGHEN!$H$12&gt;=0,IF(OPFOKLEGHEN!$L$9="ja",IF(OPFOKLEGHEN!$J$18="ja",IF(OPFOKLEGHEN!$H$20="ja",Q62-(K62-N62)-(K62-S62),IF(OPFOKLEGHEN!$H$20="nee",(Q62-(K62-N62)-(K62-S62)),(O62-(K62-S62)))),IF(OPFOKLEGHEN!$J$18="nee",IF(OPFOKLEGHEN!$H$20="nee",1*Q62*$N$135-(K62-N62)-(K62-S62),(Q62-(K62-N62)-(K62-S62))*N$135))),IF(OPFOKLEGHEN!$L$9="nee",IF(OPFOKLEGHEN!$J$18="nee",IF(OPFOKLEGHEN!$H$20="nee",(N62*95%-(K62-Q62)/I$4-(K62-S62)),N62-(K62-Q62)/I$4-(K62-S62)),IF(OPFOKLEGHEN!$H$20="nee",IF(OPFOKLEGHEN!$J$18="ja",IF(OPFOKLEGHEN!$L$9="nee",N62-(K62-Q62)/I$4-(K62-S62))),N62-(K62-Q62)/I$4-(K62-S62))))))))</f>
        <v>#DIV/0!</v>
      </c>
      <c r="AE62" s="29">
        <f t="shared" si="34"/>
        <v>0</v>
      </c>
      <c r="AF62" s="6">
        <f t="shared" si="35"/>
        <v>0.49437738173588069</v>
      </c>
      <c r="AG62" s="6">
        <f t="shared" si="36"/>
        <v>0</v>
      </c>
      <c r="AH62" s="4">
        <f t="shared" si="37"/>
        <v>0</v>
      </c>
      <c r="AI62" s="6">
        <f t="shared" si="19"/>
        <v>0.49437738173588069</v>
      </c>
      <c r="AJ62" s="6">
        <f t="shared" si="38"/>
        <v>0</v>
      </c>
      <c r="AK62" s="4">
        <f t="shared" si="39"/>
        <v>0.5744521599777499</v>
      </c>
      <c r="AL62" s="6">
        <f t="shared" si="40"/>
        <v>1.3347819274769098E-2</v>
      </c>
      <c r="AM62" s="1">
        <v>7</v>
      </c>
      <c r="AN62" s="1">
        <v>47</v>
      </c>
      <c r="AO62" s="5">
        <f t="shared" si="45"/>
        <v>524.49999999999989</v>
      </c>
      <c r="AP62" s="5">
        <f t="shared" si="46"/>
        <v>461.99999999999989</v>
      </c>
      <c r="AQ62" s="5">
        <f t="shared" si="20"/>
        <v>493.24999999999989</v>
      </c>
      <c r="AR62" s="100" t="e">
        <f t="shared" si="41"/>
        <v>#DIV/0!</v>
      </c>
    </row>
    <row r="63" spans="1:44" ht="13" x14ac:dyDescent="0.3">
      <c r="A63" s="1">
        <v>7</v>
      </c>
      <c r="B63" s="1">
        <v>48</v>
      </c>
      <c r="C63" s="4">
        <f t="shared" si="14"/>
        <v>0.58668098555753589</v>
      </c>
      <c r="D63" s="7">
        <f t="shared" si="0"/>
        <v>0</v>
      </c>
      <c r="E63" s="7">
        <f>IF(I$3=0,0,IF(OPFOKLEGHEN!$H$13="parallel geschakeld met warmtewisselaar",0,MIN(I$3,C63)))</f>
        <v>0</v>
      </c>
      <c r="F63" s="7">
        <f>IF(I$3=0,0,IF(OPFOKLEGHEN!$H$13="serie geschakeld met warmtewisselaar",0,IF(C63&lt;$I$3,C63-D63,MIN($I$3,C63-D63))))</f>
        <v>0</v>
      </c>
      <c r="G63" s="137">
        <f>IF(C63&lt;$I$7,MAX(0,C63-D63-E63-F63,IF(OPFOKLEGHEN!$H$15="warmtewisselaar",IF(OPFOKLEGHEN!$H$13="serie geschakeld met warmtewisselaar",MIN(I$7,MAX(0,C63-D63-F63)),MIN(I$7,MAX(0,C63-D63-E63-F63))))),IF(OPFOKLEGHEN!$H$13="parallel geschakeld met warmtewisselaar",MIN(I$7,C63-D63-E63-F63,MIN(I$7,C63-E63-F63)),MIN(I$7,MAX(0,C63-D63-F63))))</f>
        <v>0</v>
      </c>
      <c r="H63" s="7">
        <f>IF(OPFOKLEGHEN!$H$13="parallel geschakeld met warmtewisselaar",IF(OPFOKLEGHEN!$L$9="nee",IF(OPFOKLEGHEN!$J$18="ja",C63-F63-G63,C63-D63-F63-G63),IF(OPFOKLEGHEN!$L$9="ja",IF(OPFOKLEGHEN!$J$18="ja",C63-G63,IF(OPFOKLEGHEN!$J$18="nee",C63-D63-G63)))),IF(OPFOKLEGHEN!$H$13="serie geschakeld met warmtewisselaar",IF(OPFOKLEGHEN!$J$18="ja",C63-G63,C63-D63-F63-G63),C63-D63-F63-G63))</f>
        <v>0.58668098555753589</v>
      </c>
      <c r="I63" s="98">
        <f t="shared" si="15"/>
        <v>0.58668098555753589</v>
      </c>
      <c r="J63" s="99">
        <v>0.50355812942048617</v>
      </c>
      <c r="K63" s="6">
        <f t="shared" si="16"/>
        <v>2.5879491017683391</v>
      </c>
      <c r="L63" s="130">
        <f>SUM(K$16:K63)/$K$137</f>
        <v>6.1407294595194277E-2</v>
      </c>
      <c r="M63" s="6">
        <f t="shared" si="17"/>
        <v>1.4180543023388162E-2</v>
      </c>
      <c r="N63" s="6">
        <f t="shared" si="30"/>
        <v>2.5879491017683391</v>
      </c>
      <c r="O63" s="6">
        <f>IF(E63&lt;I$3,P63*(1-I$6*D63/C63),IF(OPFOKLEGHEN!$H$11="droogtunnel (platen) 55%",P63*(1-$I$6)+(C63-D63)/C63*(K63-P63*(1-I$6)),P63*(1-$I$6)+(C63-D63)/C63*(K63-P63*(1-I$6))))</f>
        <v>2.5879491017683391</v>
      </c>
      <c r="P63" s="129">
        <f t="shared" si="31"/>
        <v>2.5879491017683391</v>
      </c>
      <c r="Q63" s="134">
        <f t="shared" si="32"/>
        <v>2.5879491017683391</v>
      </c>
      <c r="R63" s="134">
        <f t="shared" si="18"/>
        <v>2.5879491017683391</v>
      </c>
      <c r="S63" s="199">
        <f>IF(G63&lt;0.1,K63,IF(C63=F63,S63/(1-I$4),IF(I$3=0,K63-(G63/C63)*K63*S$13,IF(OPFOKLEGHEN!$H$13="Parallel geschakeld met warmtewisselaar",K63-(K63-(K63-Q63)/I$4)*(G63/(C63-F63))*S$13,IF(OPFOKLEGHEN!$H$20="ja",K63-(K63-(K63-P63)/I$4)*(G63/(C63-MIN(D63,I$5)))*S$13,K63-(K63-(K63-P63)/I$4)*(G63/(C63-MIN(D63,I$5)))*S$13)))))</f>
        <v>2.5879491017683391</v>
      </c>
      <c r="T63" s="17">
        <f t="shared" si="42"/>
        <v>2.5879491017683391</v>
      </c>
      <c r="U63" s="6" t="e">
        <f t="shared" si="22"/>
        <v>#DIV/0!</v>
      </c>
      <c r="V63" s="129">
        <f>IF(OPFOKLEGHEN!$J$18="nee",H63/C63*K63,IF(OPFOKLEGHEN!$H$20="ja",O63-(K63-Q63)-(K63-S63),Q63-(K63-O63)-(K63-S63)))</f>
        <v>2.5879491017683391</v>
      </c>
      <c r="W63" s="162">
        <f>IF(H63=0,0,IF(OPFOKLEGHEN!$H$11="geen droogtunnel",IF(OPFOKLEGHEN!$H$15="geen warmtewisselaar",Q63-(K63-R63)))+IF(OPFOKLEGHEN!$H$12&gt;0,IF(OPFOKLEGHEN!$H$13="serie geschakeld met warmtewisselaar",(O63*80%-(K63-S63)),(Q63-(K63-S63)-(K63-T63))),(N63-(K63-S63))))</f>
        <v>5.1758982035366783</v>
      </c>
      <c r="X63" s="162">
        <f>IF(H63=0,0,IF(OPFOKLEGHEN!$H$11="geen droogtunnel",IF(OPFOKLEGHEN!$H$15="geen warmtewisselaar",Q63-(K63-R63)))+IF(OPFOKLEGHEN!$H$12&gt;0,IF(OPFOKLEGHEN!$H$13="serie geschakeld met warmtewisselaar",3*(O63*80%-(K63-S63)),(Q63-(K63-S63)-(K63-N63))),(N63-(K63-S63))))</f>
        <v>5.1758982035366783</v>
      </c>
      <c r="Y63" s="162">
        <f>IF(H63=0,0,IF(OPFOKLEGHEN!$H$11="geen droogtunnel",IF(OPFOKLEGHEN!$H$15="geen warmtewisselaar",Q63-(K63-R63)))+IF(OPFOKLEGHEN!$H$12&gt;0,IF(OPFOKLEGHEN!$H$13="serie geschakeld met warmtewisselaar",(O63-(K63-S63)),IF(OPFOKLEGHEN!$H$13="parallel geschakeld met warmtewisselaar",IF(OPFOKLEGHEN!$L$9="ja",IF(OPFOKLEGHEN!$J$18="nee",(N63-(K63-Q63)-(K63-S63)),(Q63-(K63-N63/80%)))))),(O63-(K63-S63))))</f>
        <v>5.1758982035366783</v>
      </c>
      <c r="Z63" s="130">
        <f t="shared" si="33"/>
        <v>1</v>
      </c>
      <c r="AA63" s="130"/>
      <c r="AB63" s="130"/>
      <c r="AC63" s="167">
        <f>IF(H63=0,0,IF(OPFOKLEGHEN!$H$11="geen droogtunnel",IF(OPFOKLEGHEN!$H$15="geen warmtewisselaar",(P63-(K63-R63)/R$13),K63-(K63-O63)/I$6-(K63-R63)/95%)+IF(OPFOKLEGHEN!$J$18="ja",(K63-O63)*(1-I$6)),IF(OPFOKLEGHEN!$H$12&gt;=0,IF(OPFOKLEGHEN!$L$9="ja",IF(OPFOKLEGHEN!$J$18="ja",IF(OPFOKLEGHEN!$H$20="ja",O63-(K63-S63),IF(OPFOKLEGHEN!$H$20="nee",(O63-(K63-S63)),(O63-(K63-S63)))),IF(OPFOKLEGHEN!$J$18="nee",IF(OPFOKLEGHEN!$H$20="nee",O63*80%-(K63-S63),0+O63-(K63-S63)))),IF(OPFOKLEGHEN!$L$9="nee",IF(OPFOKLEGHEN!$J$18="nee",IF(OPFOKLEGHEN!$H$20="nee",(O63*80%-(K63-S63)),O63*93%-(K63-S63)),IF(OPFOKLEGHEN!$H$20="nee",IF(OPFOKLEGHEN!$J$18="ja",IF(OPFOKLEGHEN!$L$9="nee",O63-(K63-S63))),O63-(K63-S63))))))))</f>
        <v>2.5879491017683391</v>
      </c>
      <c r="AD63" s="167" t="e">
        <f>IF(H63=0,0,IF(OPFOKLEGHEN!$H$11="geen droogtunnel",IF(OPFOKLEGHEN!$H$15="geen warmtewisselaar",(Q63-(K63-R63)/S$13),N63-(K63-R63)),IF(OPFOKLEGHEN!$H$12&gt;=0,IF(OPFOKLEGHEN!$L$9="ja",IF(OPFOKLEGHEN!$J$18="ja",IF(OPFOKLEGHEN!$H$20="ja",Q63-(K63-N63)-(K63-S63),IF(OPFOKLEGHEN!$H$20="nee",(Q63-(K63-N63)-(K63-S63)),(O63-(K63-S63)))),IF(OPFOKLEGHEN!$J$18="nee",IF(OPFOKLEGHEN!$H$20="nee",1*Q63*$N$135-(K63-N63)-(K63-S63),(Q63-(K63-N63)-(K63-S63))*N$135))),IF(OPFOKLEGHEN!$L$9="nee",IF(OPFOKLEGHEN!$J$18="nee",IF(OPFOKLEGHEN!$H$20="nee",(N63*95%-(K63-Q63)/I$4-(K63-S63)),N63-(K63-Q63)/I$4-(K63-S63)),IF(OPFOKLEGHEN!$H$20="nee",IF(OPFOKLEGHEN!$J$18="ja",IF(OPFOKLEGHEN!$L$9="nee",N63-(K63-Q63)/I$4-(K63-S63))),N63-(K63-Q63)/I$4-(K63-S63))))))))</f>
        <v>#DIV/0!</v>
      </c>
      <c r="AE63" s="29">
        <f t="shared" si="34"/>
        <v>0</v>
      </c>
      <c r="AF63" s="6">
        <f t="shared" si="35"/>
        <v>0.50355812942048617</v>
      </c>
      <c r="AG63" s="6">
        <f t="shared" si="36"/>
        <v>0</v>
      </c>
      <c r="AH63" s="4">
        <f t="shared" si="37"/>
        <v>0</v>
      </c>
      <c r="AI63" s="6">
        <f t="shared" si="19"/>
        <v>0.50355812942048617</v>
      </c>
      <c r="AJ63" s="6">
        <f t="shared" si="38"/>
        <v>0</v>
      </c>
      <c r="AK63" s="4">
        <f t="shared" si="39"/>
        <v>0.58668098555753589</v>
      </c>
      <c r="AL63" s="6">
        <f t="shared" si="40"/>
        <v>1.4180543023388162E-2</v>
      </c>
      <c r="AM63" s="1">
        <v>7</v>
      </c>
      <c r="AN63" s="1">
        <v>48</v>
      </c>
      <c r="AO63" s="5">
        <f t="shared" si="45"/>
        <v>537.39999999999986</v>
      </c>
      <c r="AP63" s="5">
        <f t="shared" si="46"/>
        <v>473.39999999999986</v>
      </c>
      <c r="AQ63" s="5">
        <f t="shared" si="20"/>
        <v>505.39999999999986</v>
      </c>
      <c r="AR63" s="100" t="e">
        <f t="shared" si="41"/>
        <v>#DIV/0!</v>
      </c>
    </row>
    <row r="64" spans="1:44" ht="13" x14ac:dyDescent="0.3">
      <c r="A64" s="1">
        <v>7</v>
      </c>
      <c r="B64" s="1">
        <v>49</v>
      </c>
      <c r="C64" s="4">
        <f t="shared" si="14"/>
        <v>0.59892994912749997</v>
      </c>
      <c r="D64" s="7">
        <f t="shared" si="0"/>
        <v>0</v>
      </c>
      <c r="E64" s="7">
        <f>IF(I$3=0,0,IF(OPFOKLEGHEN!$H$13="parallel geschakeld met warmtewisselaar",0,MIN(I$3,C64)))</f>
        <v>0</v>
      </c>
      <c r="F64" s="7">
        <f>IF(I$3=0,0,IF(OPFOKLEGHEN!$H$13="serie geschakeld met warmtewisselaar",0,IF(C64&lt;$I$3,C64-D64,MIN($I$3,C64-D64))))</f>
        <v>0</v>
      </c>
      <c r="G64" s="137">
        <f>IF(C64&lt;$I$7,MAX(0,C64-D64-E64-F64,IF(OPFOKLEGHEN!$H$15="warmtewisselaar",IF(OPFOKLEGHEN!$H$13="serie geschakeld met warmtewisselaar",MIN(I$7,MAX(0,C64-D64-F64)),MIN(I$7,MAX(0,C64-D64-E64-F64))))),IF(OPFOKLEGHEN!$H$13="parallel geschakeld met warmtewisselaar",MIN(I$7,C64-D64-E64-F64,MIN(I$7,C64-E64-F64)),MIN(I$7,MAX(0,C64-D64-F64))))</f>
        <v>0</v>
      </c>
      <c r="H64" s="7">
        <f>IF(OPFOKLEGHEN!$H$13="parallel geschakeld met warmtewisselaar",IF(OPFOKLEGHEN!$L$9="nee",IF(OPFOKLEGHEN!$J$18="ja",C64-F64-G64,C64-D64-F64-G64),IF(OPFOKLEGHEN!$L$9="ja",IF(OPFOKLEGHEN!$J$18="ja",C64-G64,IF(OPFOKLEGHEN!$J$18="nee",C64-D64-G64)))),IF(OPFOKLEGHEN!$H$13="serie geschakeld met warmtewisselaar",IF(OPFOKLEGHEN!$J$18="ja",C64-G64,C64-D64-F64-G64),C64-D64-F64-G64))</f>
        <v>0.59892994912749997</v>
      </c>
      <c r="I64" s="98">
        <f t="shared" si="15"/>
        <v>0.59892994912749997</v>
      </c>
      <c r="J64" s="99">
        <v>0.51290936655538244</v>
      </c>
      <c r="K64" s="6">
        <f t="shared" si="16"/>
        <v>2.6910437999659731</v>
      </c>
      <c r="L64" s="130">
        <f>SUM(K$16:K64)/$K$137</f>
        <v>6.4558614845369539E-2</v>
      </c>
      <c r="M64" s="6">
        <f t="shared" si="17"/>
        <v>1.505264226008364E-2</v>
      </c>
      <c r="N64" s="6">
        <f t="shared" si="30"/>
        <v>2.6910437999659731</v>
      </c>
      <c r="O64" s="6">
        <f>IF(E64&lt;I$3,P64*(1-I$6*D64/C64),IF(OPFOKLEGHEN!$H$11="droogtunnel (platen) 55%",P64*(1-$I$6)+(C64-D64)/C64*(K64-P64*(1-I$6)),P64*(1-$I$6)+(C64-D64)/C64*(K64-P64*(1-I$6))))</f>
        <v>2.6910437999659731</v>
      </c>
      <c r="P64" s="129">
        <f t="shared" si="31"/>
        <v>2.6910437999659731</v>
      </c>
      <c r="Q64" s="134">
        <f t="shared" si="32"/>
        <v>2.6910437999659731</v>
      </c>
      <c r="R64" s="134">
        <f t="shared" si="18"/>
        <v>2.6910437999659731</v>
      </c>
      <c r="S64" s="199">
        <f>IF(G64&lt;0.1,K64,IF(C64=F64,S64/(1-I$4),IF(I$3=0,K64-(G64/C64)*K64*S$13,IF(OPFOKLEGHEN!$H$13="Parallel geschakeld met warmtewisselaar",K64-(K64-(K64-Q64)/I$4)*(G64/(C64-F64))*S$13,IF(OPFOKLEGHEN!$H$20="ja",K64-(K64-(K64-P64)/I$4)*(G64/(C64-MIN(D64,I$5)))*S$13,K64-(K64-(K64-P64)/I$4)*(G64/(C64-MIN(D64,I$5)))*S$13)))))</f>
        <v>2.6910437999659731</v>
      </c>
      <c r="T64" s="17">
        <f t="shared" si="42"/>
        <v>2.6910437999659731</v>
      </c>
      <c r="U64" s="6" t="e">
        <f t="shared" si="22"/>
        <v>#DIV/0!</v>
      </c>
      <c r="V64" s="129">
        <f>IF(OPFOKLEGHEN!$J$18="nee",H64/C64*K64,IF(OPFOKLEGHEN!$H$20="ja",O64-(K64-Q64)-(K64-S64),Q64-(K64-O64)-(K64-S64)))</f>
        <v>2.6910437999659731</v>
      </c>
      <c r="W64" s="162">
        <f>IF(H64=0,0,IF(OPFOKLEGHEN!$H$11="geen droogtunnel",IF(OPFOKLEGHEN!$H$15="geen warmtewisselaar",Q64-(K64-R64)))+IF(OPFOKLEGHEN!$H$12&gt;0,IF(OPFOKLEGHEN!$H$13="serie geschakeld met warmtewisselaar",(O64*80%-(K64-S64)),(Q64-(K64-S64)-(K64-T64))),(N64-(K64-S64))))</f>
        <v>5.3820875999319462</v>
      </c>
      <c r="X64" s="162">
        <f>IF(H64=0,0,IF(OPFOKLEGHEN!$H$11="geen droogtunnel",IF(OPFOKLEGHEN!$H$15="geen warmtewisselaar",Q64-(K64-R64)))+IF(OPFOKLEGHEN!$H$12&gt;0,IF(OPFOKLEGHEN!$H$13="serie geschakeld met warmtewisselaar",3*(O64*80%-(K64-S64)),(Q64-(K64-S64)-(K64-N64))),(N64-(K64-S64))))</f>
        <v>5.3820875999319462</v>
      </c>
      <c r="Y64" s="162">
        <f>IF(H64=0,0,IF(OPFOKLEGHEN!$H$11="geen droogtunnel",IF(OPFOKLEGHEN!$H$15="geen warmtewisselaar",Q64-(K64-R64)))+IF(OPFOKLEGHEN!$H$12&gt;0,IF(OPFOKLEGHEN!$H$13="serie geschakeld met warmtewisselaar",(O64-(K64-S64)),IF(OPFOKLEGHEN!$H$13="parallel geschakeld met warmtewisselaar",IF(OPFOKLEGHEN!$L$9="ja",IF(OPFOKLEGHEN!$J$18="nee",(N64-(K64-Q64)-(K64-S64)),(Q64-(K64-N64/80%)))))),(O64-(K64-S64))))</f>
        <v>5.3820875999319462</v>
      </c>
      <c r="Z64" s="130">
        <f t="shared" si="33"/>
        <v>1</v>
      </c>
      <c r="AA64" s="130"/>
      <c r="AB64" s="130"/>
      <c r="AC64" s="167">
        <f>IF(H64=0,0,IF(OPFOKLEGHEN!$H$11="geen droogtunnel",IF(OPFOKLEGHEN!$H$15="geen warmtewisselaar",(P64-(K64-R64)/R$13),K64-(K64-O64)/I$6-(K64-R64)/95%)+IF(OPFOKLEGHEN!$J$18="ja",(K64-O64)*(1-I$6)),IF(OPFOKLEGHEN!$H$12&gt;=0,IF(OPFOKLEGHEN!$L$9="ja",IF(OPFOKLEGHEN!$J$18="ja",IF(OPFOKLEGHEN!$H$20="ja",O64-(K64-S64),IF(OPFOKLEGHEN!$H$20="nee",(O64-(K64-S64)),(O64-(K64-S64)))),IF(OPFOKLEGHEN!$J$18="nee",IF(OPFOKLEGHEN!$H$20="nee",O64*80%-(K64-S64),0+O64-(K64-S64)))),IF(OPFOKLEGHEN!$L$9="nee",IF(OPFOKLEGHEN!$J$18="nee",IF(OPFOKLEGHEN!$H$20="nee",(O64*80%-(K64-S64)),O64*93%-(K64-S64)),IF(OPFOKLEGHEN!$H$20="nee",IF(OPFOKLEGHEN!$J$18="ja",IF(OPFOKLEGHEN!$L$9="nee",O64-(K64-S64))),O64-(K64-S64))))))))</f>
        <v>2.6910437999659731</v>
      </c>
      <c r="AD64" s="167" t="e">
        <f>IF(H64=0,0,IF(OPFOKLEGHEN!$H$11="geen droogtunnel",IF(OPFOKLEGHEN!$H$15="geen warmtewisselaar",(Q64-(K64-R64)/S$13),N64-(K64-R64)),IF(OPFOKLEGHEN!$H$12&gt;=0,IF(OPFOKLEGHEN!$L$9="ja",IF(OPFOKLEGHEN!$J$18="ja",IF(OPFOKLEGHEN!$H$20="ja",Q64-(K64-N64)-(K64-S64),IF(OPFOKLEGHEN!$H$20="nee",(Q64-(K64-N64)-(K64-S64)),(O64-(K64-S64)))),IF(OPFOKLEGHEN!$J$18="nee",IF(OPFOKLEGHEN!$H$20="nee",1*Q64*$N$135-(K64-N64)-(K64-S64),(Q64-(K64-N64)-(K64-S64))*N$135))),IF(OPFOKLEGHEN!$L$9="nee",IF(OPFOKLEGHEN!$J$18="nee",IF(OPFOKLEGHEN!$H$20="nee",(N64*95%-(K64-Q64)/I$4-(K64-S64)),N64-(K64-Q64)/I$4-(K64-S64)),IF(OPFOKLEGHEN!$H$20="nee",IF(OPFOKLEGHEN!$J$18="ja",IF(OPFOKLEGHEN!$L$9="nee",N64-(K64-Q64)/I$4-(K64-S64))),N64-(K64-Q64)/I$4-(K64-S64))))))))</f>
        <v>#DIV/0!</v>
      </c>
      <c r="AE64" s="29">
        <f t="shared" si="34"/>
        <v>0</v>
      </c>
      <c r="AF64" s="6">
        <f t="shared" si="35"/>
        <v>0.51290936655538244</v>
      </c>
      <c r="AG64" s="6">
        <f t="shared" si="36"/>
        <v>0</v>
      </c>
      <c r="AH64" s="4">
        <f t="shared" si="37"/>
        <v>0</v>
      </c>
      <c r="AI64" s="6">
        <f t="shared" si="19"/>
        <v>0.51290936655538244</v>
      </c>
      <c r="AJ64" s="6">
        <f t="shared" si="38"/>
        <v>0</v>
      </c>
      <c r="AK64" s="4">
        <f t="shared" si="39"/>
        <v>0.59892994912749997</v>
      </c>
      <c r="AL64" s="6">
        <f t="shared" si="40"/>
        <v>1.505264226008364E-2</v>
      </c>
      <c r="AM64" s="1">
        <v>7</v>
      </c>
      <c r="AN64" s="1">
        <v>49</v>
      </c>
      <c r="AO64" s="5">
        <v>550</v>
      </c>
      <c r="AP64" s="5">
        <v>485</v>
      </c>
      <c r="AQ64" s="5">
        <f t="shared" si="20"/>
        <v>517.5</v>
      </c>
      <c r="AR64" s="100" t="e">
        <f t="shared" si="41"/>
        <v>#DIV/0!</v>
      </c>
    </row>
    <row r="65" spans="1:44" ht="13" x14ac:dyDescent="0.3">
      <c r="A65" s="1">
        <v>8</v>
      </c>
      <c r="B65" s="1">
        <v>50</v>
      </c>
      <c r="C65" s="4">
        <f t="shared" si="14"/>
        <v>0.61125331708818398</v>
      </c>
      <c r="D65" s="7">
        <f t="shared" si="0"/>
        <v>0</v>
      </c>
      <c r="E65" s="7">
        <f>IF(I$3=0,0,IF(OPFOKLEGHEN!$H$13="parallel geschakeld met warmtewisselaar",0,MIN(I$3,C65)))</f>
        <v>0</v>
      </c>
      <c r="F65" s="7">
        <f>IF(I$3=0,0,IF(OPFOKLEGHEN!$H$13="serie geschakeld met warmtewisselaar",0,IF(C65&lt;$I$3,C65-D65,MIN($I$3,C65-D65))))</f>
        <v>0</v>
      </c>
      <c r="G65" s="137">
        <f>IF(C65&lt;$I$7,MAX(0,C65-D65-E65-F65,IF(OPFOKLEGHEN!$H$15="warmtewisselaar",IF(OPFOKLEGHEN!$H$13="serie geschakeld met warmtewisselaar",MIN(I$7,MAX(0,C65-D65-F65)),MIN(I$7,MAX(0,C65-D65-E65-F65))))),IF(OPFOKLEGHEN!$H$13="parallel geschakeld met warmtewisselaar",MIN(I$7,C65-D65-E65-F65,MIN(I$7,C65-E65-F65)),MIN(I$7,MAX(0,C65-D65-F65))))</f>
        <v>0</v>
      </c>
      <c r="H65" s="7">
        <f>IF(OPFOKLEGHEN!$H$13="parallel geschakeld met warmtewisselaar",IF(OPFOKLEGHEN!$L$9="nee",IF(OPFOKLEGHEN!$J$18="ja",C65-F65-G65,C65-D65-F65-G65),IF(OPFOKLEGHEN!$L$9="ja",IF(OPFOKLEGHEN!$J$18="ja",C65-G65,IF(OPFOKLEGHEN!$J$18="nee",C65-D65-G65)))),IF(OPFOKLEGHEN!$H$13="serie geschakeld met warmtewisselaar",IF(OPFOKLEGHEN!$J$18="ja",C65-G65,C65-D65-F65-G65),C65-D65-F65-G65))</f>
        <v>0.61125331708818398</v>
      </c>
      <c r="I65" s="98">
        <f t="shared" si="15"/>
        <v>0.61125331708818398</v>
      </c>
      <c r="J65" s="99">
        <v>0.52243425918473718</v>
      </c>
      <c r="K65" s="6">
        <f t="shared" si="16"/>
        <v>2.797415543251685</v>
      </c>
      <c r="L65" s="130">
        <f>SUM(K$16:K65)/$K$137</f>
        <v>6.7834500674398238E-2</v>
      </c>
      <c r="M65" s="6">
        <f t="shared" si="17"/>
        <v>1.5966983694358932E-2</v>
      </c>
      <c r="N65" s="6">
        <f t="shared" si="30"/>
        <v>2.797415543251685</v>
      </c>
      <c r="O65" s="6">
        <f>IF(E65&lt;I$3,P65*(1-I$6*D65/C65),IF(OPFOKLEGHEN!$H$11="droogtunnel (platen) 55%",P65*(1-$I$6)+(C65-D65)/C65*(K65-P65*(1-I$6)),P65*(1-$I$6)+(C65-D65)/C65*(K65-P65*(1-I$6))))</f>
        <v>2.797415543251685</v>
      </c>
      <c r="P65" s="129">
        <f t="shared" si="31"/>
        <v>2.797415543251685</v>
      </c>
      <c r="Q65" s="134">
        <f t="shared" si="32"/>
        <v>2.797415543251685</v>
      </c>
      <c r="R65" s="134">
        <f t="shared" si="18"/>
        <v>2.797415543251685</v>
      </c>
      <c r="S65" s="199">
        <f>IF(G65&lt;0.1,K65,IF(C65=F65,S65/(1-I$4),IF(I$3=0,K65-(G65/C65)*K65*S$13,IF(OPFOKLEGHEN!$H$13="Parallel geschakeld met warmtewisselaar",K65-(K65-(K65-Q65)/I$4)*(G65/(C65-F65))*S$13,IF(OPFOKLEGHEN!$H$20="ja",K65-(K65-(K65-P65)/I$4)*(G65/(C65-MIN(D65,I$5)))*S$13,K65-(K65-(K65-P65)/I$4)*(G65/(C65-MIN(D65,I$5)))*S$13)))))</f>
        <v>2.797415543251685</v>
      </c>
      <c r="T65" s="17">
        <f t="shared" si="42"/>
        <v>2.797415543251685</v>
      </c>
      <c r="U65" s="6" t="e">
        <f t="shared" si="22"/>
        <v>#DIV/0!</v>
      </c>
      <c r="V65" s="129">
        <f>IF(OPFOKLEGHEN!$J$18="nee",H65/C65*K65,IF(OPFOKLEGHEN!$H$20="ja",O65-(K65-Q65)-(K65-S65),Q65-(K65-O65)-(K65-S65)))</f>
        <v>2.797415543251685</v>
      </c>
      <c r="W65" s="162">
        <f>IF(H65=0,0,IF(OPFOKLEGHEN!$H$11="geen droogtunnel",IF(OPFOKLEGHEN!$H$15="geen warmtewisselaar",Q65-(K65-R65)))+IF(OPFOKLEGHEN!$H$12&gt;0,IF(OPFOKLEGHEN!$H$13="serie geschakeld met warmtewisselaar",(O65*80%-(K65-S65)),(Q65-(K65-S65)-(K65-T65))),(N65-(K65-S65))))</f>
        <v>5.5948310865033699</v>
      </c>
      <c r="X65" s="162">
        <f>IF(H65=0,0,IF(OPFOKLEGHEN!$H$11="geen droogtunnel",IF(OPFOKLEGHEN!$H$15="geen warmtewisselaar",Q65-(K65-R65)))+IF(OPFOKLEGHEN!$H$12&gt;0,IF(OPFOKLEGHEN!$H$13="serie geschakeld met warmtewisselaar",3*(O65*80%-(K65-S65)),(Q65-(K65-S65)-(K65-N65))),(N65-(K65-S65))))</f>
        <v>5.5948310865033699</v>
      </c>
      <c r="Y65" s="162">
        <f>IF(H65=0,0,IF(OPFOKLEGHEN!$H$11="geen droogtunnel",IF(OPFOKLEGHEN!$H$15="geen warmtewisselaar",Q65-(K65-R65)))+IF(OPFOKLEGHEN!$H$12&gt;0,IF(OPFOKLEGHEN!$H$13="serie geschakeld met warmtewisselaar",(O65-(K65-S65)),IF(OPFOKLEGHEN!$H$13="parallel geschakeld met warmtewisselaar",IF(OPFOKLEGHEN!$L$9="ja",IF(OPFOKLEGHEN!$J$18="nee",(N65-(K65-Q65)-(K65-S65)),(Q65-(K65-N65/80%)))))),(O65-(K65-S65))))</f>
        <v>5.5948310865033699</v>
      </c>
      <c r="Z65" s="130">
        <f t="shared" si="33"/>
        <v>1</v>
      </c>
      <c r="AA65" s="130"/>
      <c r="AB65" s="130"/>
      <c r="AC65" s="167">
        <f>IF(H65=0,0,IF(OPFOKLEGHEN!$H$11="geen droogtunnel",IF(OPFOKLEGHEN!$H$15="geen warmtewisselaar",(P65-(K65-R65)/R$13),K65-(K65-O65)/I$6-(K65-R65)/95%)+IF(OPFOKLEGHEN!$J$18="ja",(K65-O65)*(1-I$6)),IF(OPFOKLEGHEN!$H$12&gt;=0,IF(OPFOKLEGHEN!$L$9="ja",IF(OPFOKLEGHEN!$J$18="ja",IF(OPFOKLEGHEN!$H$20="ja",O65-(K65-S65),IF(OPFOKLEGHEN!$H$20="nee",(O65-(K65-S65)),(O65-(K65-S65)))),IF(OPFOKLEGHEN!$J$18="nee",IF(OPFOKLEGHEN!$H$20="nee",O65*80%-(K65-S65),0+O65-(K65-S65)))),IF(OPFOKLEGHEN!$L$9="nee",IF(OPFOKLEGHEN!$J$18="nee",IF(OPFOKLEGHEN!$H$20="nee",(O65*80%-(K65-S65)),O65*93%-(K65-S65)),IF(OPFOKLEGHEN!$H$20="nee",IF(OPFOKLEGHEN!$J$18="ja",IF(OPFOKLEGHEN!$L$9="nee",O65-(K65-S65))),O65-(K65-S65))))))))</f>
        <v>2.797415543251685</v>
      </c>
      <c r="AD65" s="167" t="e">
        <f>IF(H65=0,0,IF(OPFOKLEGHEN!$H$11="geen droogtunnel",IF(OPFOKLEGHEN!$H$15="geen warmtewisselaar",(Q65-(K65-R65)/S$13),N65-(K65-R65)),IF(OPFOKLEGHEN!$H$12&gt;=0,IF(OPFOKLEGHEN!$L$9="ja",IF(OPFOKLEGHEN!$J$18="ja",IF(OPFOKLEGHEN!$H$20="ja",Q65-(K65-N65)-(K65-S65),IF(OPFOKLEGHEN!$H$20="nee",(Q65-(K65-N65)-(K65-S65)),(O65-(K65-S65)))),IF(OPFOKLEGHEN!$J$18="nee",IF(OPFOKLEGHEN!$H$20="nee",1*Q65*$N$135-(K65-N65)-(K65-S65),(Q65-(K65-N65)-(K65-S65))*N$135))),IF(OPFOKLEGHEN!$L$9="nee",IF(OPFOKLEGHEN!$J$18="nee",IF(OPFOKLEGHEN!$H$20="nee",(N65*95%-(K65-Q65)/I$4-(K65-S65)),N65-(K65-Q65)/I$4-(K65-S65)),IF(OPFOKLEGHEN!$H$20="nee",IF(OPFOKLEGHEN!$J$18="ja",IF(OPFOKLEGHEN!$L$9="nee",N65-(K65-Q65)/I$4-(K65-S65))),N65-(K65-Q65)/I$4-(K65-S65))))))))</f>
        <v>#DIV/0!</v>
      </c>
      <c r="AE65" s="29">
        <f t="shared" si="34"/>
        <v>0</v>
      </c>
      <c r="AF65" s="6">
        <f t="shared" si="35"/>
        <v>0.52243425918473718</v>
      </c>
      <c r="AG65" s="6">
        <f t="shared" si="36"/>
        <v>0</v>
      </c>
      <c r="AH65" s="4">
        <f t="shared" si="37"/>
        <v>0</v>
      </c>
      <c r="AI65" s="6">
        <f t="shared" si="19"/>
        <v>0.52243425918473718</v>
      </c>
      <c r="AJ65" s="6">
        <f t="shared" si="38"/>
        <v>0</v>
      </c>
      <c r="AK65" s="4">
        <f t="shared" si="39"/>
        <v>0.61125331708818398</v>
      </c>
      <c r="AL65" s="6">
        <f t="shared" si="40"/>
        <v>1.5966983694358932E-2</v>
      </c>
      <c r="AM65" s="1">
        <v>8</v>
      </c>
      <c r="AN65" s="1">
        <v>50</v>
      </c>
      <c r="AO65" s="5">
        <f>AO64+12.1</f>
        <v>562.1</v>
      </c>
      <c r="AP65" s="5">
        <f>AP64+12.1</f>
        <v>497.1</v>
      </c>
      <c r="AQ65" s="5">
        <f t="shared" si="20"/>
        <v>529.6</v>
      </c>
      <c r="AR65" s="100" t="e">
        <f t="shared" si="41"/>
        <v>#DIV/0!</v>
      </c>
    </row>
    <row r="66" spans="1:44" ht="13" x14ac:dyDescent="0.3">
      <c r="A66" s="1">
        <v>8</v>
      </c>
      <c r="B66" s="1">
        <v>51</v>
      </c>
      <c r="C66" s="4">
        <f t="shared" si="14"/>
        <v>0.623655171116132</v>
      </c>
      <c r="D66" s="7">
        <f t="shared" si="0"/>
        <v>0</v>
      </c>
      <c r="E66" s="7">
        <f>IF(I$3=0,0,IF(OPFOKLEGHEN!$H$13="parallel geschakeld met warmtewisselaar",0,MIN(I$3,C66)))</f>
        <v>0</v>
      </c>
      <c r="F66" s="7">
        <f>IF(I$3=0,0,IF(OPFOKLEGHEN!$H$13="serie geschakeld met warmtewisselaar",0,IF(C66&lt;$I$3,C66-D66,MIN($I$3,C66-D66))))</f>
        <v>0</v>
      </c>
      <c r="G66" s="137">
        <f>IF(C66&lt;$I$7,MAX(0,C66-D66-E66-F66,IF(OPFOKLEGHEN!$H$15="warmtewisselaar",IF(OPFOKLEGHEN!$H$13="serie geschakeld met warmtewisselaar",MIN(I$7,MAX(0,C66-D66-F66)),MIN(I$7,MAX(0,C66-D66-E66-F66))))),IF(OPFOKLEGHEN!$H$13="parallel geschakeld met warmtewisselaar",MIN(I$7,C66-D66-E66-F66,MIN(I$7,C66-E66-F66)),MIN(I$7,MAX(0,C66-D66-F66))))</f>
        <v>0</v>
      </c>
      <c r="H66" s="7">
        <f>IF(OPFOKLEGHEN!$H$13="parallel geschakeld met warmtewisselaar",IF(OPFOKLEGHEN!$L$9="nee",IF(OPFOKLEGHEN!$J$18="ja",C66-F66-G66,C66-D66-F66-G66),IF(OPFOKLEGHEN!$L$9="ja",IF(OPFOKLEGHEN!$J$18="ja",C66-G66,IF(OPFOKLEGHEN!$J$18="nee",C66-D66-G66)))),IF(OPFOKLEGHEN!$H$13="serie geschakeld met warmtewisselaar",IF(OPFOKLEGHEN!$J$18="ja",C66-G66,C66-D66-F66-G66),C66-D66-F66-G66))</f>
        <v>0.623655171116132</v>
      </c>
      <c r="I66" s="98">
        <f t="shared" si="15"/>
        <v>0.623655171116132</v>
      </c>
      <c r="J66" s="99">
        <v>0.53213603214718075</v>
      </c>
      <c r="K66" s="6">
        <f t="shared" si="16"/>
        <v>2.907175840507692</v>
      </c>
      <c r="L66" s="130">
        <f>SUM(K$16:K66)/$K$137</f>
        <v>7.1238920214923007E-2</v>
      </c>
      <c r="M66" s="6">
        <f t="shared" si="17"/>
        <v>1.6925338797476285E-2</v>
      </c>
      <c r="N66" s="6">
        <f t="shared" si="30"/>
        <v>2.907175840507692</v>
      </c>
      <c r="O66" s="6">
        <f>IF(E66&lt;I$3,P66*(1-I$6*D66/C66),IF(OPFOKLEGHEN!$H$11="droogtunnel (platen) 55%",P66*(1-$I$6)+(C66-D66)/C66*(K66-P66*(1-I$6)),P66*(1-$I$6)+(C66-D66)/C66*(K66-P66*(1-I$6))))</f>
        <v>2.907175840507692</v>
      </c>
      <c r="P66" s="129">
        <f t="shared" si="31"/>
        <v>2.907175840507692</v>
      </c>
      <c r="Q66" s="134">
        <f t="shared" si="32"/>
        <v>2.907175840507692</v>
      </c>
      <c r="R66" s="134">
        <f t="shared" si="18"/>
        <v>2.907175840507692</v>
      </c>
      <c r="S66" s="199">
        <f>IF(G66&lt;0.1,K66,IF(C66=F66,S66/(1-I$4),IF(I$3=0,K66-(G66/C66)*K66*S$13,IF(OPFOKLEGHEN!$H$13="Parallel geschakeld met warmtewisselaar",K66-(K66-(K66-Q66)/I$4)*(G66/(C66-F66))*S$13,IF(OPFOKLEGHEN!$H$20="ja",K66-(K66-(K66-P66)/I$4)*(G66/(C66-MIN(D66,I$5)))*S$13,K66-(K66-(K66-P66)/I$4)*(G66/(C66-MIN(D66,I$5)))*S$13)))))</f>
        <v>2.907175840507692</v>
      </c>
      <c r="T66" s="17">
        <f t="shared" si="42"/>
        <v>2.907175840507692</v>
      </c>
      <c r="U66" s="6" t="e">
        <f t="shared" si="22"/>
        <v>#DIV/0!</v>
      </c>
      <c r="V66" s="129">
        <f>IF(OPFOKLEGHEN!$J$18="nee",H66/C66*K66,IF(OPFOKLEGHEN!$H$20="ja",O66-(K66-Q66)-(K66-S66),Q66-(K66-O66)-(K66-S66)))</f>
        <v>2.907175840507692</v>
      </c>
      <c r="W66" s="162">
        <f>IF(H66=0,0,IF(OPFOKLEGHEN!$H$11="geen droogtunnel",IF(OPFOKLEGHEN!$H$15="geen warmtewisselaar",Q66-(K66-R66)))+IF(OPFOKLEGHEN!$H$12&gt;0,IF(OPFOKLEGHEN!$H$13="serie geschakeld met warmtewisselaar",(O66*80%-(K66-S66)),(Q66-(K66-S66)-(K66-T66))),(N66-(K66-S66))))</f>
        <v>5.8143516810153839</v>
      </c>
      <c r="X66" s="162">
        <f>IF(H66=0,0,IF(OPFOKLEGHEN!$H$11="geen droogtunnel",IF(OPFOKLEGHEN!$H$15="geen warmtewisselaar",Q66-(K66-R66)))+IF(OPFOKLEGHEN!$H$12&gt;0,IF(OPFOKLEGHEN!$H$13="serie geschakeld met warmtewisselaar",3*(O66*80%-(K66-S66)),(Q66-(K66-S66)-(K66-N66))),(N66-(K66-S66))))</f>
        <v>5.8143516810153839</v>
      </c>
      <c r="Y66" s="162">
        <f>IF(H66=0,0,IF(OPFOKLEGHEN!$H$11="geen droogtunnel",IF(OPFOKLEGHEN!$H$15="geen warmtewisselaar",Q66-(K66-R66)))+IF(OPFOKLEGHEN!$H$12&gt;0,IF(OPFOKLEGHEN!$H$13="serie geschakeld met warmtewisselaar",(O66-(K66-S66)),IF(OPFOKLEGHEN!$H$13="parallel geschakeld met warmtewisselaar",IF(OPFOKLEGHEN!$L$9="ja",IF(OPFOKLEGHEN!$J$18="nee",(N66-(K66-Q66)-(K66-S66)),(Q66-(K66-N66/80%)))))),(O66-(K66-S66))))</f>
        <v>5.8143516810153839</v>
      </c>
      <c r="Z66" s="130">
        <f t="shared" si="33"/>
        <v>1</v>
      </c>
      <c r="AA66" s="130"/>
      <c r="AB66" s="130"/>
      <c r="AC66" s="167">
        <f>IF(H66=0,0,IF(OPFOKLEGHEN!$H$11="geen droogtunnel",IF(OPFOKLEGHEN!$H$15="geen warmtewisselaar",(P66-(K66-R66)/R$13),K66-(K66-O66)/I$6-(K66-R66)/95%)+IF(OPFOKLEGHEN!$J$18="ja",(K66-O66)*(1-I$6)),IF(OPFOKLEGHEN!$H$12&gt;=0,IF(OPFOKLEGHEN!$L$9="ja",IF(OPFOKLEGHEN!$J$18="ja",IF(OPFOKLEGHEN!$H$20="ja",O66-(K66-S66),IF(OPFOKLEGHEN!$H$20="nee",(O66-(K66-S66)),(O66-(K66-S66)))),IF(OPFOKLEGHEN!$J$18="nee",IF(OPFOKLEGHEN!$H$20="nee",O66*80%-(K66-S66),0+O66-(K66-S66)))),IF(OPFOKLEGHEN!$L$9="nee",IF(OPFOKLEGHEN!$J$18="nee",IF(OPFOKLEGHEN!$H$20="nee",(O66*80%-(K66-S66)),O66*93%-(K66-S66)),IF(OPFOKLEGHEN!$H$20="nee",IF(OPFOKLEGHEN!$J$18="ja",IF(OPFOKLEGHEN!$L$9="nee",O66-(K66-S66))),O66-(K66-S66))))))))</f>
        <v>2.907175840507692</v>
      </c>
      <c r="AD66" s="167" t="e">
        <f>IF(H66=0,0,IF(OPFOKLEGHEN!$H$11="geen droogtunnel",IF(OPFOKLEGHEN!$H$15="geen warmtewisselaar",(Q66-(K66-R66)/S$13),N66-(K66-R66)),IF(OPFOKLEGHEN!$H$12&gt;=0,IF(OPFOKLEGHEN!$L$9="ja",IF(OPFOKLEGHEN!$J$18="ja",IF(OPFOKLEGHEN!$H$20="ja",Q66-(K66-N66)-(K66-S66),IF(OPFOKLEGHEN!$H$20="nee",(Q66-(K66-N66)-(K66-S66)),(O66-(K66-S66)))),IF(OPFOKLEGHEN!$J$18="nee",IF(OPFOKLEGHEN!$H$20="nee",1*Q66*$N$135-(K66-N66)-(K66-S66),(Q66-(K66-N66)-(K66-S66))*N$135))),IF(OPFOKLEGHEN!$L$9="nee",IF(OPFOKLEGHEN!$J$18="nee",IF(OPFOKLEGHEN!$H$20="nee",(N66*95%-(K66-Q66)/I$4-(K66-S66)),N66-(K66-Q66)/I$4-(K66-S66)),IF(OPFOKLEGHEN!$H$20="nee",IF(OPFOKLEGHEN!$J$18="ja",IF(OPFOKLEGHEN!$L$9="nee",N66-(K66-Q66)/I$4-(K66-S66))),N66-(K66-Q66)/I$4-(K66-S66))))))))</f>
        <v>#DIV/0!</v>
      </c>
      <c r="AE66" s="29">
        <f t="shared" si="34"/>
        <v>0</v>
      </c>
      <c r="AF66" s="6">
        <f t="shared" si="35"/>
        <v>0.53213603214718075</v>
      </c>
      <c r="AG66" s="6">
        <f t="shared" si="36"/>
        <v>0</v>
      </c>
      <c r="AH66" s="4">
        <f t="shared" si="37"/>
        <v>0</v>
      </c>
      <c r="AI66" s="6">
        <f t="shared" si="19"/>
        <v>0.53213603214718075</v>
      </c>
      <c r="AJ66" s="6">
        <f t="shared" si="38"/>
        <v>0</v>
      </c>
      <c r="AK66" s="4">
        <f t="shared" si="39"/>
        <v>0.623655171116132</v>
      </c>
      <c r="AL66" s="6">
        <f t="shared" si="40"/>
        <v>1.6925338797476285E-2</v>
      </c>
      <c r="AM66" s="1">
        <v>8</v>
      </c>
      <c r="AN66" s="1">
        <v>51</v>
      </c>
      <c r="AO66" s="5">
        <f t="shared" ref="AO66:AP70" si="47">AO65+12.1</f>
        <v>574.20000000000005</v>
      </c>
      <c r="AP66" s="5">
        <f t="shared" si="47"/>
        <v>509.20000000000005</v>
      </c>
      <c r="AQ66" s="5">
        <f t="shared" si="20"/>
        <v>541.70000000000005</v>
      </c>
      <c r="AR66" s="100" t="e">
        <f t="shared" si="41"/>
        <v>#DIV/0!</v>
      </c>
    </row>
    <row r="67" spans="1:44" ht="13" x14ac:dyDescent="0.3">
      <c r="A67" s="1">
        <v>8</v>
      </c>
      <c r="B67" s="1">
        <v>52</v>
      </c>
      <c r="C67" s="4">
        <f t="shared" si="14"/>
        <v>0.63613959288788802</v>
      </c>
      <c r="D67" s="7">
        <f t="shared" si="0"/>
        <v>0</v>
      </c>
      <c r="E67" s="7">
        <f>IF(I$3=0,0,IF(OPFOKLEGHEN!$H$13="parallel geschakeld met warmtewisselaar",0,MIN(I$3,C67)))</f>
        <v>0</v>
      </c>
      <c r="F67" s="7">
        <f>IF(I$3=0,0,IF(OPFOKLEGHEN!$H$13="serie geschakeld met warmtewisselaar",0,IF(C67&lt;$I$3,C67-D67,MIN($I$3,C67-D67))))</f>
        <v>0</v>
      </c>
      <c r="G67" s="137">
        <f>IF(C67&lt;$I$7,MAX(0,C67-D67-E67-F67,IF(OPFOKLEGHEN!$H$15="warmtewisselaar",IF(OPFOKLEGHEN!$H$13="serie geschakeld met warmtewisselaar",MIN(I$7,MAX(0,C67-D67-F67)),MIN(I$7,MAX(0,C67-D67-E67-F67))))),IF(OPFOKLEGHEN!$H$13="parallel geschakeld met warmtewisselaar",MIN(I$7,C67-D67-E67-F67,MIN(I$7,C67-E67-F67)),MIN(I$7,MAX(0,C67-D67-F67))))</f>
        <v>0</v>
      </c>
      <c r="H67" s="7">
        <f>IF(OPFOKLEGHEN!$H$13="parallel geschakeld met warmtewisselaar",IF(OPFOKLEGHEN!$L$9="nee",IF(OPFOKLEGHEN!$J$18="ja",C67-F67-G67,C67-D67-F67-G67),IF(OPFOKLEGHEN!$L$9="ja",IF(OPFOKLEGHEN!$J$18="ja",C67-G67,IF(OPFOKLEGHEN!$J$18="nee",C67-D67-G67)))),IF(OPFOKLEGHEN!$H$13="serie geschakeld met warmtewisselaar",IF(OPFOKLEGHEN!$J$18="ja",C67-G67,C67-D67-F67-G67),C67-D67-F67-G67))</f>
        <v>0.63613959288788802</v>
      </c>
      <c r="I67" s="98">
        <f t="shared" si="15"/>
        <v>0.63613959288788802</v>
      </c>
      <c r="J67" s="99">
        <v>0.54201797016763897</v>
      </c>
      <c r="K67" s="6">
        <f t="shared" si="16"/>
        <v>3.0204400361119648</v>
      </c>
      <c r="L67" s="130">
        <f>SUM(K$16:K67)/$K$137</f>
        <v>7.477597667248051E-2</v>
      </c>
      <c r="M67" s="6">
        <f t="shared" si="17"/>
        <v>1.7929552725778786E-2</v>
      </c>
      <c r="N67" s="6">
        <f t="shared" si="30"/>
        <v>3.0204400361119648</v>
      </c>
      <c r="O67" s="6">
        <f>IF(E67&lt;I$3,P67*(1-I$6*D67/C67),IF(OPFOKLEGHEN!$H$11="droogtunnel (platen) 55%",P67*(1-$I$6)+(C67-D67)/C67*(K67-P67*(1-I$6)),P67*(1-$I$6)+(C67-D67)/C67*(K67-P67*(1-I$6))))</f>
        <v>3.0204400361119648</v>
      </c>
      <c r="P67" s="129">
        <f t="shared" si="31"/>
        <v>3.0204400361119648</v>
      </c>
      <c r="Q67" s="134">
        <f t="shared" si="32"/>
        <v>3.0204400361119648</v>
      </c>
      <c r="R67" s="134">
        <f t="shared" si="18"/>
        <v>3.0204400361119648</v>
      </c>
      <c r="S67" s="199">
        <f>IF(G67&lt;0.1,K67,IF(C67=F67,S67/(1-I$4),IF(I$3=0,K67-(G67/C67)*K67*S$13,IF(OPFOKLEGHEN!$H$13="Parallel geschakeld met warmtewisselaar",K67-(K67-(K67-Q67)/I$4)*(G67/(C67-F67))*S$13,IF(OPFOKLEGHEN!$H$20="ja",K67-(K67-(K67-P67)/I$4)*(G67/(C67-MIN(D67,I$5)))*S$13,K67-(K67-(K67-P67)/I$4)*(G67/(C67-MIN(D67,I$5)))*S$13)))))</f>
        <v>3.0204400361119648</v>
      </c>
      <c r="T67" s="17">
        <f t="shared" si="42"/>
        <v>3.0204400361119648</v>
      </c>
      <c r="U67" s="6" t="e">
        <f t="shared" si="22"/>
        <v>#DIV/0!</v>
      </c>
      <c r="V67" s="129">
        <f>IF(OPFOKLEGHEN!$J$18="nee",H67/C67*K67,IF(OPFOKLEGHEN!$H$20="ja",O67-(K67-Q67)-(K67-S67),Q67-(K67-O67)-(K67-S67)))</f>
        <v>3.0204400361119648</v>
      </c>
      <c r="W67" s="162">
        <f>IF(H67=0,0,IF(OPFOKLEGHEN!$H$11="geen droogtunnel",IF(OPFOKLEGHEN!$H$15="geen warmtewisselaar",Q67-(K67-R67)))+IF(OPFOKLEGHEN!$H$12&gt;0,IF(OPFOKLEGHEN!$H$13="serie geschakeld met warmtewisselaar",(O67*80%-(K67-S67)),(Q67-(K67-S67)-(K67-T67))),(N67-(K67-S67))))</f>
        <v>6.0408800722239295</v>
      </c>
      <c r="X67" s="162">
        <f>IF(H67=0,0,IF(OPFOKLEGHEN!$H$11="geen droogtunnel",IF(OPFOKLEGHEN!$H$15="geen warmtewisselaar",Q67-(K67-R67)))+IF(OPFOKLEGHEN!$H$12&gt;0,IF(OPFOKLEGHEN!$H$13="serie geschakeld met warmtewisselaar",3*(O67*80%-(K67-S67)),(Q67-(K67-S67)-(K67-N67))),(N67-(K67-S67))))</f>
        <v>6.0408800722239295</v>
      </c>
      <c r="Y67" s="162">
        <f>IF(H67=0,0,IF(OPFOKLEGHEN!$H$11="geen droogtunnel",IF(OPFOKLEGHEN!$H$15="geen warmtewisselaar",Q67-(K67-R67)))+IF(OPFOKLEGHEN!$H$12&gt;0,IF(OPFOKLEGHEN!$H$13="serie geschakeld met warmtewisselaar",(O67-(K67-S67)),IF(OPFOKLEGHEN!$H$13="parallel geschakeld met warmtewisselaar",IF(OPFOKLEGHEN!$L$9="ja",IF(OPFOKLEGHEN!$J$18="nee",(N67-(K67-Q67)-(K67-S67)),(Q67-(K67-N67/80%)))))),(O67-(K67-S67))))</f>
        <v>6.0408800722239295</v>
      </c>
      <c r="Z67" s="130">
        <f t="shared" si="33"/>
        <v>1</v>
      </c>
      <c r="AA67" s="130"/>
      <c r="AB67" s="130"/>
      <c r="AC67" s="167">
        <f>IF(H67=0,0,IF(OPFOKLEGHEN!$H$11="geen droogtunnel",IF(OPFOKLEGHEN!$H$15="geen warmtewisselaar",(P67-(K67-R67)/R$13),K67-(K67-O67)/I$6-(K67-R67)/95%)+IF(OPFOKLEGHEN!$J$18="ja",(K67-O67)*(1-I$6)),IF(OPFOKLEGHEN!$H$12&gt;=0,IF(OPFOKLEGHEN!$L$9="ja",IF(OPFOKLEGHEN!$J$18="ja",IF(OPFOKLEGHEN!$H$20="ja",O67-(K67-S67),IF(OPFOKLEGHEN!$H$20="nee",(O67-(K67-S67)),(O67-(K67-S67)))),IF(OPFOKLEGHEN!$J$18="nee",IF(OPFOKLEGHEN!$H$20="nee",O67*80%-(K67-S67),0+O67-(K67-S67)))),IF(OPFOKLEGHEN!$L$9="nee",IF(OPFOKLEGHEN!$J$18="nee",IF(OPFOKLEGHEN!$H$20="nee",(O67*80%-(K67-S67)),O67*93%-(K67-S67)),IF(OPFOKLEGHEN!$H$20="nee",IF(OPFOKLEGHEN!$J$18="ja",IF(OPFOKLEGHEN!$L$9="nee",O67-(K67-S67))),O67-(K67-S67))))))))</f>
        <v>3.0204400361119648</v>
      </c>
      <c r="AD67" s="167" t="e">
        <f>IF(H67=0,0,IF(OPFOKLEGHEN!$H$11="geen droogtunnel",IF(OPFOKLEGHEN!$H$15="geen warmtewisselaar",(Q67-(K67-R67)/S$13),N67-(K67-R67)),IF(OPFOKLEGHEN!$H$12&gt;=0,IF(OPFOKLEGHEN!$L$9="ja",IF(OPFOKLEGHEN!$J$18="ja",IF(OPFOKLEGHEN!$H$20="ja",Q67-(K67-N67)-(K67-S67),IF(OPFOKLEGHEN!$H$20="nee",(Q67-(K67-N67)-(K67-S67)),(O67-(K67-S67)))),IF(OPFOKLEGHEN!$J$18="nee",IF(OPFOKLEGHEN!$H$20="nee",1*Q67*$N$135-(K67-N67)-(K67-S67),(Q67-(K67-N67)-(K67-S67))*N$135))),IF(OPFOKLEGHEN!$L$9="nee",IF(OPFOKLEGHEN!$J$18="nee",IF(OPFOKLEGHEN!$H$20="nee",(N67*95%-(K67-Q67)/I$4-(K67-S67)),N67-(K67-Q67)/I$4-(K67-S67)),IF(OPFOKLEGHEN!$H$20="nee",IF(OPFOKLEGHEN!$J$18="ja",IF(OPFOKLEGHEN!$L$9="nee",N67-(K67-Q67)/I$4-(K67-S67))),N67-(K67-Q67)/I$4-(K67-S67))))))))</f>
        <v>#DIV/0!</v>
      </c>
      <c r="AE67" s="29">
        <f t="shared" si="34"/>
        <v>0</v>
      </c>
      <c r="AF67" s="6">
        <f t="shared" si="35"/>
        <v>0.54201797016763897</v>
      </c>
      <c r="AG67" s="6">
        <f t="shared" si="36"/>
        <v>0</v>
      </c>
      <c r="AH67" s="4">
        <f t="shared" si="37"/>
        <v>0</v>
      </c>
      <c r="AI67" s="6">
        <f t="shared" si="19"/>
        <v>0.54201797016763897</v>
      </c>
      <c r="AJ67" s="6">
        <f t="shared" si="38"/>
        <v>0</v>
      </c>
      <c r="AK67" s="4">
        <f t="shared" si="39"/>
        <v>0.63613959288788802</v>
      </c>
      <c r="AL67" s="6">
        <f t="shared" si="40"/>
        <v>1.7929552725778786E-2</v>
      </c>
      <c r="AM67" s="1">
        <v>8</v>
      </c>
      <c r="AN67" s="1">
        <v>52</v>
      </c>
      <c r="AO67" s="5">
        <f t="shared" si="47"/>
        <v>586.30000000000007</v>
      </c>
      <c r="AP67" s="5">
        <f t="shared" si="47"/>
        <v>521.30000000000007</v>
      </c>
      <c r="AQ67" s="5">
        <f t="shared" si="20"/>
        <v>553.80000000000007</v>
      </c>
      <c r="AR67" s="100" t="e">
        <f t="shared" si="41"/>
        <v>#DIV/0!</v>
      </c>
    </row>
    <row r="68" spans="1:44" ht="13" x14ac:dyDescent="0.3">
      <c r="A68" s="1">
        <v>8</v>
      </c>
      <c r="B68" s="1">
        <v>53</v>
      </c>
      <c r="C68" s="4">
        <f t="shared" si="14"/>
        <v>0.648710664079996</v>
      </c>
      <c r="D68" s="7">
        <f t="shared" si="0"/>
        <v>0</v>
      </c>
      <c r="E68" s="7">
        <f>IF(I$3=0,0,IF(OPFOKLEGHEN!$H$13="parallel geschakeld met warmtewisselaar",0,MIN(I$3,C68)))</f>
        <v>0</v>
      </c>
      <c r="F68" s="7">
        <f>IF(I$3=0,0,IF(OPFOKLEGHEN!$H$13="serie geschakeld met warmtewisselaar",0,IF(C68&lt;$I$3,C68-D68,MIN($I$3,C68-D68))))</f>
        <v>0</v>
      </c>
      <c r="G68" s="137">
        <f>IF(C68&lt;$I$7,MAX(0,C68-D68-E68-F68,IF(OPFOKLEGHEN!$H$15="warmtewisselaar",IF(OPFOKLEGHEN!$H$13="serie geschakeld met warmtewisselaar",MIN(I$7,MAX(0,C68-D68-F68)),MIN(I$7,MAX(0,C68-D68-E68-F68))))),IF(OPFOKLEGHEN!$H$13="parallel geschakeld met warmtewisselaar",MIN(I$7,C68-D68-E68-F68,MIN(I$7,C68-E68-F68)),MIN(I$7,MAX(0,C68-D68-F68))))</f>
        <v>0</v>
      </c>
      <c r="H68" s="7">
        <f>IF(OPFOKLEGHEN!$H$13="parallel geschakeld met warmtewisselaar",IF(OPFOKLEGHEN!$L$9="nee",IF(OPFOKLEGHEN!$J$18="ja",C68-F68-G68,C68-D68-F68-G68),IF(OPFOKLEGHEN!$L$9="ja",IF(OPFOKLEGHEN!$J$18="ja",C68-G68,IF(OPFOKLEGHEN!$J$18="nee",C68-D68-G68)))),IF(OPFOKLEGHEN!$H$13="serie geschakeld met warmtewisselaar",IF(OPFOKLEGHEN!$J$18="ja",C68-G68,C68-D68-F68-G68),C68-D68-F68-G68))</f>
        <v>0.648710664079996</v>
      </c>
      <c r="I68" s="98">
        <f t="shared" si="15"/>
        <v>0.648710664079996</v>
      </c>
      <c r="J68" s="99">
        <v>0.55208341896944024</v>
      </c>
      <c r="K68" s="6">
        <f t="shared" si="16"/>
        <v>3.1373274358016494</v>
      </c>
      <c r="L68" s="130">
        <f>SUM(K$16:K68)/$K$137</f>
        <v>7.8449912964411977E-2</v>
      </c>
      <c r="M68" s="6">
        <f t="shared" si="17"/>
        <v>1.8981547271402676E-2</v>
      </c>
      <c r="N68" s="6">
        <f t="shared" si="30"/>
        <v>3.1373274358016494</v>
      </c>
      <c r="O68" s="6">
        <f>IF(E68&lt;I$3,P68*(1-I$6*D68/C68),IF(OPFOKLEGHEN!$H$11="droogtunnel (platen) 55%",P68*(1-$I$6)+(C68-D68)/C68*(K68-P68*(1-I$6)),P68*(1-$I$6)+(C68-D68)/C68*(K68-P68*(1-I$6))))</f>
        <v>3.1373274358016494</v>
      </c>
      <c r="P68" s="129">
        <f t="shared" si="31"/>
        <v>3.1373274358016494</v>
      </c>
      <c r="Q68" s="134">
        <f t="shared" si="32"/>
        <v>3.1373274358016494</v>
      </c>
      <c r="R68" s="134">
        <f t="shared" si="18"/>
        <v>3.1373274358016494</v>
      </c>
      <c r="S68" s="199">
        <f>IF(G68&lt;0.1,K68,IF(C68=F68,S68/(1-I$4),IF(I$3=0,K68-(G68/C68)*K68*S$13,IF(OPFOKLEGHEN!$H$13="Parallel geschakeld met warmtewisselaar",K68-(K68-(K68-Q68)/I$4)*(G68/(C68-F68))*S$13,IF(OPFOKLEGHEN!$H$20="ja",K68-(K68-(K68-P68)/I$4)*(G68/(C68-MIN(D68,I$5)))*S$13,K68-(K68-(K68-P68)/I$4)*(G68/(C68-MIN(D68,I$5)))*S$13)))))</f>
        <v>3.1373274358016494</v>
      </c>
      <c r="T68" s="17">
        <f t="shared" si="42"/>
        <v>3.1373274358016494</v>
      </c>
      <c r="U68" s="6" t="e">
        <f t="shared" si="22"/>
        <v>#DIV/0!</v>
      </c>
      <c r="V68" s="129">
        <f>IF(OPFOKLEGHEN!$J$18="nee",H68/C68*K68,IF(OPFOKLEGHEN!$H$20="ja",O68-(K68-Q68)-(K68-S68),Q68-(K68-O68)-(K68-S68)))</f>
        <v>3.1373274358016494</v>
      </c>
      <c r="W68" s="162">
        <f>IF(H68=0,0,IF(OPFOKLEGHEN!$H$11="geen droogtunnel",IF(OPFOKLEGHEN!$H$15="geen warmtewisselaar",Q68-(K68-R68)))+IF(OPFOKLEGHEN!$H$12&gt;0,IF(OPFOKLEGHEN!$H$13="serie geschakeld met warmtewisselaar",(O68*80%-(K68-S68)),(Q68-(K68-S68)-(K68-T68))),(N68-(K68-S68))))</f>
        <v>6.2746548716032988</v>
      </c>
      <c r="X68" s="162">
        <f>IF(H68=0,0,IF(OPFOKLEGHEN!$H$11="geen droogtunnel",IF(OPFOKLEGHEN!$H$15="geen warmtewisselaar",Q68-(K68-R68)))+IF(OPFOKLEGHEN!$H$12&gt;0,IF(OPFOKLEGHEN!$H$13="serie geschakeld met warmtewisselaar",3*(O68*80%-(K68-S68)),(Q68-(K68-S68)-(K68-N68))),(N68-(K68-S68))))</f>
        <v>6.2746548716032988</v>
      </c>
      <c r="Y68" s="162">
        <f>IF(H68=0,0,IF(OPFOKLEGHEN!$H$11="geen droogtunnel",IF(OPFOKLEGHEN!$H$15="geen warmtewisselaar",Q68-(K68-R68)))+IF(OPFOKLEGHEN!$H$12&gt;0,IF(OPFOKLEGHEN!$H$13="serie geschakeld met warmtewisselaar",(O68-(K68-S68)),IF(OPFOKLEGHEN!$H$13="parallel geschakeld met warmtewisselaar",IF(OPFOKLEGHEN!$L$9="ja",IF(OPFOKLEGHEN!$J$18="nee",(N68-(K68-Q68)-(K68-S68)),(Q68-(K68-N68/80%)))))),(O68-(K68-S68))))</f>
        <v>6.2746548716032988</v>
      </c>
      <c r="Z68" s="130">
        <f t="shared" si="33"/>
        <v>1</v>
      </c>
      <c r="AA68" s="130"/>
      <c r="AB68" s="130"/>
      <c r="AC68" s="167">
        <f>IF(H68=0,0,IF(OPFOKLEGHEN!$H$11="geen droogtunnel",IF(OPFOKLEGHEN!$H$15="geen warmtewisselaar",(P68-(K68-R68)/R$13),K68-(K68-O68)/I$6-(K68-R68)/95%)+IF(OPFOKLEGHEN!$J$18="ja",(K68-O68)*(1-I$6)),IF(OPFOKLEGHEN!$H$12&gt;=0,IF(OPFOKLEGHEN!$L$9="ja",IF(OPFOKLEGHEN!$J$18="ja",IF(OPFOKLEGHEN!$H$20="ja",O68-(K68-S68),IF(OPFOKLEGHEN!$H$20="nee",(O68-(K68-S68)),(O68-(K68-S68)))),IF(OPFOKLEGHEN!$J$18="nee",IF(OPFOKLEGHEN!$H$20="nee",O68*80%-(K68-S68),0+O68-(K68-S68)))),IF(OPFOKLEGHEN!$L$9="nee",IF(OPFOKLEGHEN!$J$18="nee",IF(OPFOKLEGHEN!$H$20="nee",(O68*80%-(K68-S68)),O68*93%-(K68-S68)),IF(OPFOKLEGHEN!$H$20="nee",IF(OPFOKLEGHEN!$J$18="ja",IF(OPFOKLEGHEN!$L$9="nee",O68-(K68-S68))),O68-(K68-S68))))))))</f>
        <v>3.1373274358016494</v>
      </c>
      <c r="AD68" s="167" t="e">
        <f>IF(H68=0,0,IF(OPFOKLEGHEN!$H$11="geen droogtunnel",IF(OPFOKLEGHEN!$H$15="geen warmtewisselaar",(Q68-(K68-R68)/S$13),N68-(K68-R68)),IF(OPFOKLEGHEN!$H$12&gt;=0,IF(OPFOKLEGHEN!$L$9="ja",IF(OPFOKLEGHEN!$J$18="ja",IF(OPFOKLEGHEN!$H$20="ja",Q68-(K68-N68)-(K68-S68),IF(OPFOKLEGHEN!$H$20="nee",(Q68-(K68-N68)-(K68-S68)),(O68-(K68-S68)))),IF(OPFOKLEGHEN!$J$18="nee",IF(OPFOKLEGHEN!$H$20="nee",1*Q68*$N$135-(K68-N68)-(K68-S68),(Q68-(K68-N68)-(K68-S68))*N$135))),IF(OPFOKLEGHEN!$L$9="nee",IF(OPFOKLEGHEN!$J$18="nee",IF(OPFOKLEGHEN!$H$20="nee",(N68*95%-(K68-Q68)/I$4-(K68-S68)),N68-(K68-Q68)/I$4-(K68-S68)),IF(OPFOKLEGHEN!$H$20="nee",IF(OPFOKLEGHEN!$J$18="ja",IF(OPFOKLEGHEN!$L$9="nee",N68-(K68-Q68)/I$4-(K68-S68))),N68-(K68-Q68)/I$4-(K68-S68))))))))</f>
        <v>#DIV/0!</v>
      </c>
      <c r="AE68" s="29">
        <f t="shared" si="34"/>
        <v>0</v>
      </c>
      <c r="AF68" s="6">
        <f t="shared" si="35"/>
        <v>0.55208341896944024</v>
      </c>
      <c r="AG68" s="6">
        <f t="shared" si="36"/>
        <v>0</v>
      </c>
      <c r="AH68" s="4">
        <f t="shared" si="37"/>
        <v>0</v>
      </c>
      <c r="AI68" s="6">
        <f t="shared" si="19"/>
        <v>0.55208341896944024</v>
      </c>
      <c r="AJ68" s="6">
        <f t="shared" si="38"/>
        <v>0</v>
      </c>
      <c r="AK68" s="4">
        <f t="shared" si="39"/>
        <v>0.648710664079996</v>
      </c>
      <c r="AL68" s="6">
        <f t="shared" si="40"/>
        <v>1.8981547271402676E-2</v>
      </c>
      <c r="AM68" s="1">
        <v>8</v>
      </c>
      <c r="AN68" s="1">
        <v>53</v>
      </c>
      <c r="AO68" s="5">
        <f t="shared" si="47"/>
        <v>598.40000000000009</v>
      </c>
      <c r="AP68" s="5">
        <f t="shared" si="47"/>
        <v>533.40000000000009</v>
      </c>
      <c r="AQ68" s="5">
        <f t="shared" si="20"/>
        <v>565.90000000000009</v>
      </c>
      <c r="AR68" s="100" t="e">
        <f t="shared" si="41"/>
        <v>#DIV/0!</v>
      </c>
    </row>
    <row r="69" spans="1:44" ht="13" x14ac:dyDescent="0.3">
      <c r="A69" s="1">
        <v>8</v>
      </c>
      <c r="B69" s="1">
        <v>54</v>
      </c>
      <c r="C69" s="4">
        <f t="shared" si="14"/>
        <v>0.66137246636900004</v>
      </c>
      <c r="D69" s="7">
        <f t="shared" si="0"/>
        <v>0</v>
      </c>
      <c r="E69" s="7">
        <f>IF(I$3=0,0,IF(OPFOKLEGHEN!$H$13="parallel geschakeld met warmtewisselaar",0,MIN(I$3,C69)))</f>
        <v>0</v>
      </c>
      <c r="F69" s="7">
        <f>IF(I$3=0,0,IF(OPFOKLEGHEN!$H$13="serie geschakeld met warmtewisselaar",0,IF(C69&lt;$I$3,C69-D69,MIN($I$3,C69-D69))))</f>
        <v>0</v>
      </c>
      <c r="G69" s="137">
        <f>IF(C69&lt;$I$7,MAX(0,C69-D69-E69-F69,IF(OPFOKLEGHEN!$H$15="warmtewisselaar",IF(OPFOKLEGHEN!$H$13="serie geschakeld met warmtewisselaar",MIN(I$7,MAX(0,C69-D69-F69)),MIN(I$7,MAX(0,C69-D69-E69-F69))))),IF(OPFOKLEGHEN!$H$13="parallel geschakeld met warmtewisselaar",MIN(I$7,C69-D69-E69-F69,MIN(I$7,C69-E69-F69)),MIN(I$7,MAX(0,C69-D69-F69))))</f>
        <v>0</v>
      </c>
      <c r="H69" s="7">
        <f>IF(OPFOKLEGHEN!$H$13="parallel geschakeld met warmtewisselaar",IF(OPFOKLEGHEN!$L$9="nee",IF(OPFOKLEGHEN!$J$18="ja",C69-F69-G69,C69-D69-F69-G69),IF(OPFOKLEGHEN!$L$9="ja",IF(OPFOKLEGHEN!$J$18="ja",C69-G69,IF(OPFOKLEGHEN!$J$18="nee",C69-D69-G69)))),IF(OPFOKLEGHEN!$H$13="serie geschakeld met warmtewisselaar",IF(OPFOKLEGHEN!$J$18="ja",C69-G69,C69-D69-F69-G69),C69-D69-F69-G69))</f>
        <v>0.66137246636900004</v>
      </c>
      <c r="I69" s="98">
        <f t="shared" si="15"/>
        <v>0.66137246636900004</v>
      </c>
      <c r="J69" s="99">
        <v>0.56233578640707649</v>
      </c>
      <c r="K69" s="6">
        <f t="shared" si="16"/>
        <v>3.2579614364163305</v>
      </c>
      <c r="L69" s="130">
        <f>SUM(K$16:K69)/$K$137</f>
        <v>8.2265116510708294E-2</v>
      </c>
      <c r="M69" s="6">
        <f t="shared" si="17"/>
        <v>2.0083323923114366E-2</v>
      </c>
      <c r="N69" s="6">
        <f t="shared" si="30"/>
        <v>3.2579614364163305</v>
      </c>
      <c r="O69" s="6">
        <f>IF(E69&lt;I$3,P69*(1-I$6*D69/C69),IF(OPFOKLEGHEN!$H$11="droogtunnel (platen) 55%",P69*(1-$I$6)+(C69-D69)/C69*(K69-P69*(1-I$6)),P69*(1-$I$6)+(C69-D69)/C69*(K69-P69*(1-I$6))))</f>
        <v>3.2579614364163305</v>
      </c>
      <c r="P69" s="129">
        <f t="shared" si="31"/>
        <v>3.2579614364163305</v>
      </c>
      <c r="Q69" s="134">
        <f t="shared" si="32"/>
        <v>3.2579614364163305</v>
      </c>
      <c r="R69" s="134">
        <f t="shared" si="18"/>
        <v>3.2579614364163305</v>
      </c>
      <c r="S69" s="199">
        <f>IF(G69&lt;0.1,K69,IF(C69=F69,S69/(1-I$4),IF(I$3=0,K69-(G69/C69)*K69*S$13,IF(OPFOKLEGHEN!$H$13="Parallel geschakeld met warmtewisselaar",K69-(K69-(K69-Q69)/I$4)*(G69/(C69-F69))*S$13,IF(OPFOKLEGHEN!$H$20="ja",K69-(K69-(K69-P69)/I$4)*(G69/(C69-MIN(D69,I$5)))*S$13,K69-(K69-(K69-P69)/I$4)*(G69/(C69-MIN(D69,I$5)))*S$13)))))</f>
        <v>3.2579614364163305</v>
      </c>
      <c r="T69" s="17">
        <f t="shared" si="42"/>
        <v>3.2579614364163305</v>
      </c>
      <c r="U69" s="6" t="e">
        <f t="shared" si="22"/>
        <v>#DIV/0!</v>
      </c>
      <c r="V69" s="129">
        <f>IF(OPFOKLEGHEN!$J$18="nee",H69/C69*K69,IF(OPFOKLEGHEN!$H$20="ja",O69-(K69-Q69)-(K69-S69),Q69-(K69-O69)-(K69-S69)))</f>
        <v>3.2579614364163305</v>
      </c>
      <c r="W69" s="162">
        <f>IF(H69=0,0,IF(OPFOKLEGHEN!$H$11="geen droogtunnel",IF(OPFOKLEGHEN!$H$15="geen warmtewisselaar",Q69-(K69-R69)))+IF(OPFOKLEGHEN!$H$12&gt;0,IF(OPFOKLEGHEN!$H$13="serie geschakeld met warmtewisselaar",(O69*80%-(K69-S69)),(Q69-(K69-S69)-(K69-T69))),(N69-(K69-S69))))</f>
        <v>6.515922872832661</v>
      </c>
      <c r="X69" s="162">
        <f>IF(H69=0,0,IF(OPFOKLEGHEN!$H$11="geen droogtunnel",IF(OPFOKLEGHEN!$H$15="geen warmtewisselaar",Q69-(K69-R69)))+IF(OPFOKLEGHEN!$H$12&gt;0,IF(OPFOKLEGHEN!$H$13="serie geschakeld met warmtewisselaar",3*(O69*80%-(K69-S69)),(Q69-(K69-S69)-(K69-N69))),(N69-(K69-S69))))</f>
        <v>6.515922872832661</v>
      </c>
      <c r="Y69" s="162">
        <f>IF(H69=0,0,IF(OPFOKLEGHEN!$H$11="geen droogtunnel",IF(OPFOKLEGHEN!$H$15="geen warmtewisselaar",Q69-(K69-R69)))+IF(OPFOKLEGHEN!$H$12&gt;0,IF(OPFOKLEGHEN!$H$13="serie geschakeld met warmtewisselaar",(O69-(K69-S69)),IF(OPFOKLEGHEN!$H$13="parallel geschakeld met warmtewisselaar",IF(OPFOKLEGHEN!$L$9="ja",IF(OPFOKLEGHEN!$J$18="nee",(N69-(K69-Q69)-(K69-S69)),(Q69-(K69-N69/80%)))))),(O69-(K69-S69))))</f>
        <v>6.515922872832661</v>
      </c>
      <c r="Z69" s="130">
        <f t="shared" si="33"/>
        <v>1</v>
      </c>
      <c r="AA69" s="130"/>
      <c r="AB69" s="130"/>
      <c r="AC69" s="167">
        <f>IF(H69=0,0,IF(OPFOKLEGHEN!$H$11="geen droogtunnel",IF(OPFOKLEGHEN!$H$15="geen warmtewisselaar",(P69-(K69-R69)/R$13),K69-(K69-O69)/I$6-(K69-R69)/95%)+IF(OPFOKLEGHEN!$J$18="ja",(K69-O69)*(1-I$6)),IF(OPFOKLEGHEN!$H$12&gt;=0,IF(OPFOKLEGHEN!$L$9="ja",IF(OPFOKLEGHEN!$J$18="ja",IF(OPFOKLEGHEN!$H$20="ja",O69-(K69-S69),IF(OPFOKLEGHEN!$H$20="nee",(O69-(K69-S69)),(O69-(K69-S69)))),IF(OPFOKLEGHEN!$J$18="nee",IF(OPFOKLEGHEN!$H$20="nee",O69*80%-(K69-S69),0+O69-(K69-S69)))),IF(OPFOKLEGHEN!$L$9="nee",IF(OPFOKLEGHEN!$J$18="nee",IF(OPFOKLEGHEN!$H$20="nee",(O69*80%-(K69-S69)),O69*93%-(K69-S69)),IF(OPFOKLEGHEN!$H$20="nee",IF(OPFOKLEGHEN!$J$18="ja",IF(OPFOKLEGHEN!$L$9="nee",O69-(K69-S69))),O69-(K69-S69))))))))</f>
        <v>3.2579614364163305</v>
      </c>
      <c r="AD69" s="167" t="e">
        <f>IF(H69=0,0,IF(OPFOKLEGHEN!$H$11="geen droogtunnel",IF(OPFOKLEGHEN!$H$15="geen warmtewisselaar",(Q69-(K69-R69)/S$13),N69-(K69-R69)),IF(OPFOKLEGHEN!$H$12&gt;=0,IF(OPFOKLEGHEN!$L$9="ja",IF(OPFOKLEGHEN!$J$18="ja",IF(OPFOKLEGHEN!$H$20="ja",Q69-(K69-N69)-(K69-S69),IF(OPFOKLEGHEN!$H$20="nee",(Q69-(K69-N69)-(K69-S69)),(O69-(K69-S69)))),IF(OPFOKLEGHEN!$J$18="nee",IF(OPFOKLEGHEN!$H$20="nee",1*Q69*$N$135-(K69-N69)-(K69-S69),(Q69-(K69-N69)-(K69-S69))*N$135))),IF(OPFOKLEGHEN!$L$9="nee",IF(OPFOKLEGHEN!$J$18="nee",IF(OPFOKLEGHEN!$H$20="nee",(N69*95%-(K69-Q69)/I$4-(K69-S69)),N69-(K69-Q69)/I$4-(K69-S69)),IF(OPFOKLEGHEN!$H$20="nee",IF(OPFOKLEGHEN!$J$18="ja",IF(OPFOKLEGHEN!$L$9="nee",N69-(K69-Q69)/I$4-(K69-S69))),N69-(K69-Q69)/I$4-(K69-S69))))))))</f>
        <v>#DIV/0!</v>
      </c>
      <c r="AE69" s="29">
        <f t="shared" si="34"/>
        <v>0</v>
      </c>
      <c r="AF69" s="6">
        <f t="shared" si="35"/>
        <v>0.56233578640707649</v>
      </c>
      <c r="AG69" s="6">
        <f t="shared" si="36"/>
        <v>0</v>
      </c>
      <c r="AH69" s="4">
        <f t="shared" si="37"/>
        <v>0</v>
      </c>
      <c r="AI69" s="6">
        <f t="shared" si="19"/>
        <v>0.56233578640707649</v>
      </c>
      <c r="AJ69" s="6">
        <f t="shared" si="38"/>
        <v>0</v>
      </c>
      <c r="AK69" s="4">
        <f t="shared" si="39"/>
        <v>0.66137246636900004</v>
      </c>
      <c r="AL69" s="6">
        <f t="shared" si="40"/>
        <v>2.0083323923114366E-2</v>
      </c>
      <c r="AM69" s="1">
        <v>8</v>
      </c>
      <c r="AN69" s="1">
        <v>54</v>
      </c>
      <c r="AO69" s="5">
        <f t="shared" si="47"/>
        <v>610.50000000000011</v>
      </c>
      <c r="AP69" s="5">
        <f t="shared" si="47"/>
        <v>545.50000000000011</v>
      </c>
      <c r="AQ69" s="5">
        <f t="shared" si="20"/>
        <v>578.00000000000011</v>
      </c>
      <c r="AR69" s="100" t="e">
        <f t="shared" si="41"/>
        <v>#DIV/0!</v>
      </c>
    </row>
    <row r="70" spans="1:44" ht="13" x14ac:dyDescent="0.3">
      <c r="A70" s="1">
        <v>8</v>
      </c>
      <c r="B70" s="1">
        <v>55</v>
      </c>
      <c r="C70" s="4">
        <f t="shared" si="14"/>
        <v>0.67412908143144412</v>
      </c>
      <c r="D70" s="7">
        <f t="shared" si="0"/>
        <v>0</v>
      </c>
      <c r="E70" s="7">
        <f>IF(I$3=0,0,IF(OPFOKLEGHEN!$H$13="parallel geschakeld met warmtewisselaar",0,MIN(I$3,C70)))</f>
        <v>0</v>
      </c>
      <c r="F70" s="7">
        <f>IF(I$3=0,0,IF(OPFOKLEGHEN!$H$13="serie geschakeld met warmtewisselaar",0,IF(C70&lt;$I$3,C70-D70,MIN($I$3,C70-D70))))</f>
        <v>0</v>
      </c>
      <c r="G70" s="137">
        <f>IF(C70&lt;$I$7,MAX(0,C70-D70-E70-F70,IF(OPFOKLEGHEN!$H$15="warmtewisselaar",IF(OPFOKLEGHEN!$H$13="serie geschakeld met warmtewisselaar",MIN(I$7,MAX(0,C70-D70-F70)),MIN(I$7,MAX(0,C70-D70-E70-F70))))),IF(OPFOKLEGHEN!$H$13="parallel geschakeld met warmtewisselaar",MIN(I$7,C70-D70-E70-F70,MIN(I$7,C70-E70-F70)),MIN(I$7,MAX(0,C70-D70-F70))))</f>
        <v>0</v>
      </c>
      <c r="H70" s="7">
        <f>IF(OPFOKLEGHEN!$H$13="parallel geschakeld met warmtewisselaar",IF(OPFOKLEGHEN!$L$9="nee",IF(OPFOKLEGHEN!$J$18="ja",C70-F70-G70,C70-D70-F70-G70),IF(OPFOKLEGHEN!$L$9="ja",IF(OPFOKLEGHEN!$J$18="ja",C70-G70,IF(OPFOKLEGHEN!$J$18="nee",C70-D70-G70)))),IF(OPFOKLEGHEN!$H$13="serie geschakeld met warmtewisselaar",IF(OPFOKLEGHEN!$J$18="ja",C70-G70,C70-D70-F70-G70),C70-D70-F70-G70))</f>
        <v>0.67412908143144412</v>
      </c>
      <c r="I70" s="98">
        <f t="shared" si="15"/>
        <v>0.67412908143144412</v>
      </c>
      <c r="J70" s="99">
        <v>0.5727785436199978</v>
      </c>
      <c r="K70" s="6">
        <f t="shared" si="16"/>
        <v>3.3824696596338995</v>
      </c>
      <c r="L70" s="130">
        <f>SUM(K$16:K70)/$K$137</f>
        <v>8.6226124181465094E-2</v>
      </c>
      <c r="M70" s="6">
        <f t="shared" si="17"/>
        <v>2.1236967041080419E-2</v>
      </c>
      <c r="N70" s="6">
        <f t="shared" si="30"/>
        <v>3.3824696596338995</v>
      </c>
      <c r="O70" s="6">
        <f>IF(E70&lt;I$3,P70*(1-I$6*D70/C70),IF(OPFOKLEGHEN!$H$11="droogtunnel (platen) 55%",P70*(1-$I$6)+(C70-D70)/C70*(K70-P70*(1-I$6)),P70*(1-$I$6)+(C70-D70)/C70*(K70-P70*(1-I$6))))</f>
        <v>3.3824696596338995</v>
      </c>
      <c r="P70" s="129">
        <f t="shared" si="31"/>
        <v>3.3824696596338995</v>
      </c>
      <c r="Q70" s="134">
        <f t="shared" si="32"/>
        <v>3.3824696596338995</v>
      </c>
      <c r="R70" s="134">
        <f t="shared" si="18"/>
        <v>3.3824696596338995</v>
      </c>
      <c r="S70" s="199">
        <f>IF(G70&lt;0.1,K70,IF(C70=F70,S70/(1-I$4),IF(I$3=0,K70-(G70/C70)*K70*S$13,IF(OPFOKLEGHEN!$H$13="Parallel geschakeld met warmtewisselaar",K70-(K70-(K70-Q70)/I$4)*(G70/(C70-F70))*S$13,IF(OPFOKLEGHEN!$H$20="ja",K70-(K70-(K70-P70)/I$4)*(G70/(C70-MIN(D70,I$5)))*S$13,K70-(K70-(K70-P70)/I$4)*(G70/(C70-MIN(D70,I$5)))*S$13)))))</f>
        <v>3.3824696596338995</v>
      </c>
      <c r="T70" s="17">
        <f t="shared" si="42"/>
        <v>3.3824696596338995</v>
      </c>
      <c r="U70" s="6" t="e">
        <f t="shared" si="22"/>
        <v>#DIV/0!</v>
      </c>
      <c r="V70" s="129">
        <f>IF(OPFOKLEGHEN!$J$18="nee",H70/C70*K70,IF(OPFOKLEGHEN!$H$20="ja",O70-(K70-Q70)-(K70-S70),Q70-(K70-O70)-(K70-S70)))</f>
        <v>3.3824696596338995</v>
      </c>
      <c r="W70" s="162">
        <f>IF(H70=0,0,IF(OPFOKLEGHEN!$H$11="geen droogtunnel",IF(OPFOKLEGHEN!$H$15="geen warmtewisselaar",Q70-(K70-R70)))+IF(OPFOKLEGHEN!$H$12&gt;0,IF(OPFOKLEGHEN!$H$13="serie geschakeld met warmtewisselaar",(O70*80%-(K70-S70)),(Q70-(K70-S70)-(K70-T70))),(N70-(K70-S70))))</f>
        <v>6.7649393192677989</v>
      </c>
      <c r="X70" s="162">
        <f>IF(H70=0,0,IF(OPFOKLEGHEN!$H$11="geen droogtunnel",IF(OPFOKLEGHEN!$H$15="geen warmtewisselaar",Q70-(K70-R70)))+IF(OPFOKLEGHEN!$H$12&gt;0,IF(OPFOKLEGHEN!$H$13="serie geschakeld met warmtewisselaar",3*(O70*80%-(K70-S70)),(Q70-(K70-S70)-(K70-N70))),(N70-(K70-S70))))</f>
        <v>6.7649393192677989</v>
      </c>
      <c r="Y70" s="162">
        <f>IF(H70=0,0,IF(OPFOKLEGHEN!$H$11="geen droogtunnel",IF(OPFOKLEGHEN!$H$15="geen warmtewisselaar",Q70-(K70-R70)))+IF(OPFOKLEGHEN!$H$12&gt;0,IF(OPFOKLEGHEN!$H$13="serie geschakeld met warmtewisselaar",(O70-(K70-S70)),IF(OPFOKLEGHEN!$H$13="parallel geschakeld met warmtewisselaar",IF(OPFOKLEGHEN!$L$9="ja",IF(OPFOKLEGHEN!$J$18="nee",(N70-(K70-Q70)-(K70-S70)),(Q70-(K70-N70/80%)))))),(O70-(K70-S70))))</f>
        <v>6.7649393192677989</v>
      </c>
      <c r="Z70" s="130">
        <f t="shared" si="33"/>
        <v>1</v>
      </c>
      <c r="AA70" s="130"/>
      <c r="AB70" s="130"/>
      <c r="AC70" s="167">
        <f>IF(H70=0,0,IF(OPFOKLEGHEN!$H$11="geen droogtunnel",IF(OPFOKLEGHEN!$H$15="geen warmtewisselaar",(P70-(K70-R70)/R$13),K70-(K70-O70)/I$6-(K70-R70)/95%)+IF(OPFOKLEGHEN!$J$18="ja",(K70-O70)*(1-I$6)),IF(OPFOKLEGHEN!$H$12&gt;=0,IF(OPFOKLEGHEN!$L$9="ja",IF(OPFOKLEGHEN!$J$18="ja",IF(OPFOKLEGHEN!$H$20="ja",O70-(K70-S70),IF(OPFOKLEGHEN!$H$20="nee",(O70-(K70-S70)),(O70-(K70-S70)))),IF(OPFOKLEGHEN!$J$18="nee",IF(OPFOKLEGHEN!$H$20="nee",O70*80%-(K70-S70),0+O70-(K70-S70)))),IF(OPFOKLEGHEN!$L$9="nee",IF(OPFOKLEGHEN!$J$18="nee",IF(OPFOKLEGHEN!$H$20="nee",(O70*80%-(K70-S70)),O70*93%-(K70-S70)),IF(OPFOKLEGHEN!$H$20="nee",IF(OPFOKLEGHEN!$J$18="ja",IF(OPFOKLEGHEN!$L$9="nee",O70-(K70-S70))),O70-(K70-S70))))))))</f>
        <v>3.3824696596338995</v>
      </c>
      <c r="AD70" s="167" t="e">
        <f>IF(H70=0,0,IF(OPFOKLEGHEN!$H$11="geen droogtunnel",IF(OPFOKLEGHEN!$H$15="geen warmtewisselaar",(Q70-(K70-R70)/S$13),N70-(K70-R70)),IF(OPFOKLEGHEN!$H$12&gt;=0,IF(OPFOKLEGHEN!$L$9="ja",IF(OPFOKLEGHEN!$J$18="ja",IF(OPFOKLEGHEN!$H$20="ja",Q70-(K70-N70)-(K70-S70),IF(OPFOKLEGHEN!$H$20="nee",(Q70-(K70-N70)-(K70-S70)),(O70-(K70-S70)))),IF(OPFOKLEGHEN!$J$18="nee",IF(OPFOKLEGHEN!$H$20="nee",1*Q70*$N$135-(K70-N70)-(K70-S70),(Q70-(K70-N70)-(K70-S70))*N$135))),IF(OPFOKLEGHEN!$L$9="nee",IF(OPFOKLEGHEN!$J$18="nee",IF(OPFOKLEGHEN!$H$20="nee",(N70*95%-(K70-Q70)/I$4-(K70-S70)),N70-(K70-Q70)/I$4-(K70-S70)),IF(OPFOKLEGHEN!$H$20="nee",IF(OPFOKLEGHEN!$J$18="ja",IF(OPFOKLEGHEN!$L$9="nee",N70-(K70-Q70)/I$4-(K70-S70))),N70-(K70-Q70)/I$4-(K70-S70))))))))</f>
        <v>#DIV/0!</v>
      </c>
      <c r="AE70" s="29">
        <f t="shared" si="34"/>
        <v>0</v>
      </c>
      <c r="AF70" s="6">
        <f t="shared" si="35"/>
        <v>0.5727785436199978</v>
      </c>
      <c r="AG70" s="6">
        <f t="shared" si="36"/>
        <v>0</v>
      </c>
      <c r="AH70" s="4">
        <f t="shared" si="37"/>
        <v>0</v>
      </c>
      <c r="AI70" s="6">
        <f t="shared" si="19"/>
        <v>0.5727785436199978</v>
      </c>
      <c r="AJ70" s="6">
        <f t="shared" si="38"/>
        <v>0</v>
      </c>
      <c r="AK70" s="4">
        <f t="shared" si="39"/>
        <v>0.67412908143144412</v>
      </c>
      <c r="AL70" s="6">
        <f t="shared" si="40"/>
        <v>2.1236967041080419E-2</v>
      </c>
      <c r="AM70" s="1">
        <v>8</v>
      </c>
      <c r="AN70" s="1">
        <v>55</v>
      </c>
      <c r="AO70" s="5">
        <f t="shared" si="47"/>
        <v>622.60000000000014</v>
      </c>
      <c r="AP70" s="5">
        <f t="shared" si="47"/>
        <v>557.60000000000014</v>
      </c>
      <c r="AQ70" s="5">
        <f t="shared" si="20"/>
        <v>590.10000000000014</v>
      </c>
      <c r="AR70" s="100" t="e">
        <f t="shared" si="41"/>
        <v>#DIV/0!</v>
      </c>
    </row>
    <row r="71" spans="1:44" ht="13" x14ac:dyDescent="0.3">
      <c r="A71" s="1">
        <v>8</v>
      </c>
      <c r="B71" s="1">
        <v>56</v>
      </c>
      <c r="C71" s="4">
        <f t="shared" si="14"/>
        <v>0.68730461394249998</v>
      </c>
      <c r="D71" s="7">
        <f>MIN(C71,J$5)</f>
        <v>0</v>
      </c>
      <c r="E71" s="7">
        <f>IF(I$3=0,0,IF(OPFOKLEGHEN!$H$13="parallel geschakeld met warmtewisselaar",0,MIN(I$3,C71)))</f>
        <v>0</v>
      </c>
      <c r="F71" s="7">
        <f>IF(I$3=0,0,IF(OPFOKLEGHEN!$H$13="serie geschakeld met warmtewisselaar",0,IF(C71&lt;$I$3,C71-D71,MIN($I$3,C71-D71))))</f>
        <v>0</v>
      </c>
      <c r="G71" s="137">
        <f>IF(C71&lt;$I$7,MAX(0,C71-D71-E71-F71,IF(OPFOKLEGHEN!$H$15="warmtewisselaar",IF(OPFOKLEGHEN!$H$13="serie geschakeld met warmtewisselaar",MIN(I$7,MAX(0,C71-D71-F71)),MIN(I$7,MAX(0,C71-D71-E71-F71))))),IF(OPFOKLEGHEN!$H$13="parallel geschakeld met warmtewisselaar",MIN(I$7,C71-D71-E71-F71,MIN(I$7,C71-E71-F71)),MIN(I$7,MAX(0,C71-D71-F71))))</f>
        <v>0</v>
      </c>
      <c r="H71" s="7">
        <f>IF(OPFOKLEGHEN!$H$13="parallel geschakeld met warmtewisselaar",IF(OPFOKLEGHEN!$L$9="nee",IF(OPFOKLEGHEN!$J$18="ja",C71-F71-G71,C71-D71-F71-G71),IF(OPFOKLEGHEN!$L$9="ja",IF(OPFOKLEGHEN!$J$18="ja",C71-G71,IF(OPFOKLEGHEN!$J$18="nee",C71-D71-G71)))),IF(OPFOKLEGHEN!$H$13="serie geschakeld met warmtewisselaar",IF(OPFOKLEGHEN!$J$18="ja",C71-G71,C71-D71-F71-G71),C71-D71-F71-G71))</f>
        <v>0.68730461394249998</v>
      </c>
      <c r="I71" s="98">
        <f t="shared" si="15"/>
        <v>0.68730461394249998</v>
      </c>
      <c r="J71" s="99">
        <v>0.5834152262078357</v>
      </c>
      <c r="K71" s="6">
        <f t="shared" si="16"/>
        <v>3.5126196369165066</v>
      </c>
      <c r="L71" s="130">
        <f>SUM(K$16:K71)/$K$137</f>
        <v>9.0339542697030775E-2</v>
      </c>
      <c r="M71" s="6">
        <f t="shared" si="17"/>
        <v>2.2455102701749354E-2</v>
      </c>
      <c r="N71" s="6">
        <f t="shared" si="30"/>
        <v>3.5126196369165066</v>
      </c>
      <c r="O71" s="6">
        <f>IF(E71&lt;I$3,P71*(1-I$6*D71/C71),IF(OPFOKLEGHEN!$H$11="droogtunnel (platen) 55%",P71*(1-$I$6)+(C71-D71)/C71*(K71-P71*(1-I$6)),P71*(1-$I$6)+(C71-D71)/C71*(K71-P71*(1-I$6))))</f>
        <v>3.5126196369165066</v>
      </c>
      <c r="P71" s="129">
        <f t="shared" si="31"/>
        <v>3.5126196369165066</v>
      </c>
      <c r="Q71" s="134">
        <f t="shared" si="32"/>
        <v>3.5126196369165066</v>
      </c>
      <c r="R71" s="134">
        <f t="shared" si="18"/>
        <v>3.5126196369165066</v>
      </c>
      <c r="S71" s="199">
        <f>IF(G71&lt;0.1,K71,IF(C71=F71,S71/(1-I$4),IF(I$3=0,K71-(G71/C71)*K71*S$13,IF(OPFOKLEGHEN!$H$13="Parallel geschakeld met warmtewisselaar",K71-(K71-(K71-Q71)/I$4)*(G71/(C71-F71))*S$13,IF(OPFOKLEGHEN!$H$20="ja",K71-(K71-(K71-P71)/I$4)*(G71/(C71-MIN(D71,I$5)))*S$13,K71-(K71-(K71-P71)/I$4)*(G71/(C71-MIN(D71,I$5)))*S$13)))))</f>
        <v>3.5126196369165066</v>
      </c>
      <c r="T71" s="17">
        <f t="shared" si="42"/>
        <v>3.5126196369165066</v>
      </c>
      <c r="U71" s="6" t="e">
        <f t="shared" si="22"/>
        <v>#DIV/0!</v>
      </c>
      <c r="V71" s="129">
        <f>IF(OPFOKLEGHEN!$J$18="nee",H71/C71*K71,IF(OPFOKLEGHEN!$H$20="ja",O71-(K71-Q71)-(K71-S71),Q71-(K71-O71)-(K71-S71)))</f>
        <v>3.5126196369165066</v>
      </c>
      <c r="W71" s="162">
        <f>IF(H71=0,0,IF(OPFOKLEGHEN!$H$11="geen droogtunnel",IF(OPFOKLEGHEN!$H$15="geen warmtewisselaar",Q71-(K71-R71)))+IF(OPFOKLEGHEN!$H$12&gt;0,IF(OPFOKLEGHEN!$H$13="serie geschakeld met warmtewisselaar",(O71*80%-(K71-S71)),(Q71-(K71-S71)-(K71-T71))),(N71-(K71-S71))))</f>
        <v>7.0252392738330132</v>
      </c>
      <c r="X71" s="162">
        <f>IF(H71=0,0,IF(OPFOKLEGHEN!$H$11="geen droogtunnel",IF(OPFOKLEGHEN!$H$15="geen warmtewisselaar",Q71-(K71-R71)))+IF(OPFOKLEGHEN!$H$12&gt;0,IF(OPFOKLEGHEN!$H$13="serie geschakeld met warmtewisselaar",3*(O71*80%-(K71-S71)),(Q71-(K71-S71)-(K71-N71))),(N71-(K71-S71))))</f>
        <v>7.0252392738330132</v>
      </c>
      <c r="Y71" s="162">
        <f>IF(H71=0,0,IF(OPFOKLEGHEN!$H$11="geen droogtunnel",IF(OPFOKLEGHEN!$H$15="geen warmtewisselaar",Q71-(K71-R71)))+IF(OPFOKLEGHEN!$H$12&gt;0,IF(OPFOKLEGHEN!$H$13="serie geschakeld met warmtewisselaar",(O71-(K71-S71)),IF(OPFOKLEGHEN!$H$13="parallel geschakeld met warmtewisselaar",IF(OPFOKLEGHEN!$L$9="ja",IF(OPFOKLEGHEN!$J$18="nee",(N71-(K71-Q71)-(K71-S71)),(Q71-(K71-N71/80%)))))),(O71-(K71-S71))))</f>
        <v>7.0252392738330132</v>
      </c>
      <c r="Z71" s="130">
        <f t="shared" si="33"/>
        <v>1</v>
      </c>
      <c r="AA71" s="130"/>
      <c r="AB71" s="130"/>
      <c r="AC71" s="167">
        <f>IF(H71=0,0,IF(OPFOKLEGHEN!$H$11="geen droogtunnel",IF(OPFOKLEGHEN!$H$15="geen warmtewisselaar",(P71-(K71-R71)/R$13),K71-(K71-O71)/I$6-(K71-R71)/95%)+IF(OPFOKLEGHEN!$J$18="ja",(K71-O71)*(1-I$6)),IF(OPFOKLEGHEN!$H$12&gt;=0,IF(OPFOKLEGHEN!$L$9="ja",IF(OPFOKLEGHEN!$J$18="ja",IF(OPFOKLEGHEN!$H$20="ja",O71-(K71-S71),IF(OPFOKLEGHEN!$H$20="nee",(O71-(K71-S71)),(O71-(K71-S71)))),IF(OPFOKLEGHEN!$J$18="nee",IF(OPFOKLEGHEN!$H$20="nee",O71*80%-(K71-S71),0+O71-(K71-S71)))),IF(OPFOKLEGHEN!$L$9="nee",IF(OPFOKLEGHEN!$J$18="nee",IF(OPFOKLEGHEN!$H$20="nee",(O71*80%-(K71-S71)),O71*93%-(K71-S71)),IF(OPFOKLEGHEN!$H$20="nee",IF(OPFOKLEGHEN!$J$18="ja",IF(OPFOKLEGHEN!$L$9="nee",O71-(K71-S71))),O71-(K71-S71))))))))</f>
        <v>3.5126196369165066</v>
      </c>
      <c r="AD71" s="167" t="e">
        <f>IF(H71=0,0,IF(OPFOKLEGHEN!$H$11="geen droogtunnel",IF(OPFOKLEGHEN!$H$15="geen warmtewisselaar",(Q71-(K71-R71)/S$13),N71-(K71-R71)),IF(OPFOKLEGHEN!$H$12&gt;=0,IF(OPFOKLEGHEN!$L$9="ja",IF(OPFOKLEGHEN!$J$18="ja",IF(OPFOKLEGHEN!$H$20="ja",Q71-(K71-N71)-(K71-S71),IF(OPFOKLEGHEN!$H$20="nee",(Q71-(K71-N71)-(K71-S71)),(O71-(K71-S71)))),IF(OPFOKLEGHEN!$J$18="nee",IF(OPFOKLEGHEN!$H$20="nee",1*Q71*$N$135-(K71-N71)-(K71-S71),(Q71-(K71-N71)-(K71-S71))*N$135))),IF(OPFOKLEGHEN!$L$9="nee",IF(OPFOKLEGHEN!$J$18="nee",IF(OPFOKLEGHEN!$H$20="nee",(N71*95%-(K71-Q71)/I$4-(K71-S71)),N71-(K71-Q71)/I$4-(K71-S71)),IF(OPFOKLEGHEN!$H$20="nee",IF(OPFOKLEGHEN!$J$18="ja",IF(OPFOKLEGHEN!$L$9="nee",N71-(K71-Q71)/I$4-(K71-S71))),N71-(K71-Q71)/I$4-(K71-S71))))))))</f>
        <v>#DIV/0!</v>
      </c>
      <c r="AE71" s="30">
        <f t="shared" si="34"/>
        <v>0</v>
      </c>
      <c r="AF71" s="31">
        <f t="shared" si="35"/>
        <v>0.5834152262078357</v>
      </c>
      <c r="AG71" s="31">
        <f t="shared" si="36"/>
        <v>0</v>
      </c>
      <c r="AH71" s="32">
        <f t="shared" si="37"/>
        <v>0</v>
      </c>
      <c r="AI71" s="31">
        <f t="shared" si="19"/>
        <v>0.5834152262078357</v>
      </c>
      <c r="AJ71" s="31">
        <f t="shared" si="38"/>
        <v>0</v>
      </c>
      <c r="AK71" s="32">
        <f t="shared" si="39"/>
        <v>0.68730461394249998</v>
      </c>
      <c r="AL71" s="31">
        <f t="shared" si="40"/>
        <v>2.2455102701749354E-2</v>
      </c>
      <c r="AM71" s="1">
        <v>8</v>
      </c>
      <c r="AN71" s="1">
        <v>56</v>
      </c>
      <c r="AO71" s="5">
        <v>635</v>
      </c>
      <c r="AP71" s="5">
        <v>570</v>
      </c>
      <c r="AQ71" s="5">
        <f t="shared" si="20"/>
        <v>602.5</v>
      </c>
      <c r="AR71" s="100" t="e">
        <f t="shared" si="41"/>
        <v>#DIV/0!</v>
      </c>
    </row>
    <row r="72" spans="1:44" ht="13" x14ac:dyDescent="0.3">
      <c r="A72" s="1">
        <v>9</v>
      </c>
      <c r="B72" s="1">
        <v>57</v>
      </c>
      <c r="C72" s="4">
        <f t="shared" si="14"/>
        <v>0.69988931165274992</v>
      </c>
      <c r="D72" s="7">
        <f t="shared" ref="D72:D133" si="48">MIN(C72,J$5)</f>
        <v>0</v>
      </c>
      <c r="E72" s="7">
        <f>IF(I$3=0,0,IF(OPFOKLEGHEN!$H$13="parallel geschakeld met warmtewisselaar",0,MIN(I$3,C72)))</f>
        <v>0</v>
      </c>
      <c r="F72" s="7">
        <f>IF(I$3=0,0,IF(OPFOKLEGHEN!$H$13="serie geschakeld met warmtewisselaar",0,IF(C72&lt;$I$3,C72-D72,MIN($I$3,C72-D72))))</f>
        <v>0</v>
      </c>
      <c r="G72" s="137">
        <f>IF(C72&lt;$I$7,MAX(0,C72-D72-E72-F72,IF(OPFOKLEGHEN!$H$15="warmtewisselaar",IF(OPFOKLEGHEN!$H$13="serie geschakeld met warmtewisselaar",MIN(I$7,MAX(0,C72-D72-F72)),MIN(I$7,MAX(0,C72-D72-E72-F72))))),IF(OPFOKLEGHEN!$H$13="parallel geschakeld met warmtewisselaar",MIN(I$7,C72-D72-E72-F72,MIN(I$7,C72-E72-F72)),MIN(I$7,MAX(0,C72-D72-F72))))</f>
        <v>0</v>
      </c>
      <c r="H72" s="7">
        <f>IF(OPFOKLEGHEN!$H$13="parallel geschakeld met warmtewisselaar",IF(OPFOKLEGHEN!$L$9="nee",IF(OPFOKLEGHEN!$J$18="ja",C72-F72-G72,C72-D72-F72-G72),IF(OPFOKLEGHEN!$L$9="ja",IF(OPFOKLEGHEN!$J$18="ja",C72-G72,IF(OPFOKLEGHEN!$J$18="nee",C72-D72-G72)))),IF(OPFOKLEGHEN!$H$13="serie geschakeld met warmtewisselaar",IF(OPFOKLEGHEN!$J$18="ja",C72-G72,C72-D72-F72-G72),C72-D72-F72-G72))</f>
        <v>0.69988931165274992</v>
      </c>
      <c r="I72" s="98">
        <f t="shared" ref="I72:I134" si="49">IF(C72-D72-E72&lt;0, 0, C72-D72-E72)</f>
        <v>0.69988931165274992</v>
      </c>
      <c r="J72" s="99">
        <v>0.59424943542744912</v>
      </c>
      <c r="K72" s="6">
        <f t="shared" si="16"/>
        <v>3.6433613360074495</v>
      </c>
      <c r="L72" s="130">
        <f>SUM(K$16:K72)/$K$137</f>
        <v>9.4606064987381833E-2</v>
      </c>
      <c r="M72" s="6">
        <f t="shared" si="17"/>
        <v>2.3706803213747098E-2</v>
      </c>
      <c r="N72" s="6">
        <f t="shared" si="30"/>
        <v>3.6433613360074495</v>
      </c>
      <c r="O72" s="6">
        <f>IF(E72&lt;I$3,P72*(1-I$6*D72/C72),IF(OPFOKLEGHEN!$H$11="droogtunnel (platen) 55%",P72*(1-$I$6)+(C72-D72)/C72*(K72-P72*(1-I$6)),P72*(1-$I$6)+(C72-D72)/C72*(K72-P72*(1-I$6))))</f>
        <v>3.6433613360074495</v>
      </c>
      <c r="P72" s="129">
        <f t="shared" si="31"/>
        <v>3.6433613360074495</v>
      </c>
      <c r="Q72" s="134">
        <f t="shared" si="32"/>
        <v>3.6433613360074495</v>
      </c>
      <c r="R72" s="134">
        <f t="shared" si="18"/>
        <v>3.6433613360074495</v>
      </c>
      <c r="S72" s="199">
        <f>IF(G72&lt;0.1,K72,IF(C72=F72,S72/(1-I$4),IF(I$3=0,K72-(G72/C72)*K72*S$13,IF(OPFOKLEGHEN!$H$13="Parallel geschakeld met warmtewisselaar",K72-(K72-(K72-Q72)/I$4)*(G72/(C72-F72))*S$13,IF(OPFOKLEGHEN!$H$20="ja",K72-(K72-(K72-P72)/I$4)*(G72/(C72-MIN(D72,I$5)))*S$13,K72-(K72-(K72-P72)/I$4)*(G72/(C72-MIN(D72,I$5)))*S$13)))))</f>
        <v>3.6433613360074495</v>
      </c>
      <c r="T72" s="17">
        <f t="shared" si="42"/>
        <v>3.6433613360074495</v>
      </c>
      <c r="U72" s="6">
        <f t="shared" ref="U72:U134" si="50">AR72</f>
        <v>0</v>
      </c>
      <c r="V72" s="129">
        <f>IF(OPFOKLEGHEN!$J$18="nee",H72/C72*K72,IF(OPFOKLEGHEN!$H$20="ja",O72-(K72-Q72)-(K72-S72),Q72-(K72-O72)-(K72-S72)))</f>
        <v>3.6433613360074495</v>
      </c>
      <c r="W72" s="162">
        <f>IF(H72=0,0,IF(OPFOKLEGHEN!$H$11="geen droogtunnel",IF(OPFOKLEGHEN!$H$15="geen warmtewisselaar",Q72-(K72-R72)))+IF(OPFOKLEGHEN!$H$12&gt;0,IF(OPFOKLEGHEN!$H$13="serie geschakeld met warmtewisselaar",(O72*80%-(K72-S72)),(Q72-(K72-S72)-(K72-T72))),(N72-(K72-S72))))</f>
        <v>7.286722672014899</v>
      </c>
      <c r="X72" s="162">
        <f>IF(H72=0,0,IF(OPFOKLEGHEN!$H$11="geen droogtunnel",IF(OPFOKLEGHEN!$H$15="geen warmtewisselaar",Q72-(K72-R72)))+IF(OPFOKLEGHEN!$H$12&gt;0,IF(OPFOKLEGHEN!$H$13="serie geschakeld met warmtewisselaar",3*(O72*80%-(K72-S72)),(Q72-(K72-S72)-(K72-N72))),(N72-(K72-S72))))</f>
        <v>7.286722672014899</v>
      </c>
      <c r="Y72" s="162">
        <f>IF(H72=0,0,IF(OPFOKLEGHEN!$H$11="geen droogtunnel",IF(OPFOKLEGHEN!$H$15="geen warmtewisselaar",Q72-(K72-R72)))+IF(OPFOKLEGHEN!$H$12&gt;0,IF(OPFOKLEGHEN!$H$13="serie geschakeld met warmtewisselaar",(O72-(K72-S72)),IF(OPFOKLEGHEN!$H$13="parallel geschakeld met warmtewisselaar",IF(OPFOKLEGHEN!$L$9="ja",IF(OPFOKLEGHEN!$J$18="nee",(N72-(K72-Q72)-(K72-S72)),(Q72-(K72-N72/80%)))))),(O72-(K72-S72))))</f>
        <v>7.286722672014899</v>
      </c>
      <c r="Z72" s="130">
        <f t="shared" si="33"/>
        <v>1</v>
      </c>
      <c r="AA72" s="130"/>
      <c r="AB72" s="130"/>
      <c r="AC72" s="167">
        <f>IF(H72=0,0,IF(OPFOKLEGHEN!$H$11="geen droogtunnel",IF(OPFOKLEGHEN!$H$15="geen warmtewisselaar",(P72-(K72-R72)/R$13),K72-(K72-O72)/I$6-(K72-R72)/95%)+IF(OPFOKLEGHEN!$J$18="ja",(K72-O72)*(1-I$6)),IF(OPFOKLEGHEN!$H$12&gt;=0,IF(OPFOKLEGHEN!$L$9="ja",IF(OPFOKLEGHEN!$J$18="ja",IF(OPFOKLEGHEN!$H$20="ja",O72-(K72-S72),IF(OPFOKLEGHEN!$H$20="nee",(O72-(K72-S72)),(O72-(K72-S72)))),IF(OPFOKLEGHEN!$J$18="nee",IF(OPFOKLEGHEN!$H$20="nee",O72*80%-(K72-S72),0+O72-(K72-S72)))),IF(OPFOKLEGHEN!$L$9="nee",IF(OPFOKLEGHEN!$J$18="nee",IF(OPFOKLEGHEN!$H$20="nee",(O72*80%-(K72-S72)),O72*93%-(K72-S72)),IF(OPFOKLEGHEN!$H$20="nee",IF(OPFOKLEGHEN!$J$18="ja",IF(OPFOKLEGHEN!$L$9="nee",O72-(K72-S72))),O72-(K72-S72))))))))</f>
        <v>3.6433613360074495</v>
      </c>
      <c r="AD72" s="167" t="e">
        <f>IF(H72=0,0,IF(OPFOKLEGHEN!$H$11="geen droogtunnel",IF(OPFOKLEGHEN!$H$15="geen warmtewisselaar",(Q72-(K72-R72)/S$13),N72-(K72-R72)),IF(OPFOKLEGHEN!$H$12&gt;=0,IF(OPFOKLEGHEN!$L$9="ja",IF(OPFOKLEGHEN!$J$18="ja",IF(OPFOKLEGHEN!$H$20="ja",Q72-(K72-N72)-(K72-S72),IF(OPFOKLEGHEN!$H$20="nee",(Q72-(K72-N72)-(K72-S72)),(O72-(K72-S72)))),IF(OPFOKLEGHEN!$J$18="nee",IF(OPFOKLEGHEN!$H$20="nee",1*Q72*$N$135-(K72-N72)-(K72-S72),(Q72-(K72-N72)-(K72-S72))*N$135))),IF(OPFOKLEGHEN!$L$9="nee",IF(OPFOKLEGHEN!$J$18="nee",IF(OPFOKLEGHEN!$H$20="nee",(N72*95%-(K72-Q72)/I$4-(K72-S72)),N72-(K72-Q72)/I$4-(K72-S72)),IF(OPFOKLEGHEN!$H$20="nee",IF(OPFOKLEGHEN!$J$18="ja",IF(OPFOKLEGHEN!$L$9="nee",N72-(K72-Q72)/I$4-(K72-S72))),N72-(K72-Q72)/I$4-(K72-S72))))))))</f>
        <v>#DIV/0!</v>
      </c>
      <c r="AE72" s="4"/>
      <c r="AF72" s="6"/>
      <c r="AG72" s="6"/>
      <c r="AH72" s="4"/>
      <c r="AI72" s="6"/>
      <c r="AJ72" s="6"/>
      <c r="AK72" s="4"/>
      <c r="AL72" s="6"/>
      <c r="AM72" s="1">
        <v>9</v>
      </c>
      <c r="AN72" s="1">
        <v>57</v>
      </c>
      <c r="AO72" s="5">
        <f t="shared" ref="AO72:AO77" si="51">AO71+12.1</f>
        <v>647.1</v>
      </c>
      <c r="AP72" s="5">
        <f t="shared" ref="AP72:AP77" si="52">AP71+11.4</f>
        <v>581.4</v>
      </c>
      <c r="AQ72" s="5">
        <f t="shared" si="20"/>
        <v>614.25</v>
      </c>
      <c r="AR72" s="100"/>
    </row>
    <row r="73" spans="1:44" ht="13" x14ac:dyDescent="0.3">
      <c r="A73" s="1">
        <v>9</v>
      </c>
      <c r="B73" s="1">
        <v>58</v>
      </c>
      <c r="C73" s="4">
        <f t="shared" si="14"/>
        <v>0.71257494740899985</v>
      </c>
      <c r="D73" s="7">
        <f t="shared" si="48"/>
        <v>0</v>
      </c>
      <c r="E73" s="7">
        <f>IF(I$3=0,0,IF(OPFOKLEGHEN!$H$13="parallel geschakeld met warmtewisselaar",0,MIN(I$3,C73)))</f>
        <v>0</v>
      </c>
      <c r="F73" s="7">
        <f>IF(I$3=0,0,IF(OPFOKLEGHEN!$H$13="serie geschakeld met warmtewisselaar",0,IF(C73&lt;$I$3,C73-D73,MIN($I$3,C73-D73))))</f>
        <v>0</v>
      </c>
      <c r="G73" s="137">
        <f>IF(C73&lt;$I$7,MAX(0,C73-D73-E73-F73,IF(OPFOKLEGHEN!$H$15="warmtewisselaar",IF(OPFOKLEGHEN!$H$13="serie geschakeld met warmtewisselaar",MIN(I$7,MAX(0,C73-D73-F73)),MIN(I$7,MAX(0,C73-D73-E73-F73))))),IF(OPFOKLEGHEN!$H$13="parallel geschakeld met warmtewisselaar",MIN(I$7,C73-D73-E73-F73,MIN(I$7,C73-E73-F73)),MIN(I$7,MAX(0,C73-D73-F73))))</f>
        <v>0</v>
      </c>
      <c r="H73" s="7">
        <f>IF(OPFOKLEGHEN!$H$13="parallel geschakeld met warmtewisselaar",IF(OPFOKLEGHEN!$L$9="nee",IF(OPFOKLEGHEN!$J$18="ja",C73-F73-G73,C73-D73-F73-G73),IF(OPFOKLEGHEN!$L$9="ja",IF(OPFOKLEGHEN!$J$18="ja",C73-G73,IF(OPFOKLEGHEN!$J$18="nee",C73-D73-G73)))),IF(OPFOKLEGHEN!$H$13="serie geschakeld met warmtewisselaar",IF(OPFOKLEGHEN!$J$18="ja",C73-G73,C73-D73-F73-G73),C73-D73-F73-G73))</f>
        <v>0.71257494740899985</v>
      </c>
      <c r="I73" s="98">
        <f t="shared" si="49"/>
        <v>0.71257494740899985</v>
      </c>
      <c r="J73" s="99">
        <v>0.60528483941219946</v>
      </c>
      <c r="K73" s="6">
        <f t="shared" si="16"/>
        <v>3.7782827184777297</v>
      </c>
      <c r="L73" s="130">
        <f>SUM(K$16:K73)/$K$137</f>
        <v>9.903058562943777E-2</v>
      </c>
      <c r="M73" s="6">
        <f t="shared" si="17"/>
        <v>2.5016027131473551E-2</v>
      </c>
      <c r="N73" s="6">
        <f t="shared" si="30"/>
        <v>3.7782827184777297</v>
      </c>
      <c r="O73" s="6">
        <f>IF(E73&lt;I$3,P73*(1-I$6*D73/C73),IF(OPFOKLEGHEN!$H$11="droogtunnel (platen) 55%",P73*(1-$I$6)+(C73-D73)/C73*(K73-P73*(1-I$6)),P73*(1-$I$6)+(C73-D73)/C73*(K73-P73*(1-I$6))))</f>
        <v>3.7782827184777297</v>
      </c>
      <c r="P73" s="129">
        <f t="shared" si="31"/>
        <v>3.7782827184777297</v>
      </c>
      <c r="Q73" s="134">
        <f t="shared" si="32"/>
        <v>3.7782827184777297</v>
      </c>
      <c r="R73" s="134">
        <f t="shared" si="18"/>
        <v>3.7782827184777297</v>
      </c>
      <c r="S73" s="199">
        <f>IF(G73&lt;0.1,K73,IF(C73=F73,S73/(1-I$4),IF(I$3=0,K73-(G73/C73)*K73*S$13,IF(OPFOKLEGHEN!$H$13="Parallel geschakeld met warmtewisselaar",K73-(K73-(K73-Q73)/I$4)*(G73/(C73-F73))*S$13,IF(OPFOKLEGHEN!$H$20="ja",K73-(K73-(K73-P73)/I$4)*(G73/(C73-MIN(D73,I$5)))*S$13,K73-(K73-(K73-P73)/I$4)*(G73/(C73-MIN(D73,I$5)))*S$13)))))</f>
        <v>3.7782827184777297</v>
      </c>
      <c r="T73" s="17">
        <f t="shared" si="42"/>
        <v>3.7782827184777297</v>
      </c>
      <c r="U73" s="6">
        <f t="shared" si="50"/>
        <v>0</v>
      </c>
      <c r="V73" s="129">
        <f>IF(OPFOKLEGHEN!$J$18="nee",H73/C73*K73,IF(OPFOKLEGHEN!$H$20="ja",O73-(K73-Q73)-(K73-S73),Q73-(K73-O73)-(K73-S73)))</f>
        <v>3.7782827184777297</v>
      </c>
      <c r="W73" s="162">
        <f>IF(H73=0,0,IF(OPFOKLEGHEN!$H$11="geen droogtunnel",IF(OPFOKLEGHEN!$H$15="geen warmtewisselaar",Q73-(K73-R73)))+IF(OPFOKLEGHEN!$H$12&gt;0,IF(OPFOKLEGHEN!$H$13="serie geschakeld met warmtewisselaar",(O73*80%-(K73-S73)),(Q73-(K73-S73)-(K73-T73))),(N73-(K73-S73))))</f>
        <v>7.5565654369554593</v>
      </c>
      <c r="X73" s="162">
        <f>IF(H73=0,0,IF(OPFOKLEGHEN!$H$11="geen droogtunnel",IF(OPFOKLEGHEN!$H$15="geen warmtewisselaar",Q73-(K73-R73)))+IF(OPFOKLEGHEN!$H$12&gt;0,IF(OPFOKLEGHEN!$H$13="serie geschakeld met warmtewisselaar",3*(O73*80%-(K73-S73)),(Q73-(K73-S73)-(K73-N73))),(N73-(K73-S73))))</f>
        <v>7.5565654369554593</v>
      </c>
      <c r="Y73" s="162">
        <f>IF(H73=0,0,IF(OPFOKLEGHEN!$H$11="geen droogtunnel",IF(OPFOKLEGHEN!$H$15="geen warmtewisselaar",Q73-(K73-R73)))+IF(OPFOKLEGHEN!$H$12&gt;0,IF(OPFOKLEGHEN!$H$13="serie geschakeld met warmtewisselaar",(O73-(K73-S73)),IF(OPFOKLEGHEN!$H$13="parallel geschakeld met warmtewisselaar",IF(OPFOKLEGHEN!$L$9="ja",IF(OPFOKLEGHEN!$J$18="nee",(N73-(K73-Q73)-(K73-S73)),(Q73-(K73-N73/80%)))))),(O73-(K73-S73))))</f>
        <v>7.5565654369554593</v>
      </c>
      <c r="Z73" s="130">
        <f t="shared" si="33"/>
        <v>1</v>
      </c>
      <c r="AA73" s="130"/>
      <c r="AB73" s="130"/>
      <c r="AC73" s="167">
        <f>IF(H73=0,0,IF(OPFOKLEGHEN!$H$11="geen droogtunnel",IF(OPFOKLEGHEN!$H$15="geen warmtewisselaar",(P73-(K73-R73)/R$13),K73-(K73-O73)/I$6-(K73-R73)/95%)+IF(OPFOKLEGHEN!$J$18="ja",(K73-O73)*(1-I$6)),IF(OPFOKLEGHEN!$H$12&gt;=0,IF(OPFOKLEGHEN!$L$9="ja",IF(OPFOKLEGHEN!$J$18="ja",IF(OPFOKLEGHEN!$H$20="ja",O73-(K73-S73),IF(OPFOKLEGHEN!$H$20="nee",(O73-(K73-S73)),(O73-(K73-S73)))),IF(OPFOKLEGHEN!$J$18="nee",IF(OPFOKLEGHEN!$H$20="nee",O73*80%-(K73-S73),0+O73-(K73-S73)))),IF(OPFOKLEGHEN!$L$9="nee",IF(OPFOKLEGHEN!$J$18="nee",IF(OPFOKLEGHEN!$H$20="nee",(O73*80%-(K73-S73)),O73*93%-(K73-S73)),IF(OPFOKLEGHEN!$H$20="nee",IF(OPFOKLEGHEN!$J$18="ja",IF(OPFOKLEGHEN!$L$9="nee",O73-(K73-S73))),O73-(K73-S73))))))))</f>
        <v>3.7782827184777297</v>
      </c>
      <c r="AD73" s="167" t="e">
        <f>IF(H73=0,0,IF(OPFOKLEGHEN!$H$11="geen droogtunnel",IF(OPFOKLEGHEN!$H$15="geen warmtewisselaar",(Q73-(K73-R73)/S$13),N73-(K73-R73)),IF(OPFOKLEGHEN!$H$12&gt;=0,IF(OPFOKLEGHEN!$L$9="ja",IF(OPFOKLEGHEN!$J$18="ja",IF(OPFOKLEGHEN!$H$20="ja",Q73-(K73-N73)-(K73-S73),IF(OPFOKLEGHEN!$H$20="nee",(Q73-(K73-N73)-(K73-S73)),(O73-(K73-S73)))),IF(OPFOKLEGHEN!$J$18="nee",IF(OPFOKLEGHEN!$H$20="nee",1*Q73*$N$135-(K73-N73)-(K73-S73),(Q73-(K73-N73)-(K73-S73))*N$135))),IF(OPFOKLEGHEN!$L$9="nee",IF(OPFOKLEGHEN!$J$18="nee",IF(OPFOKLEGHEN!$H$20="nee",(N73*95%-(K73-Q73)/I$4-(K73-S73)),N73-(K73-Q73)/I$4-(K73-S73)),IF(OPFOKLEGHEN!$H$20="nee",IF(OPFOKLEGHEN!$J$18="ja",IF(OPFOKLEGHEN!$L$9="nee",N73-(K73-Q73)/I$4-(K73-S73))),N73-(K73-Q73)/I$4-(K73-S73))))))))</f>
        <v>#DIV/0!</v>
      </c>
      <c r="AE73" s="4"/>
      <c r="AF73" s="6"/>
      <c r="AG73" s="6"/>
      <c r="AH73" s="4"/>
      <c r="AI73" s="6"/>
      <c r="AJ73" s="6"/>
      <c r="AK73" s="4"/>
      <c r="AL73" s="6"/>
      <c r="AM73" s="1">
        <v>9</v>
      </c>
      <c r="AN73" s="1">
        <v>58</v>
      </c>
      <c r="AO73" s="5">
        <f t="shared" si="51"/>
        <v>659.2</v>
      </c>
      <c r="AP73" s="5">
        <f t="shared" si="52"/>
        <v>592.79999999999995</v>
      </c>
      <c r="AQ73" s="5">
        <f t="shared" si="20"/>
        <v>626</v>
      </c>
      <c r="AR73" s="100"/>
    </row>
    <row r="74" spans="1:44" ht="13" x14ac:dyDescent="0.3">
      <c r="A74" s="1">
        <v>9</v>
      </c>
      <c r="B74" s="1">
        <v>59</v>
      </c>
      <c r="C74" s="4">
        <f t="shared" si="14"/>
        <v>0.72536525883924996</v>
      </c>
      <c r="D74" s="7">
        <f t="shared" si="48"/>
        <v>0</v>
      </c>
      <c r="E74" s="7">
        <f>IF(I$3=0,0,IF(OPFOKLEGHEN!$H$13="parallel geschakeld met warmtewisselaar",0,MIN(I$3,C74)))</f>
        <v>0</v>
      </c>
      <c r="F74" s="7">
        <f>IF(I$3=0,0,IF(OPFOKLEGHEN!$H$13="serie geschakeld met warmtewisselaar",0,IF(C74&lt;$I$3,C74-D74,MIN($I$3,C74-D74))))</f>
        <v>0</v>
      </c>
      <c r="G74" s="137">
        <f>IF(C74&lt;$I$7,MAX(0,C74-D74-E74-F74,IF(OPFOKLEGHEN!$H$15="warmtewisselaar",IF(OPFOKLEGHEN!$H$13="serie geschakeld met warmtewisselaar",MIN(I$7,MAX(0,C74-D74-F74)),MIN(I$7,MAX(0,C74-D74-E74-F74))))),IF(OPFOKLEGHEN!$H$13="parallel geschakeld met warmtewisselaar",MIN(I$7,C74-D74-E74-F74,MIN(I$7,C74-E74-F74)),MIN(I$7,MAX(0,C74-D74-F74))))</f>
        <v>0</v>
      </c>
      <c r="H74" s="7">
        <f>IF(OPFOKLEGHEN!$H$13="parallel geschakeld met warmtewisselaar",IF(OPFOKLEGHEN!$L$9="nee",IF(OPFOKLEGHEN!$J$18="ja",C74-F74-G74,C74-D74-F74-G74),IF(OPFOKLEGHEN!$L$9="ja",IF(OPFOKLEGHEN!$J$18="ja",C74-G74,IF(OPFOKLEGHEN!$J$18="nee",C74-D74-G74)))),IF(OPFOKLEGHEN!$H$13="serie geschakeld met warmtewisselaar",IF(OPFOKLEGHEN!$J$18="ja",C74-G74,C74-D74-F74-G74),C74-D74-F74-G74))</f>
        <v>0.72536525883924996</v>
      </c>
      <c r="I74" s="98">
        <f t="shared" si="49"/>
        <v>0.72536525883924996</v>
      </c>
      <c r="J74" s="99">
        <v>0.61652517441387056</v>
      </c>
      <c r="K74" s="6">
        <f t="shared" si="16"/>
        <v>3.9175240582239672</v>
      </c>
      <c r="L74" s="130">
        <f>SUM(K$16:K74)/$K$137</f>
        <v>0.10361816346647856</v>
      </c>
      <c r="M74" s="6">
        <f t="shared" si="17"/>
        <v>2.6385150620458226E-2</v>
      </c>
      <c r="N74" s="6">
        <f t="shared" si="30"/>
        <v>3.9175240582239672</v>
      </c>
      <c r="O74" s="6">
        <f>IF(E74&lt;I$3,P74*(1-I$6*D74/C74),IF(OPFOKLEGHEN!$H$11="droogtunnel (platen) 55%",P74*(1-$I$6)+(C74-D74)/C74*(K74-P74*(1-I$6)),P74*(1-$I$6)+(C74-D74)/C74*(K74-P74*(1-I$6))))</f>
        <v>3.9175240582239672</v>
      </c>
      <c r="P74" s="129">
        <f t="shared" si="31"/>
        <v>3.9175240582239672</v>
      </c>
      <c r="Q74" s="134">
        <f t="shared" si="32"/>
        <v>3.9175240582239672</v>
      </c>
      <c r="R74" s="134">
        <f t="shared" si="18"/>
        <v>3.9175240582239672</v>
      </c>
      <c r="S74" s="199">
        <f>IF(G74&lt;0.1,K74,IF(C74=F74,S74/(1-I$4),IF(I$3=0,K74-(G74/C74)*K74*S$13,IF(OPFOKLEGHEN!$H$13="Parallel geschakeld met warmtewisselaar",K74-(K74-(K74-Q74)/I$4)*(G74/(C74-F74))*S$13,IF(OPFOKLEGHEN!$H$20="ja",K74-(K74-(K74-P74)/I$4)*(G74/(C74-MIN(D74,I$5)))*S$13,K74-(K74-(K74-P74)/I$4)*(G74/(C74-MIN(D74,I$5)))*S$13)))))</f>
        <v>3.9175240582239672</v>
      </c>
      <c r="T74" s="17">
        <f t="shared" si="42"/>
        <v>3.9175240582239672</v>
      </c>
      <c r="U74" s="6">
        <f t="shared" si="50"/>
        <v>0</v>
      </c>
      <c r="V74" s="129">
        <f>IF(OPFOKLEGHEN!$J$18="nee",H74/C74*K74,IF(OPFOKLEGHEN!$H$20="ja",O74-(K74-Q74)-(K74-S74),Q74-(K74-O74)-(K74-S74)))</f>
        <v>3.9175240582239672</v>
      </c>
      <c r="W74" s="162">
        <f>IF(H74=0,0,IF(OPFOKLEGHEN!$H$11="geen droogtunnel",IF(OPFOKLEGHEN!$H$15="geen warmtewisselaar",Q74-(K74-R74)))+IF(OPFOKLEGHEN!$H$12&gt;0,IF(OPFOKLEGHEN!$H$13="serie geschakeld met warmtewisselaar",(O74*80%-(K74-S74)),(Q74-(K74-S74)-(K74-T74))),(N74-(K74-S74))))</f>
        <v>7.8350481164479344</v>
      </c>
      <c r="X74" s="162">
        <f>IF(H74=0,0,IF(OPFOKLEGHEN!$H$11="geen droogtunnel",IF(OPFOKLEGHEN!$H$15="geen warmtewisselaar",Q74-(K74-R74)))+IF(OPFOKLEGHEN!$H$12&gt;0,IF(OPFOKLEGHEN!$H$13="serie geschakeld met warmtewisselaar",3*(O74*80%-(K74-S74)),(Q74-(K74-S74)-(K74-N74))),(N74-(K74-S74))))</f>
        <v>7.8350481164479344</v>
      </c>
      <c r="Y74" s="162">
        <f>IF(H74=0,0,IF(OPFOKLEGHEN!$H$11="geen droogtunnel",IF(OPFOKLEGHEN!$H$15="geen warmtewisselaar",Q74-(K74-R74)))+IF(OPFOKLEGHEN!$H$12&gt;0,IF(OPFOKLEGHEN!$H$13="serie geschakeld met warmtewisselaar",(O74-(K74-S74)),IF(OPFOKLEGHEN!$H$13="parallel geschakeld met warmtewisselaar",IF(OPFOKLEGHEN!$L$9="ja",IF(OPFOKLEGHEN!$J$18="nee",(N74-(K74-Q74)-(K74-S74)),(Q74-(K74-N74/80%)))))),(O74-(K74-S74))))</f>
        <v>7.8350481164479344</v>
      </c>
      <c r="Z74" s="130">
        <f t="shared" si="33"/>
        <v>1</v>
      </c>
      <c r="AA74" s="130"/>
      <c r="AB74" s="130"/>
      <c r="AC74" s="167">
        <f>IF(H74=0,0,IF(OPFOKLEGHEN!$H$11="geen droogtunnel",IF(OPFOKLEGHEN!$H$15="geen warmtewisselaar",(P74-(K74-R74)/R$13),K74-(K74-O74)/I$6-(K74-R74)/95%)+IF(OPFOKLEGHEN!$J$18="ja",(K74-O74)*(1-I$6)),IF(OPFOKLEGHEN!$H$12&gt;=0,IF(OPFOKLEGHEN!$L$9="ja",IF(OPFOKLEGHEN!$J$18="ja",IF(OPFOKLEGHEN!$H$20="ja",O74-(K74-S74),IF(OPFOKLEGHEN!$H$20="nee",(O74-(K74-S74)),(O74-(K74-S74)))),IF(OPFOKLEGHEN!$J$18="nee",IF(OPFOKLEGHEN!$H$20="nee",O74*80%-(K74-S74),0+O74-(K74-S74)))),IF(OPFOKLEGHEN!$L$9="nee",IF(OPFOKLEGHEN!$J$18="nee",IF(OPFOKLEGHEN!$H$20="nee",(O74*80%-(K74-S74)),O74*93%-(K74-S74)),IF(OPFOKLEGHEN!$H$20="nee",IF(OPFOKLEGHEN!$J$18="ja",IF(OPFOKLEGHEN!$L$9="nee",O74-(K74-S74))),O74-(K74-S74))))))))</f>
        <v>3.9175240582239672</v>
      </c>
      <c r="AD74" s="167" t="e">
        <f>IF(H74=0,0,IF(OPFOKLEGHEN!$H$11="geen droogtunnel",IF(OPFOKLEGHEN!$H$15="geen warmtewisselaar",(Q74-(K74-R74)/S$13),N74-(K74-R74)),IF(OPFOKLEGHEN!$H$12&gt;=0,IF(OPFOKLEGHEN!$L$9="ja",IF(OPFOKLEGHEN!$J$18="ja",IF(OPFOKLEGHEN!$H$20="ja",Q74-(K74-N74)-(K74-S74),IF(OPFOKLEGHEN!$H$20="nee",(Q74-(K74-N74)-(K74-S74)),(O74-(K74-S74)))),IF(OPFOKLEGHEN!$J$18="nee",IF(OPFOKLEGHEN!$H$20="nee",1*Q74*$N$135-(K74-N74)-(K74-S74),(Q74-(K74-N74)-(K74-S74))*N$135))),IF(OPFOKLEGHEN!$L$9="nee",IF(OPFOKLEGHEN!$J$18="nee",IF(OPFOKLEGHEN!$H$20="nee",(N74*95%-(K74-Q74)/I$4-(K74-S74)),N74-(K74-Q74)/I$4-(K74-S74)),IF(OPFOKLEGHEN!$H$20="nee",IF(OPFOKLEGHEN!$J$18="ja",IF(OPFOKLEGHEN!$L$9="nee",N74-(K74-Q74)/I$4-(K74-S74))),N74-(K74-Q74)/I$4-(K74-S74))))))))</f>
        <v>#DIV/0!</v>
      </c>
      <c r="AE74" s="4"/>
      <c r="AF74" s="6"/>
      <c r="AG74" s="6"/>
      <c r="AH74" s="4"/>
      <c r="AI74" s="6"/>
      <c r="AJ74" s="6"/>
      <c r="AK74" s="4"/>
      <c r="AL74" s="6"/>
      <c r="AM74" s="1">
        <v>9</v>
      </c>
      <c r="AN74" s="1">
        <v>59</v>
      </c>
      <c r="AO74" s="5">
        <f t="shared" si="51"/>
        <v>671.30000000000007</v>
      </c>
      <c r="AP74" s="5">
        <f t="shared" si="52"/>
        <v>604.19999999999993</v>
      </c>
      <c r="AQ74" s="5">
        <f t="shared" si="20"/>
        <v>637.75</v>
      </c>
      <c r="AR74" s="100"/>
    </row>
    <row r="75" spans="1:44" ht="13" x14ac:dyDescent="0.3">
      <c r="A75" s="1">
        <v>9</v>
      </c>
      <c r="B75" s="1">
        <v>60</v>
      </c>
      <c r="C75" s="4">
        <f t="shared" si="14"/>
        <v>0.73826398357149992</v>
      </c>
      <c r="D75" s="7">
        <f t="shared" si="48"/>
        <v>0</v>
      </c>
      <c r="E75" s="7">
        <f>IF(I$3=0,0,IF(OPFOKLEGHEN!$H$13="parallel geschakeld met warmtewisselaar",0,MIN(I$3,C75)))</f>
        <v>0</v>
      </c>
      <c r="F75" s="7">
        <f>IF(I$3=0,0,IF(OPFOKLEGHEN!$H$13="serie geschakeld met warmtewisselaar",0,IF(C75&lt;$I$3,C75-D75,MIN($I$3,C75-D75))))</f>
        <v>0</v>
      </c>
      <c r="G75" s="137">
        <f>IF(C75&lt;$I$7,MAX(0,C75-D75-E75-F75,IF(OPFOKLEGHEN!$H$15="warmtewisselaar",IF(OPFOKLEGHEN!$H$13="serie geschakeld met warmtewisselaar",MIN(I$7,MAX(0,C75-D75-F75)),MIN(I$7,MAX(0,C75-D75-E75-F75))))),IF(OPFOKLEGHEN!$H$13="parallel geschakeld met warmtewisselaar",MIN(I$7,C75-D75-E75-F75,MIN(I$7,C75-E75-F75)),MIN(I$7,MAX(0,C75-D75-F75))))</f>
        <v>0</v>
      </c>
      <c r="H75" s="7">
        <f>IF(OPFOKLEGHEN!$H$13="parallel geschakeld met warmtewisselaar",IF(OPFOKLEGHEN!$L$9="nee",IF(OPFOKLEGHEN!$J$18="ja",C75-F75-G75,C75-D75-F75-G75),IF(OPFOKLEGHEN!$L$9="ja",IF(OPFOKLEGHEN!$J$18="ja",C75-G75,IF(OPFOKLEGHEN!$J$18="nee",C75-D75-G75)))),IF(OPFOKLEGHEN!$H$13="serie geschakeld met warmtewisselaar",IF(OPFOKLEGHEN!$J$18="ja",C75-G75,C75-D75-F75-G75),C75-D75-F75-G75))</f>
        <v>0.73826398357149992</v>
      </c>
      <c r="I75" s="98">
        <f t="shared" si="49"/>
        <v>0.73826398357149992</v>
      </c>
      <c r="J75" s="99">
        <v>0.6279742460676484</v>
      </c>
      <c r="K75" s="6">
        <f t="shared" si="16"/>
        <v>4.0612303319041718</v>
      </c>
      <c r="L75" s="130">
        <f>SUM(K$16:K75)/$K$137</f>
        <v>0.10837402711526697</v>
      </c>
      <c r="M75" s="6">
        <f t="shared" si="17"/>
        <v>2.7816646108932683E-2</v>
      </c>
      <c r="N75" s="6">
        <f t="shared" si="30"/>
        <v>4.0612303319041718</v>
      </c>
      <c r="O75" s="6">
        <f>IF(E75&lt;I$3,P75*(1-I$6*D75/C75),IF(OPFOKLEGHEN!$H$11="droogtunnel (platen) 55%",P75*(1-$I$6)+(C75-D75)/C75*(K75-P75*(1-I$6)),P75*(1-$I$6)+(C75-D75)/C75*(K75-P75*(1-I$6))))</f>
        <v>4.0612303319041718</v>
      </c>
      <c r="P75" s="129">
        <f t="shared" si="31"/>
        <v>4.0612303319041718</v>
      </c>
      <c r="Q75" s="134">
        <f t="shared" si="32"/>
        <v>4.0612303319041718</v>
      </c>
      <c r="R75" s="134">
        <f t="shared" si="18"/>
        <v>4.0612303319041718</v>
      </c>
      <c r="S75" s="199">
        <f>IF(G75&lt;0.1,K75,IF(C75=F75,S75/(1-I$4),IF(I$3=0,K75-(G75/C75)*K75*S$13,IF(OPFOKLEGHEN!$H$13="Parallel geschakeld met warmtewisselaar",K75-(K75-(K75-Q75)/I$4)*(G75/(C75-F75))*S$13,IF(OPFOKLEGHEN!$H$20="ja",K75-(K75-(K75-P75)/I$4)*(G75/(C75-MIN(D75,I$5)))*S$13,K75-(K75-(K75-P75)/I$4)*(G75/(C75-MIN(D75,I$5)))*S$13)))))</f>
        <v>4.0612303319041718</v>
      </c>
      <c r="T75" s="17">
        <f t="shared" si="42"/>
        <v>4.0612303319041718</v>
      </c>
      <c r="U75" s="6">
        <f t="shared" si="50"/>
        <v>0</v>
      </c>
      <c r="V75" s="129">
        <f>IF(OPFOKLEGHEN!$J$18="nee",H75/C75*K75,IF(OPFOKLEGHEN!$H$20="ja",O75-(K75-Q75)-(K75-S75),Q75-(K75-O75)-(K75-S75)))</f>
        <v>4.0612303319041718</v>
      </c>
      <c r="W75" s="162">
        <f>IF(H75=0,0,IF(OPFOKLEGHEN!$H$11="geen droogtunnel",IF(OPFOKLEGHEN!$H$15="geen warmtewisselaar",Q75-(K75-R75)))+IF(OPFOKLEGHEN!$H$12&gt;0,IF(OPFOKLEGHEN!$H$13="serie geschakeld met warmtewisselaar",(O75*80%-(K75-S75)),(Q75-(K75-S75)-(K75-T75))),(N75-(K75-S75))))</f>
        <v>8.1224606638083436</v>
      </c>
      <c r="X75" s="162">
        <f>IF(H75=0,0,IF(OPFOKLEGHEN!$H$11="geen droogtunnel",IF(OPFOKLEGHEN!$H$15="geen warmtewisselaar",Q75-(K75-R75)))+IF(OPFOKLEGHEN!$H$12&gt;0,IF(OPFOKLEGHEN!$H$13="serie geschakeld met warmtewisselaar",3*(O75*80%-(K75-S75)),(Q75-(K75-S75)-(K75-N75))),(N75-(K75-S75))))</f>
        <v>8.1224606638083436</v>
      </c>
      <c r="Y75" s="162">
        <f>IF(H75=0,0,IF(OPFOKLEGHEN!$H$11="geen droogtunnel",IF(OPFOKLEGHEN!$H$15="geen warmtewisselaar",Q75-(K75-R75)))+IF(OPFOKLEGHEN!$H$12&gt;0,IF(OPFOKLEGHEN!$H$13="serie geschakeld met warmtewisselaar",(O75-(K75-S75)),IF(OPFOKLEGHEN!$H$13="parallel geschakeld met warmtewisselaar",IF(OPFOKLEGHEN!$L$9="ja",IF(OPFOKLEGHEN!$J$18="nee",(N75-(K75-Q75)-(K75-S75)),(Q75-(K75-N75/80%)))))),(O75-(K75-S75))))</f>
        <v>8.1224606638083436</v>
      </c>
      <c r="Z75" s="130">
        <f t="shared" si="33"/>
        <v>1</v>
      </c>
      <c r="AA75" s="130"/>
      <c r="AB75" s="130"/>
      <c r="AC75" s="167">
        <f>IF(H75=0,0,IF(OPFOKLEGHEN!$H$11="geen droogtunnel",IF(OPFOKLEGHEN!$H$15="geen warmtewisselaar",(P75-(K75-R75)/R$13),K75-(K75-O75)/I$6-(K75-R75)/95%)+IF(OPFOKLEGHEN!$J$18="ja",(K75-O75)*(1-I$6)),IF(OPFOKLEGHEN!$H$12&gt;=0,IF(OPFOKLEGHEN!$L$9="ja",IF(OPFOKLEGHEN!$J$18="ja",IF(OPFOKLEGHEN!$H$20="ja",O75-(K75-S75),IF(OPFOKLEGHEN!$H$20="nee",(O75-(K75-S75)),(O75-(K75-S75)))),IF(OPFOKLEGHEN!$J$18="nee",IF(OPFOKLEGHEN!$H$20="nee",O75*80%-(K75-S75),0+O75-(K75-S75)))),IF(OPFOKLEGHEN!$L$9="nee",IF(OPFOKLEGHEN!$J$18="nee",IF(OPFOKLEGHEN!$H$20="nee",(O75*80%-(K75-S75)),O75*93%-(K75-S75)),IF(OPFOKLEGHEN!$H$20="nee",IF(OPFOKLEGHEN!$J$18="ja",IF(OPFOKLEGHEN!$L$9="nee",O75-(K75-S75))),O75-(K75-S75))))))))</f>
        <v>4.0612303319041718</v>
      </c>
      <c r="AD75" s="167" t="e">
        <f>IF(H75=0,0,IF(OPFOKLEGHEN!$H$11="geen droogtunnel",IF(OPFOKLEGHEN!$H$15="geen warmtewisselaar",(Q75-(K75-R75)/S$13),N75-(K75-R75)),IF(OPFOKLEGHEN!$H$12&gt;=0,IF(OPFOKLEGHEN!$L$9="ja",IF(OPFOKLEGHEN!$J$18="ja",IF(OPFOKLEGHEN!$H$20="ja",Q75-(K75-N75)-(K75-S75),IF(OPFOKLEGHEN!$H$20="nee",(Q75-(K75-N75)-(K75-S75)),(O75-(K75-S75)))),IF(OPFOKLEGHEN!$J$18="nee",IF(OPFOKLEGHEN!$H$20="nee",1*Q75*$N$135-(K75-N75)-(K75-S75),(Q75-(K75-N75)-(K75-S75))*N$135))),IF(OPFOKLEGHEN!$L$9="nee",IF(OPFOKLEGHEN!$J$18="nee",IF(OPFOKLEGHEN!$H$20="nee",(N75*95%-(K75-Q75)/I$4-(K75-S75)),N75-(K75-Q75)/I$4-(K75-S75)),IF(OPFOKLEGHEN!$H$20="nee",IF(OPFOKLEGHEN!$J$18="ja",IF(OPFOKLEGHEN!$L$9="nee",N75-(K75-Q75)/I$4-(K75-S75))),N75-(K75-Q75)/I$4-(K75-S75))))))))</f>
        <v>#DIV/0!</v>
      </c>
      <c r="AE75" s="4"/>
      <c r="AF75" s="6"/>
      <c r="AG75" s="6"/>
      <c r="AH75" s="4"/>
      <c r="AI75" s="6"/>
      <c r="AJ75" s="6"/>
      <c r="AK75" s="4"/>
      <c r="AL75" s="6"/>
      <c r="AM75" s="1">
        <v>9</v>
      </c>
      <c r="AN75" s="1">
        <v>60</v>
      </c>
      <c r="AO75" s="5">
        <f t="shared" si="51"/>
        <v>683.40000000000009</v>
      </c>
      <c r="AP75" s="5">
        <f t="shared" si="52"/>
        <v>615.59999999999991</v>
      </c>
      <c r="AQ75" s="5">
        <f t="shared" si="20"/>
        <v>649.5</v>
      </c>
      <c r="AR75" s="100"/>
    </row>
    <row r="76" spans="1:44" ht="13" x14ac:dyDescent="0.3">
      <c r="A76" s="1">
        <v>9</v>
      </c>
      <c r="B76" s="1">
        <v>61</v>
      </c>
      <c r="C76" s="4">
        <f t="shared" si="14"/>
        <v>0.75127485923374993</v>
      </c>
      <c r="D76" s="7">
        <f t="shared" si="48"/>
        <v>0</v>
      </c>
      <c r="E76" s="7">
        <f>IF(I$3=0,0,IF(OPFOKLEGHEN!$H$13="parallel geschakeld met warmtewisselaar",0,MIN(I$3,C76)))</f>
        <v>0</v>
      </c>
      <c r="F76" s="7">
        <f>IF(I$3=0,0,IF(OPFOKLEGHEN!$H$13="serie geschakeld met warmtewisselaar",0,IF(C76&lt;$I$3,C76-D76,MIN($I$3,C76-D76))))</f>
        <v>0</v>
      </c>
      <c r="G76" s="137">
        <f>IF(C76&lt;$I$7,MAX(0,C76-D76-E76-F76,IF(OPFOKLEGHEN!$H$15="warmtewisselaar",IF(OPFOKLEGHEN!$H$13="serie geschakeld met warmtewisselaar",MIN(I$7,MAX(0,C76-D76-F76)),MIN(I$7,MAX(0,C76-D76-E76-F76))))),IF(OPFOKLEGHEN!$H$13="parallel geschakeld met warmtewisselaar",MIN(I$7,C76-D76-E76-F76,MIN(I$7,C76-E76-F76)),MIN(I$7,MAX(0,C76-D76-F76))))</f>
        <v>0</v>
      </c>
      <c r="H76" s="7">
        <f>IF(OPFOKLEGHEN!$H$13="parallel geschakeld met warmtewisselaar",IF(OPFOKLEGHEN!$L$9="nee",IF(OPFOKLEGHEN!$J$18="ja",C76-F76-G76,C76-D76-F76-G76),IF(OPFOKLEGHEN!$L$9="ja",IF(OPFOKLEGHEN!$J$18="ja",C76-G76,IF(OPFOKLEGHEN!$J$18="nee",C76-D76-G76)))),IF(OPFOKLEGHEN!$H$13="serie geschakeld met warmtewisselaar",IF(OPFOKLEGHEN!$J$18="ja",C76-G76,C76-D76-F76-G76),C76-D76-F76-G76))</f>
        <v>0.75127485923374993</v>
      </c>
      <c r="I76" s="98">
        <f t="shared" si="49"/>
        <v>0.75127485923374993</v>
      </c>
      <c r="J76" s="99">
        <v>0.63963593068059343</v>
      </c>
      <c r="K76" s="6">
        <f t="shared" si="16"/>
        <v>4.2095513695383042</v>
      </c>
      <c r="L76" s="130">
        <f>SUM(K$16:K76)/$K$137</f>
        <v>0.11330358064953008</v>
      </c>
      <c r="M76" s="6">
        <f t="shared" si="17"/>
        <v>2.9313086020757599E-2</v>
      </c>
      <c r="N76" s="6">
        <f t="shared" si="30"/>
        <v>4.2095513695383042</v>
      </c>
      <c r="O76" s="6">
        <f>IF(E76&lt;I$3,P76*(1-I$6*D76/C76),IF(OPFOKLEGHEN!$H$11="droogtunnel (platen) 55%",P76*(1-$I$6)+(C76-D76)/C76*(K76-P76*(1-I$6)),P76*(1-$I$6)+(C76-D76)/C76*(K76-P76*(1-I$6))))</f>
        <v>4.2095513695383042</v>
      </c>
      <c r="P76" s="129">
        <f t="shared" si="31"/>
        <v>4.2095513695383042</v>
      </c>
      <c r="Q76" s="134">
        <f t="shared" si="32"/>
        <v>4.2095513695383042</v>
      </c>
      <c r="R76" s="134">
        <f t="shared" si="18"/>
        <v>4.2095513695383042</v>
      </c>
      <c r="S76" s="199">
        <f>IF(G76&lt;0.1,K76,IF(C76=F76,S76/(1-I$4),IF(I$3=0,K76-(G76/C76)*K76*S$13,IF(OPFOKLEGHEN!$H$13="Parallel geschakeld met warmtewisselaar",K76-(K76-(K76-Q76)/I$4)*(G76/(C76-F76))*S$13,IF(OPFOKLEGHEN!$H$20="ja",K76-(K76-(K76-P76)/I$4)*(G76/(C76-MIN(D76,I$5)))*S$13,K76-(K76-(K76-P76)/I$4)*(G76/(C76-MIN(D76,I$5)))*S$13)))))</f>
        <v>4.2095513695383042</v>
      </c>
      <c r="T76" s="17">
        <f t="shared" si="42"/>
        <v>4.2095513695383042</v>
      </c>
      <c r="U76" s="6">
        <f t="shared" si="50"/>
        <v>0</v>
      </c>
      <c r="V76" s="129">
        <f>IF(OPFOKLEGHEN!$J$18="nee",H76/C76*K76,IF(OPFOKLEGHEN!$H$20="ja",O76-(K76-Q76)-(K76-S76),Q76-(K76-O76)-(K76-S76)))</f>
        <v>4.2095513695383042</v>
      </c>
      <c r="W76" s="162">
        <f>IF(H76=0,0,IF(OPFOKLEGHEN!$H$11="geen droogtunnel",IF(OPFOKLEGHEN!$H$15="geen warmtewisselaar",Q76-(K76-R76)))+IF(OPFOKLEGHEN!$H$12&gt;0,IF(OPFOKLEGHEN!$H$13="serie geschakeld met warmtewisselaar",(O76*80%-(K76-S76)),(Q76-(K76-S76)-(K76-T76))),(N76-(K76-S76))))</f>
        <v>8.4191027390766084</v>
      </c>
      <c r="X76" s="162">
        <f>IF(H76=0,0,IF(OPFOKLEGHEN!$H$11="geen droogtunnel",IF(OPFOKLEGHEN!$H$15="geen warmtewisselaar",Q76-(K76-R76)))+IF(OPFOKLEGHEN!$H$12&gt;0,IF(OPFOKLEGHEN!$H$13="serie geschakeld met warmtewisselaar",3*(O76*80%-(K76-S76)),(Q76-(K76-S76)-(K76-N76))),(N76-(K76-S76))))</f>
        <v>8.4191027390766084</v>
      </c>
      <c r="Y76" s="162">
        <f>IF(H76=0,0,IF(OPFOKLEGHEN!$H$11="geen droogtunnel",IF(OPFOKLEGHEN!$H$15="geen warmtewisselaar",Q76-(K76-R76)))+IF(OPFOKLEGHEN!$H$12&gt;0,IF(OPFOKLEGHEN!$H$13="serie geschakeld met warmtewisselaar",(O76-(K76-S76)),IF(OPFOKLEGHEN!$H$13="parallel geschakeld met warmtewisselaar",IF(OPFOKLEGHEN!$L$9="ja",IF(OPFOKLEGHEN!$J$18="nee",(N76-(K76-Q76)-(K76-S76)),(Q76-(K76-N76/80%)))))),(O76-(K76-S76))))</f>
        <v>8.4191027390766084</v>
      </c>
      <c r="Z76" s="130">
        <f t="shared" si="33"/>
        <v>1</v>
      </c>
      <c r="AA76" s="130"/>
      <c r="AB76" s="130"/>
      <c r="AC76" s="167">
        <f>IF(H76=0,0,IF(OPFOKLEGHEN!$H$11="geen droogtunnel",IF(OPFOKLEGHEN!$H$15="geen warmtewisselaar",(P76-(K76-R76)/R$13),K76-(K76-O76)/I$6-(K76-R76)/95%)+IF(OPFOKLEGHEN!$J$18="ja",(K76-O76)*(1-I$6)),IF(OPFOKLEGHEN!$H$12&gt;=0,IF(OPFOKLEGHEN!$L$9="ja",IF(OPFOKLEGHEN!$J$18="ja",IF(OPFOKLEGHEN!$H$20="ja",O76-(K76-S76),IF(OPFOKLEGHEN!$H$20="nee",(O76-(K76-S76)),(O76-(K76-S76)))),IF(OPFOKLEGHEN!$J$18="nee",IF(OPFOKLEGHEN!$H$20="nee",O76*80%-(K76-S76),0+O76-(K76-S76)))),IF(OPFOKLEGHEN!$L$9="nee",IF(OPFOKLEGHEN!$J$18="nee",IF(OPFOKLEGHEN!$H$20="nee",(O76*80%-(K76-S76)),O76*93%-(K76-S76)),IF(OPFOKLEGHEN!$H$20="nee",IF(OPFOKLEGHEN!$J$18="ja",IF(OPFOKLEGHEN!$L$9="nee",O76-(K76-S76))),O76-(K76-S76))))))))</f>
        <v>4.2095513695383042</v>
      </c>
      <c r="AD76" s="167" t="e">
        <f>IF(H76=0,0,IF(OPFOKLEGHEN!$H$11="geen droogtunnel",IF(OPFOKLEGHEN!$H$15="geen warmtewisselaar",(Q76-(K76-R76)/S$13),N76-(K76-R76)),IF(OPFOKLEGHEN!$H$12&gt;=0,IF(OPFOKLEGHEN!$L$9="ja",IF(OPFOKLEGHEN!$J$18="ja",IF(OPFOKLEGHEN!$H$20="ja",Q76-(K76-N76)-(K76-S76),IF(OPFOKLEGHEN!$H$20="nee",(Q76-(K76-N76)-(K76-S76)),(O76-(K76-S76)))),IF(OPFOKLEGHEN!$J$18="nee",IF(OPFOKLEGHEN!$H$20="nee",1*Q76*$N$135-(K76-N76)-(K76-S76),(Q76-(K76-N76)-(K76-S76))*N$135))),IF(OPFOKLEGHEN!$L$9="nee",IF(OPFOKLEGHEN!$J$18="nee",IF(OPFOKLEGHEN!$H$20="nee",(N76*95%-(K76-Q76)/I$4-(K76-S76)),N76-(K76-Q76)/I$4-(K76-S76)),IF(OPFOKLEGHEN!$H$20="nee",IF(OPFOKLEGHEN!$J$18="ja",IF(OPFOKLEGHEN!$L$9="nee",N76-(K76-Q76)/I$4-(K76-S76))),N76-(K76-Q76)/I$4-(K76-S76))))))))</f>
        <v>#DIV/0!</v>
      </c>
      <c r="AE76" s="4"/>
      <c r="AF76" s="6"/>
      <c r="AG76" s="6"/>
      <c r="AH76" s="4"/>
      <c r="AI76" s="6"/>
      <c r="AJ76" s="6"/>
      <c r="AK76" s="4"/>
      <c r="AL76" s="6"/>
      <c r="AM76" s="1">
        <v>9</v>
      </c>
      <c r="AN76" s="1">
        <v>61</v>
      </c>
      <c r="AO76" s="5">
        <f t="shared" si="51"/>
        <v>695.50000000000011</v>
      </c>
      <c r="AP76" s="5">
        <f t="shared" si="52"/>
        <v>626.99999999999989</v>
      </c>
      <c r="AQ76" s="5">
        <f t="shared" si="20"/>
        <v>661.25</v>
      </c>
      <c r="AR76" s="100"/>
    </row>
    <row r="77" spans="1:44" ht="13" x14ac:dyDescent="0.3">
      <c r="A77" s="1">
        <v>9</v>
      </c>
      <c r="B77" s="1">
        <v>62</v>
      </c>
      <c r="C77" s="4">
        <f t="shared" si="14"/>
        <v>0.76440162345399987</v>
      </c>
      <c r="D77" s="7">
        <f t="shared" si="48"/>
        <v>0</v>
      </c>
      <c r="E77" s="7">
        <f>IF(I$3=0,0,IF(OPFOKLEGHEN!$H$13="parallel geschakeld met warmtewisselaar",0,MIN(I$3,C77)))</f>
        <v>0</v>
      </c>
      <c r="F77" s="7">
        <f>IF(I$3=0,0,IF(OPFOKLEGHEN!$H$13="serie geschakeld met warmtewisselaar",0,IF(C77&lt;$I$3,C77-D77,MIN($I$3,C77-D77))))</f>
        <v>0</v>
      </c>
      <c r="G77" s="137">
        <f>IF(C77&lt;$I$7,MAX(0,C77-D77-E77-F77,IF(OPFOKLEGHEN!$H$15="warmtewisselaar",IF(OPFOKLEGHEN!$H$13="serie geschakeld met warmtewisselaar",MIN(I$7,MAX(0,C77-D77-F77)),MIN(I$7,MAX(0,C77-D77-E77-F77))))),IF(OPFOKLEGHEN!$H$13="parallel geschakeld met warmtewisselaar",MIN(I$7,C77-D77-E77-F77,MIN(I$7,C77-E77-F77)),MIN(I$7,MAX(0,C77-D77-F77))))</f>
        <v>0</v>
      </c>
      <c r="H77" s="7">
        <f>IF(OPFOKLEGHEN!$H$13="parallel geschakeld met warmtewisselaar",IF(OPFOKLEGHEN!$L$9="nee",IF(OPFOKLEGHEN!$J$18="ja",C77-F77-G77,C77-D77-F77-G77),IF(OPFOKLEGHEN!$L$9="ja",IF(OPFOKLEGHEN!$J$18="ja",C77-G77,IF(OPFOKLEGHEN!$J$18="nee",C77-D77-G77)))),IF(OPFOKLEGHEN!$H$13="serie geschakeld met warmtewisselaar",IF(OPFOKLEGHEN!$J$18="ja",C77-G77,C77-D77-F77-G77),C77-D77-F77-G77))</f>
        <v>0.76440162345399987</v>
      </c>
      <c r="I77" s="98">
        <f t="shared" si="49"/>
        <v>0.76440162345399987</v>
      </c>
      <c r="J77" s="99">
        <v>0.6515141765440412</v>
      </c>
      <c r="K77" s="6">
        <f t="shared" si="16"/>
        <v>4.3626420096611938</v>
      </c>
      <c r="L77" s="130">
        <f>SUM(K$16:K77)/$K$137</f>
        <v>0.1184124094651311</v>
      </c>
      <c r="M77" s="6">
        <f t="shared" si="17"/>
        <v>3.0877146643720776E-2</v>
      </c>
      <c r="N77" s="6">
        <f t="shared" si="30"/>
        <v>4.3626420096611938</v>
      </c>
      <c r="O77" s="6">
        <f>IF(E77&lt;I$3,P77*(1-I$6*D77/C77),IF(OPFOKLEGHEN!$H$11="droogtunnel (platen) 55%",P77*(1-$I$6)+(C77-D77)/C77*(K77-P77*(1-I$6)),P77*(1-$I$6)+(C77-D77)/C77*(K77-P77*(1-I$6))))</f>
        <v>4.3626420096611938</v>
      </c>
      <c r="P77" s="129">
        <f t="shared" si="31"/>
        <v>4.3626420096611938</v>
      </c>
      <c r="Q77" s="134">
        <f t="shared" si="32"/>
        <v>4.3626420096611938</v>
      </c>
      <c r="R77" s="134">
        <f t="shared" si="18"/>
        <v>4.3626420096611938</v>
      </c>
      <c r="S77" s="199">
        <f>IF(G77&lt;0.1,K77,IF(C77=F77,S77/(1-I$4),IF(I$3=0,K77-(G77/C77)*K77*S$13,IF(OPFOKLEGHEN!$H$13="Parallel geschakeld met warmtewisselaar",K77-(K77-(K77-Q77)/I$4)*(G77/(C77-F77))*S$13,IF(OPFOKLEGHEN!$H$20="ja",K77-(K77-(K77-P77)/I$4)*(G77/(C77-MIN(D77,I$5)))*S$13,K77-(K77-(K77-P77)/I$4)*(G77/(C77-MIN(D77,I$5)))*S$13)))))</f>
        <v>4.3626420096611938</v>
      </c>
      <c r="T77" s="17">
        <f t="shared" si="42"/>
        <v>4.3626420096611938</v>
      </c>
      <c r="U77" s="6">
        <f t="shared" si="50"/>
        <v>0</v>
      </c>
      <c r="V77" s="129">
        <f>IF(OPFOKLEGHEN!$J$18="nee",H77/C77*K77,IF(OPFOKLEGHEN!$H$20="ja",O77-(K77-Q77)-(K77-S77),Q77-(K77-O77)-(K77-S77)))</f>
        <v>4.3626420096611938</v>
      </c>
      <c r="W77" s="162">
        <f>IF(H77=0,0,IF(OPFOKLEGHEN!$H$11="geen droogtunnel",IF(OPFOKLEGHEN!$H$15="geen warmtewisselaar",Q77-(K77-R77)))+IF(OPFOKLEGHEN!$H$12&gt;0,IF(OPFOKLEGHEN!$H$13="serie geschakeld met warmtewisselaar",(O77*80%-(K77-S77)),(Q77-(K77-S77)-(K77-T77))),(N77-(K77-S77))))</f>
        <v>8.7252840193223875</v>
      </c>
      <c r="X77" s="162">
        <f>IF(H77=0,0,IF(OPFOKLEGHEN!$H$11="geen droogtunnel",IF(OPFOKLEGHEN!$H$15="geen warmtewisselaar",Q77-(K77-R77)))+IF(OPFOKLEGHEN!$H$12&gt;0,IF(OPFOKLEGHEN!$H$13="serie geschakeld met warmtewisselaar",3*(O77*80%-(K77-S77)),(Q77-(K77-S77)-(K77-N77))),(N77-(K77-S77))))</f>
        <v>8.7252840193223875</v>
      </c>
      <c r="Y77" s="162">
        <f>IF(H77=0,0,IF(OPFOKLEGHEN!$H$11="geen droogtunnel",IF(OPFOKLEGHEN!$H$15="geen warmtewisselaar",Q77-(K77-R77)))+IF(OPFOKLEGHEN!$H$12&gt;0,IF(OPFOKLEGHEN!$H$13="serie geschakeld met warmtewisselaar",(O77-(K77-S77)),IF(OPFOKLEGHEN!$H$13="parallel geschakeld met warmtewisselaar",IF(OPFOKLEGHEN!$L$9="ja",IF(OPFOKLEGHEN!$J$18="nee",(N77-(K77-Q77)-(K77-S77)),(Q77-(K77-N77/80%)))))),(O77-(K77-S77))))</f>
        <v>8.7252840193223875</v>
      </c>
      <c r="Z77" s="130">
        <f t="shared" si="33"/>
        <v>1</v>
      </c>
      <c r="AA77" s="130"/>
      <c r="AB77" s="130"/>
      <c r="AC77" s="167">
        <f>IF(H77=0,0,IF(OPFOKLEGHEN!$H$11="geen droogtunnel",IF(OPFOKLEGHEN!$H$15="geen warmtewisselaar",(P77-(K77-R77)/R$13),K77-(K77-O77)/I$6-(K77-R77)/95%)+IF(OPFOKLEGHEN!$J$18="ja",(K77-O77)*(1-I$6)),IF(OPFOKLEGHEN!$H$12&gt;=0,IF(OPFOKLEGHEN!$L$9="ja",IF(OPFOKLEGHEN!$J$18="ja",IF(OPFOKLEGHEN!$H$20="ja",O77-(K77-S77),IF(OPFOKLEGHEN!$H$20="nee",(O77-(K77-S77)),(O77-(K77-S77)))),IF(OPFOKLEGHEN!$J$18="nee",IF(OPFOKLEGHEN!$H$20="nee",O77*80%-(K77-S77),0+O77-(K77-S77)))),IF(OPFOKLEGHEN!$L$9="nee",IF(OPFOKLEGHEN!$J$18="nee",IF(OPFOKLEGHEN!$H$20="nee",(O77*80%-(K77-S77)),O77*93%-(K77-S77)),IF(OPFOKLEGHEN!$H$20="nee",IF(OPFOKLEGHEN!$J$18="ja",IF(OPFOKLEGHEN!$L$9="nee",O77-(K77-S77))),O77-(K77-S77))))))))</f>
        <v>4.3626420096611938</v>
      </c>
      <c r="AD77" s="167" t="e">
        <f>IF(H77=0,0,IF(OPFOKLEGHEN!$H$11="geen droogtunnel",IF(OPFOKLEGHEN!$H$15="geen warmtewisselaar",(Q77-(K77-R77)/S$13),N77-(K77-R77)),IF(OPFOKLEGHEN!$H$12&gt;=0,IF(OPFOKLEGHEN!$L$9="ja",IF(OPFOKLEGHEN!$J$18="ja",IF(OPFOKLEGHEN!$H$20="ja",Q77-(K77-N77)-(K77-S77),IF(OPFOKLEGHEN!$H$20="nee",(Q77-(K77-N77)-(K77-S77)),(O77-(K77-S77)))),IF(OPFOKLEGHEN!$J$18="nee",IF(OPFOKLEGHEN!$H$20="nee",1*Q77*$N$135-(K77-N77)-(K77-S77),(Q77-(K77-N77)-(K77-S77))*N$135))),IF(OPFOKLEGHEN!$L$9="nee",IF(OPFOKLEGHEN!$J$18="nee",IF(OPFOKLEGHEN!$H$20="nee",(N77*95%-(K77-Q77)/I$4-(K77-S77)),N77-(K77-Q77)/I$4-(K77-S77)),IF(OPFOKLEGHEN!$H$20="nee",IF(OPFOKLEGHEN!$J$18="ja",IF(OPFOKLEGHEN!$L$9="nee",N77-(K77-Q77)/I$4-(K77-S77))),N77-(K77-Q77)/I$4-(K77-S77))))))))</f>
        <v>#DIV/0!</v>
      </c>
      <c r="AE77" s="4"/>
      <c r="AF77" s="6"/>
      <c r="AG77" s="6"/>
      <c r="AH77" s="4"/>
      <c r="AI77" s="6"/>
      <c r="AJ77" s="6"/>
      <c r="AK77" s="4"/>
      <c r="AL77" s="6"/>
      <c r="AM77" s="1">
        <v>9</v>
      </c>
      <c r="AN77" s="1">
        <v>62</v>
      </c>
      <c r="AO77" s="5">
        <f t="shared" si="51"/>
        <v>707.60000000000014</v>
      </c>
      <c r="AP77" s="5">
        <f t="shared" si="52"/>
        <v>638.39999999999986</v>
      </c>
      <c r="AQ77" s="5">
        <f t="shared" si="20"/>
        <v>673</v>
      </c>
      <c r="AR77" s="100"/>
    </row>
    <row r="78" spans="1:44" ht="13" x14ac:dyDescent="0.3">
      <c r="A78" s="1">
        <v>9</v>
      </c>
      <c r="B78" s="1">
        <v>63</v>
      </c>
      <c r="C78" s="4">
        <f t="shared" si="14"/>
        <v>0.77793117900999997</v>
      </c>
      <c r="D78" s="7">
        <f t="shared" si="48"/>
        <v>0</v>
      </c>
      <c r="E78" s="7">
        <f>IF(I$3=0,0,IF(OPFOKLEGHEN!$H$13="parallel geschakeld met warmtewisselaar",0,MIN(I$3,C78)))</f>
        <v>0</v>
      </c>
      <c r="F78" s="7">
        <f>IF(I$3=0,0,IF(OPFOKLEGHEN!$H$13="serie geschakeld met warmtewisselaar",0,IF(C78&lt;$I$3,C78-D78,MIN($I$3,C78-D78))))</f>
        <v>0</v>
      </c>
      <c r="G78" s="137">
        <f>IF(C78&lt;$I$7,MAX(0,C78-D78-E78-F78,IF(OPFOKLEGHEN!$H$15="warmtewisselaar",IF(OPFOKLEGHEN!$H$13="serie geschakeld met warmtewisselaar",MIN(I$7,MAX(0,C78-D78-F78)),MIN(I$7,MAX(0,C78-D78-E78-F78))))),IF(OPFOKLEGHEN!$H$13="parallel geschakeld met warmtewisselaar",MIN(I$7,C78-D78-E78-F78,MIN(I$7,C78-E78-F78)),MIN(I$7,MAX(0,C78-D78-F78))))</f>
        <v>0</v>
      </c>
      <c r="H78" s="7">
        <f>IF(OPFOKLEGHEN!$H$13="parallel geschakeld met warmtewisselaar",IF(OPFOKLEGHEN!$L$9="nee",IF(OPFOKLEGHEN!$J$18="ja",C78-F78-G78,C78-D78-F78-G78),IF(OPFOKLEGHEN!$L$9="ja",IF(OPFOKLEGHEN!$J$18="ja",C78-G78,IF(OPFOKLEGHEN!$J$18="nee",C78-D78-G78)))),IF(OPFOKLEGHEN!$H$13="serie geschakeld met warmtewisselaar",IF(OPFOKLEGHEN!$J$18="ja",C78-G78,C78-D78-F78-G78),C78-D78-F78-G78))</f>
        <v>0.77793117900999997</v>
      </c>
      <c r="I78" s="98">
        <f t="shared" si="49"/>
        <v>0.77793117900999997</v>
      </c>
      <c r="J78" s="99">
        <v>0.66361300527037204</v>
      </c>
      <c r="K78" s="6">
        <f t="shared" si="16"/>
        <v>4.5223083689440244</v>
      </c>
      <c r="L78" s="130">
        <f>SUM(K$16:K78)/$K$137</f>
        <v>0.12370821399301377</v>
      </c>
      <c r="M78" s="6">
        <f t="shared" si="17"/>
        <v>3.2523450598570036E-2</v>
      </c>
      <c r="N78" s="6">
        <f t="shared" si="30"/>
        <v>4.5223083689440244</v>
      </c>
      <c r="O78" s="6">
        <f>IF(E78&lt;I$3,P78*(1-I$6*D78/C78),IF(OPFOKLEGHEN!$H$11="droogtunnel (platen) 55%",P78*(1-$I$6)+(C78-D78)/C78*(K78-P78*(1-I$6)),P78*(1-$I$6)+(C78-D78)/C78*(K78-P78*(1-I$6))))</f>
        <v>4.5223083689440244</v>
      </c>
      <c r="P78" s="129">
        <f t="shared" si="31"/>
        <v>4.5223083689440244</v>
      </c>
      <c r="Q78" s="134">
        <f t="shared" si="32"/>
        <v>4.5223083689440244</v>
      </c>
      <c r="R78" s="134">
        <f t="shared" si="18"/>
        <v>4.5223083689440244</v>
      </c>
      <c r="S78" s="199">
        <f>IF(G78&lt;0.1,K78,IF(C78=F78,S78/(1-I$4),IF(I$3=0,K78-(G78/C78)*K78*S$13,IF(OPFOKLEGHEN!$H$13="Parallel geschakeld met warmtewisselaar",K78-(K78-(K78-Q78)/I$4)*(G78/(C78-F78))*S$13,IF(OPFOKLEGHEN!$H$20="ja",K78-(K78-(K78-P78)/I$4)*(G78/(C78-MIN(D78,I$5)))*S$13,K78-(K78-(K78-P78)/I$4)*(G78/(C78-MIN(D78,I$5)))*S$13)))))</f>
        <v>4.5223083689440244</v>
      </c>
      <c r="T78" s="17">
        <f t="shared" si="42"/>
        <v>4.5223083689440244</v>
      </c>
      <c r="U78" s="6">
        <f t="shared" si="50"/>
        <v>0</v>
      </c>
      <c r="V78" s="129">
        <f>IF(OPFOKLEGHEN!$J$18="nee",H78/C78*K78,IF(OPFOKLEGHEN!$H$20="ja",O78-(K78-Q78)-(K78-S78),Q78-(K78-O78)-(K78-S78)))</f>
        <v>4.5223083689440244</v>
      </c>
      <c r="W78" s="162">
        <f>IF(H78=0,0,IF(OPFOKLEGHEN!$H$11="geen droogtunnel",IF(OPFOKLEGHEN!$H$15="geen warmtewisselaar",Q78-(K78-R78)))+IF(OPFOKLEGHEN!$H$12&gt;0,IF(OPFOKLEGHEN!$H$13="serie geschakeld met warmtewisselaar",(O78*80%-(K78-S78)),(Q78-(K78-S78)-(K78-T78))),(N78-(K78-S78))))</f>
        <v>9.0446167378880489</v>
      </c>
      <c r="X78" s="162">
        <f>IF(H78=0,0,IF(OPFOKLEGHEN!$H$11="geen droogtunnel",IF(OPFOKLEGHEN!$H$15="geen warmtewisselaar",Q78-(K78-R78)))+IF(OPFOKLEGHEN!$H$12&gt;0,IF(OPFOKLEGHEN!$H$13="serie geschakeld met warmtewisselaar",3*(O78*80%-(K78-S78)),(Q78-(K78-S78)-(K78-N78))),(N78-(K78-S78))))</f>
        <v>9.0446167378880489</v>
      </c>
      <c r="Y78" s="162">
        <f>IF(H78=0,0,IF(OPFOKLEGHEN!$H$11="geen droogtunnel",IF(OPFOKLEGHEN!$H$15="geen warmtewisselaar",Q78-(K78-R78)))+IF(OPFOKLEGHEN!$H$12&gt;0,IF(OPFOKLEGHEN!$H$13="serie geschakeld met warmtewisselaar",(O78-(K78-S78)),IF(OPFOKLEGHEN!$H$13="parallel geschakeld met warmtewisselaar",IF(OPFOKLEGHEN!$L$9="ja",IF(OPFOKLEGHEN!$J$18="nee",(N78-(K78-Q78)-(K78-S78)),(Q78-(K78-N78/80%)))))),(O78-(K78-S78))))</f>
        <v>9.0446167378880489</v>
      </c>
      <c r="Z78" s="130">
        <f t="shared" si="33"/>
        <v>1</v>
      </c>
      <c r="AA78" s="130"/>
      <c r="AB78" s="130"/>
      <c r="AC78" s="167">
        <f>IF(H78=0,0,IF(OPFOKLEGHEN!$H$11="geen droogtunnel",IF(OPFOKLEGHEN!$H$15="geen warmtewisselaar",(P78-(K78-R78)/R$13),K78-(K78-O78)/I$6-(K78-R78)/95%)+IF(OPFOKLEGHEN!$J$18="ja",(K78-O78)*(1-I$6)),IF(OPFOKLEGHEN!$H$12&gt;=0,IF(OPFOKLEGHEN!$L$9="ja",IF(OPFOKLEGHEN!$J$18="ja",IF(OPFOKLEGHEN!$H$20="ja",O78-(K78-S78),IF(OPFOKLEGHEN!$H$20="nee",(O78-(K78-S78)),(O78-(K78-S78)))),IF(OPFOKLEGHEN!$J$18="nee",IF(OPFOKLEGHEN!$H$20="nee",O78*80%-(K78-S78),0+O78-(K78-S78)))),IF(OPFOKLEGHEN!$L$9="nee",IF(OPFOKLEGHEN!$J$18="nee",IF(OPFOKLEGHEN!$H$20="nee",(O78*80%-(K78-S78)),O78*93%-(K78-S78)),IF(OPFOKLEGHEN!$H$20="nee",IF(OPFOKLEGHEN!$J$18="ja",IF(OPFOKLEGHEN!$L$9="nee",O78-(K78-S78))),O78-(K78-S78))))))))</f>
        <v>4.5223083689440244</v>
      </c>
      <c r="AD78" s="167" t="e">
        <f>IF(H78=0,0,IF(OPFOKLEGHEN!$H$11="geen droogtunnel",IF(OPFOKLEGHEN!$H$15="geen warmtewisselaar",(Q78-(K78-R78)/S$13),N78-(K78-R78)),IF(OPFOKLEGHEN!$H$12&gt;=0,IF(OPFOKLEGHEN!$L$9="ja",IF(OPFOKLEGHEN!$J$18="ja",IF(OPFOKLEGHEN!$H$20="ja",Q78-(K78-N78)-(K78-S78),IF(OPFOKLEGHEN!$H$20="nee",(Q78-(K78-N78)-(K78-S78)),(O78-(K78-S78)))),IF(OPFOKLEGHEN!$J$18="nee",IF(OPFOKLEGHEN!$H$20="nee",1*Q78*$N$135-(K78-N78)-(K78-S78),(Q78-(K78-N78)-(K78-S78))*N$135))),IF(OPFOKLEGHEN!$L$9="nee",IF(OPFOKLEGHEN!$J$18="nee",IF(OPFOKLEGHEN!$H$20="nee",(N78*95%-(K78-Q78)/I$4-(K78-S78)),N78-(K78-Q78)/I$4-(K78-S78)),IF(OPFOKLEGHEN!$H$20="nee",IF(OPFOKLEGHEN!$J$18="ja",IF(OPFOKLEGHEN!$L$9="nee",N78-(K78-Q78)/I$4-(K78-S78))),N78-(K78-Q78)/I$4-(K78-S78))))))))</f>
        <v>#DIV/0!</v>
      </c>
      <c r="AE78" s="4"/>
      <c r="AF78" s="6"/>
      <c r="AG78" s="6"/>
      <c r="AH78" s="4"/>
      <c r="AI78" s="6"/>
      <c r="AJ78" s="6"/>
      <c r="AK78" s="4"/>
      <c r="AL78" s="6"/>
      <c r="AM78" s="1">
        <v>9</v>
      </c>
      <c r="AN78" s="1">
        <v>63</v>
      </c>
      <c r="AO78" s="5">
        <v>720</v>
      </c>
      <c r="AP78" s="5">
        <v>650</v>
      </c>
      <c r="AQ78" s="5">
        <f t="shared" si="20"/>
        <v>685</v>
      </c>
      <c r="AR78" s="100"/>
    </row>
    <row r="79" spans="1:44" ht="13" x14ac:dyDescent="0.3">
      <c r="A79" s="1">
        <v>10</v>
      </c>
      <c r="B79" s="1">
        <v>64</v>
      </c>
      <c r="C79" s="4">
        <f t="shared" si="14"/>
        <v>0.79170385806028398</v>
      </c>
      <c r="D79" s="7">
        <f t="shared" si="48"/>
        <v>0</v>
      </c>
      <c r="E79" s="7">
        <f>IF(I$3=0,0,IF(OPFOKLEGHEN!$H$13="parallel geschakeld met warmtewisselaar",0,MIN(I$3,C79)))</f>
        <v>0</v>
      </c>
      <c r="F79" s="7">
        <f>IF(I$3=0,0,IF(OPFOKLEGHEN!$H$13="serie geschakeld met warmtewisselaar",0,IF(C79&lt;$I$3,C79-D79,MIN($I$3,C79-D79))))</f>
        <v>0</v>
      </c>
      <c r="G79" s="137">
        <f>IF(C79&lt;$I$7,MAX(0,C79-D79-E79-F79,IF(OPFOKLEGHEN!$H$15="warmtewisselaar",IF(OPFOKLEGHEN!$H$13="serie geschakeld met warmtewisselaar",MIN(I$7,MAX(0,C79-D79-F79)),MIN(I$7,MAX(0,C79-D79-E79-F79))))),IF(OPFOKLEGHEN!$H$13="parallel geschakeld met warmtewisselaar",MIN(I$7,C79-D79-E79-F79,MIN(I$7,C79-E79-F79)),MIN(I$7,MAX(0,C79-D79-F79))))</f>
        <v>0</v>
      </c>
      <c r="H79" s="7">
        <f>IF(OPFOKLEGHEN!$H$13="parallel geschakeld met warmtewisselaar",IF(OPFOKLEGHEN!$L$9="nee",IF(OPFOKLEGHEN!$J$18="ja",C79-F79-G79,C79-D79-F79-G79),IF(OPFOKLEGHEN!$L$9="ja",IF(OPFOKLEGHEN!$J$18="ja",C79-G79,IF(OPFOKLEGHEN!$J$18="nee",C79-D79-G79)))),IF(OPFOKLEGHEN!$H$13="serie geschakeld met warmtewisselaar",IF(OPFOKLEGHEN!$J$18="ja",C79-G79,C79-D79-F79-G79),C79-D79-F79-G79))</f>
        <v>0.79170385806028398</v>
      </c>
      <c r="I79" s="98">
        <f t="shared" si="49"/>
        <v>0.79170385806028398</v>
      </c>
      <c r="J79" s="99">
        <v>0.6759365131546079</v>
      </c>
      <c r="K79" s="6">
        <f t="shared" si="16"/>
        <v>4.6878399365504739</v>
      </c>
      <c r="L79" s="130">
        <f>SUM(K$16:K79)/$K$137</f>
        <v>0.12919786262742788</v>
      </c>
      <c r="M79" s="6">
        <f t="shared" si="17"/>
        <v>3.4249058897172412E-2</v>
      </c>
      <c r="N79" s="6">
        <f t="shared" si="30"/>
        <v>4.6878399365504739</v>
      </c>
      <c r="O79" s="6">
        <f>IF(E79&lt;I$3,P79*(1-I$6*D79/C79),IF(OPFOKLEGHEN!$H$11="droogtunnel (platen) 55%",P79*(1-$I$6)+(C79-D79)/C79*(K79-P79*(1-I$6)),P79*(1-$I$6)+(C79-D79)/C79*(K79-P79*(1-I$6))))</f>
        <v>4.6878399365504739</v>
      </c>
      <c r="P79" s="129">
        <f t="shared" si="31"/>
        <v>4.6878399365504739</v>
      </c>
      <c r="Q79" s="134">
        <f t="shared" si="32"/>
        <v>4.6878399365504739</v>
      </c>
      <c r="R79" s="134">
        <f t="shared" si="18"/>
        <v>4.6878399365504739</v>
      </c>
      <c r="S79" s="199">
        <f>IF(G79&lt;0.1,K79,IF(C79=F79,S79/(1-I$4),IF(I$3=0,K79-(G79/C79)*K79*S$13,IF(OPFOKLEGHEN!$H$13="Parallel geschakeld met warmtewisselaar",K79-(K79-(K79-Q79)/I$4)*(G79/(C79-F79))*S$13,IF(OPFOKLEGHEN!$H$20="ja",K79-(K79-(K79-P79)/I$4)*(G79/(C79-MIN(D79,I$5)))*S$13,K79-(K79-(K79-P79)/I$4)*(G79/(C79-MIN(D79,I$5)))*S$13)))))</f>
        <v>4.6878399365504739</v>
      </c>
      <c r="T79" s="17">
        <f t="shared" si="42"/>
        <v>4.6878399365504739</v>
      </c>
      <c r="U79" s="6">
        <f t="shared" si="50"/>
        <v>0</v>
      </c>
      <c r="V79" s="129">
        <f>IF(OPFOKLEGHEN!$J$18="nee",H79/C79*K79,IF(OPFOKLEGHEN!$H$20="ja",O79-(K79-Q79)-(K79-S79),Q79-(K79-O79)-(K79-S79)))</f>
        <v>4.6878399365504739</v>
      </c>
      <c r="W79" s="162">
        <f>IF(H79=0,0,IF(OPFOKLEGHEN!$H$11="geen droogtunnel",IF(OPFOKLEGHEN!$H$15="geen warmtewisselaar",Q79-(K79-R79)))+IF(OPFOKLEGHEN!$H$12&gt;0,IF(OPFOKLEGHEN!$H$13="serie geschakeld met warmtewisselaar",(O79*80%-(K79-S79)),(Q79-(K79-S79)-(K79-T79))),(N79-(K79-S79))))</f>
        <v>9.3756798731009479</v>
      </c>
      <c r="X79" s="162">
        <f>IF(H79=0,0,IF(OPFOKLEGHEN!$H$11="geen droogtunnel",IF(OPFOKLEGHEN!$H$15="geen warmtewisselaar",Q79-(K79-R79)))+IF(OPFOKLEGHEN!$H$12&gt;0,IF(OPFOKLEGHEN!$H$13="serie geschakeld met warmtewisselaar",3*(O79*80%-(K79-S79)),(Q79-(K79-S79)-(K79-N79))),(N79-(K79-S79))))</f>
        <v>9.3756798731009479</v>
      </c>
      <c r="Y79" s="162">
        <f>IF(H79=0,0,IF(OPFOKLEGHEN!$H$11="geen droogtunnel",IF(OPFOKLEGHEN!$H$15="geen warmtewisselaar",Q79-(K79-R79)))+IF(OPFOKLEGHEN!$H$12&gt;0,IF(OPFOKLEGHEN!$H$13="serie geschakeld met warmtewisselaar",(O79-(K79-S79)),IF(OPFOKLEGHEN!$H$13="parallel geschakeld met warmtewisselaar",IF(OPFOKLEGHEN!$L$9="ja",IF(OPFOKLEGHEN!$J$18="nee",(N79-(K79-Q79)-(K79-S79)),(Q79-(K79-N79/80%)))))),(O79-(K79-S79))))</f>
        <v>9.3756798731009479</v>
      </c>
      <c r="Z79" s="130">
        <f t="shared" si="33"/>
        <v>1</v>
      </c>
      <c r="AA79" s="130"/>
      <c r="AB79" s="130"/>
      <c r="AC79" s="167">
        <f>IF(H79=0,0,IF(OPFOKLEGHEN!$H$11="geen droogtunnel",IF(OPFOKLEGHEN!$H$15="geen warmtewisselaar",(P79-(K79-R79)/R$13),K79-(K79-O79)/I$6-(K79-R79)/95%)+IF(OPFOKLEGHEN!$J$18="ja",(K79-O79)*(1-I$6)),IF(OPFOKLEGHEN!$H$12&gt;=0,IF(OPFOKLEGHEN!$L$9="ja",IF(OPFOKLEGHEN!$J$18="ja",IF(OPFOKLEGHEN!$H$20="ja",O79-(K79-S79),IF(OPFOKLEGHEN!$H$20="nee",(O79-(K79-S79)),(O79-(K79-S79)))),IF(OPFOKLEGHEN!$J$18="nee",IF(OPFOKLEGHEN!$H$20="nee",O79*80%-(K79-S79),0+O79-(K79-S79)))),IF(OPFOKLEGHEN!$L$9="nee",IF(OPFOKLEGHEN!$J$18="nee",IF(OPFOKLEGHEN!$H$20="nee",(O79*80%-(K79-S79)),O79*93%-(K79-S79)),IF(OPFOKLEGHEN!$H$20="nee",IF(OPFOKLEGHEN!$J$18="ja",IF(OPFOKLEGHEN!$L$9="nee",O79-(K79-S79))),O79-(K79-S79))))))))</f>
        <v>4.6878399365504739</v>
      </c>
      <c r="AD79" s="167" t="e">
        <f>IF(H79=0,0,IF(OPFOKLEGHEN!$H$11="geen droogtunnel",IF(OPFOKLEGHEN!$H$15="geen warmtewisselaar",(Q79-(K79-R79)/S$13),N79-(K79-R79)),IF(OPFOKLEGHEN!$H$12&gt;=0,IF(OPFOKLEGHEN!$L$9="ja",IF(OPFOKLEGHEN!$J$18="ja",IF(OPFOKLEGHEN!$H$20="ja",Q79-(K79-N79)-(K79-S79),IF(OPFOKLEGHEN!$H$20="nee",(Q79-(K79-N79)-(K79-S79)),(O79-(K79-S79)))),IF(OPFOKLEGHEN!$J$18="nee",IF(OPFOKLEGHEN!$H$20="nee",1*Q79*$N$135-(K79-N79)-(K79-S79),(Q79-(K79-N79)-(K79-S79))*N$135))),IF(OPFOKLEGHEN!$L$9="nee",IF(OPFOKLEGHEN!$J$18="nee",IF(OPFOKLEGHEN!$H$20="nee",(N79*95%-(K79-Q79)/I$4-(K79-S79)),N79-(K79-Q79)/I$4-(K79-S79)),IF(OPFOKLEGHEN!$H$20="nee",IF(OPFOKLEGHEN!$J$18="ja",IF(OPFOKLEGHEN!$L$9="nee",N79-(K79-Q79)/I$4-(K79-S79))),N79-(K79-Q79)/I$4-(K79-S79))))))))</f>
        <v>#DIV/0!</v>
      </c>
      <c r="AE79" s="4"/>
      <c r="AF79" s="6"/>
      <c r="AG79" s="6"/>
      <c r="AH79" s="4"/>
      <c r="AI79" s="6"/>
      <c r="AJ79" s="6"/>
      <c r="AK79" s="4"/>
      <c r="AL79" s="6"/>
      <c r="AM79" s="1">
        <v>10</v>
      </c>
      <c r="AN79" s="1">
        <v>64</v>
      </c>
      <c r="AO79" s="5">
        <f>AO78+12.1</f>
        <v>732.1</v>
      </c>
      <c r="AP79" s="5">
        <f>AP78+12.1</f>
        <v>662.1</v>
      </c>
      <c r="AQ79" s="5">
        <f t="shared" si="20"/>
        <v>697.1</v>
      </c>
      <c r="AR79" s="100"/>
    </row>
    <row r="80" spans="1:44" ht="13" x14ac:dyDescent="0.3">
      <c r="A80" s="1">
        <v>10</v>
      </c>
      <c r="B80" s="1">
        <v>65</v>
      </c>
      <c r="C80" s="4">
        <f t="shared" si="14"/>
        <v>0.80561152572503203</v>
      </c>
      <c r="D80" s="7">
        <f t="shared" si="48"/>
        <v>0</v>
      </c>
      <c r="E80" s="7">
        <f>IF(I$3=0,0,IF(OPFOKLEGHEN!$H$13="parallel geschakeld met warmtewisselaar",0,MIN(I$3,C80)))</f>
        <v>0</v>
      </c>
      <c r="F80" s="7">
        <f>IF(I$3=0,0,IF(OPFOKLEGHEN!$H$13="serie geschakeld met warmtewisselaar",0,IF(C80&lt;$I$3,C80-D80,MIN($I$3,C80-D80))))</f>
        <v>0</v>
      </c>
      <c r="G80" s="137">
        <f>IF(C80&lt;$I$7,MAX(0,C80-D80-E80-F80,IF(OPFOKLEGHEN!$H$15="warmtewisselaar",IF(OPFOKLEGHEN!$H$13="serie geschakeld met warmtewisselaar",MIN(I$7,MAX(0,C80-D80-F80)),MIN(I$7,MAX(0,C80-D80-E80-F80))))),IF(OPFOKLEGHEN!$H$13="parallel geschakeld met warmtewisselaar",MIN(I$7,C80-D80-E80-F80,MIN(I$7,C80-E80-F80)),MIN(I$7,MAX(0,C80-D80-F80))))</f>
        <v>0</v>
      </c>
      <c r="H80" s="7">
        <f>IF(OPFOKLEGHEN!$H$13="parallel geschakeld met warmtewisselaar",IF(OPFOKLEGHEN!$L$9="nee",IF(OPFOKLEGHEN!$J$18="ja",C80-F80-G80,C80-D80-F80-G80),IF(OPFOKLEGHEN!$L$9="ja",IF(OPFOKLEGHEN!$J$18="ja",C80-G80,IF(OPFOKLEGHEN!$J$18="nee",C80-D80-G80)))),IF(OPFOKLEGHEN!$H$13="serie geschakeld met warmtewisselaar",IF(OPFOKLEGHEN!$J$18="ja",C80-G80,C80-D80-F80-G80),C80-D80-F80-G80))</f>
        <v>0.80561152572503203</v>
      </c>
      <c r="I80" s="98">
        <f t="shared" si="49"/>
        <v>0.80561152572503203</v>
      </c>
      <c r="J80" s="99">
        <v>0.68848887256129243</v>
      </c>
      <c r="K80" s="6">
        <f t="shared" si="16"/>
        <v>4.8587740425627759</v>
      </c>
      <c r="L80" s="130">
        <f>SUM(K$16:K80)/$K$137</f>
        <v>0.13488768195758802</v>
      </c>
      <c r="M80" s="6">
        <f t="shared" si="17"/>
        <v>3.6052547119472651E-2</v>
      </c>
      <c r="N80" s="6">
        <f t="shared" ref="N80:N111" si="53">(((($K80)*(1-($I$6*(D80)/C80)))))</f>
        <v>4.8587740425627759</v>
      </c>
      <c r="O80" s="6">
        <f>IF(E80&lt;I$3,P80*(1-I$6*D80/C80),IF(OPFOKLEGHEN!$H$11="droogtunnel (platen) 55%",P80*(1-$I$6)+(C80-D80)/C80*(K80-P80*(1-I$6)),P80*(1-$I$6)+(C80-D80)/C80*(K80-P80*(1-I$6))))</f>
        <v>4.8587740425627759</v>
      </c>
      <c r="P80" s="129">
        <f t="shared" ref="P80:P111" si="54">IF(E80=0,K80,K80-K80*I$4*E80/C80)</f>
        <v>4.8587740425627759</v>
      </c>
      <c r="Q80" s="134">
        <f t="shared" ref="Q80:Q111" si="55">IF(F80=0,K80,K80-K80*I$4*F80/C80)</f>
        <v>4.8587740425627759</v>
      </c>
      <c r="R80" s="134">
        <f t="shared" si="18"/>
        <v>4.8587740425627759</v>
      </c>
      <c r="S80" s="199">
        <f>IF(G80&lt;0.1,K80,IF(C80=F80,S80/(1-I$4),IF(I$3=0,K80-(G80/C80)*K80*S$13,IF(OPFOKLEGHEN!$H$13="Parallel geschakeld met warmtewisselaar",K80-(K80-(K80-Q80)/I$4)*(G80/(C80-F80))*S$13,IF(OPFOKLEGHEN!$H$20="ja",K80-(K80-(K80-P80)/I$4)*(G80/(C80-MIN(D80,I$5)))*S$13,K80-(K80-(K80-P80)/I$4)*(G80/(C80-MIN(D80,I$5)))*S$13)))))</f>
        <v>4.8587740425627759</v>
      </c>
      <c r="T80" s="17">
        <f t="shared" si="42"/>
        <v>4.8587740425627759</v>
      </c>
      <c r="U80" s="6">
        <f t="shared" si="50"/>
        <v>0</v>
      </c>
      <c r="V80" s="129">
        <f>IF(OPFOKLEGHEN!$J$18="nee",H80/C80*K80,IF(OPFOKLEGHEN!$H$20="ja",O80-(K80-Q80)-(K80-S80),Q80-(K80-O80)-(K80-S80)))</f>
        <v>4.8587740425627759</v>
      </c>
      <c r="W80" s="162">
        <f>IF(H80=0,0,IF(OPFOKLEGHEN!$H$11="geen droogtunnel",IF(OPFOKLEGHEN!$H$15="geen warmtewisselaar",Q80-(K80-R80)))+IF(OPFOKLEGHEN!$H$12&gt;0,IF(OPFOKLEGHEN!$H$13="serie geschakeld met warmtewisselaar",(O80*80%-(K80-S80)),(Q80-(K80-S80)-(K80-T80))),(N80-(K80-S80))))</f>
        <v>9.7175480851255518</v>
      </c>
      <c r="X80" s="162">
        <f>IF(H80=0,0,IF(OPFOKLEGHEN!$H$11="geen droogtunnel",IF(OPFOKLEGHEN!$H$15="geen warmtewisselaar",Q80-(K80-R80)))+IF(OPFOKLEGHEN!$H$12&gt;0,IF(OPFOKLEGHEN!$H$13="serie geschakeld met warmtewisselaar",3*(O80*80%-(K80-S80)),(Q80-(K80-S80)-(K80-N80))),(N80-(K80-S80))))</f>
        <v>9.7175480851255518</v>
      </c>
      <c r="Y80" s="162">
        <f>IF(H80=0,0,IF(OPFOKLEGHEN!$H$11="geen droogtunnel",IF(OPFOKLEGHEN!$H$15="geen warmtewisselaar",Q80-(K80-R80)))+IF(OPFOKLEGHEN!$H$12&gt;0,IF(OPFOKLEGHEN!$H$13="serie geschakeld met warmtewisselaar",(O80-(K80-S80)),IF(OPFOKLEGHEN!$H$13="parallel geschakeld met warmtewisselaar",IF(OPFOKLEGHEN!$L$9="ja",IF(OPFOKLEGHEN!$J$18="nee",(N80-(K80-Q80)-(K80-S80)),(Q80-(K80-N80/80%)))))),(O80-(K80-S80))))</f>
        <v>9.7175480851255518</v>
      </c>
      <c r="Z80" s="130">
        <f t="shared" ref="Z80:Z111" si="56">Q80/K80</f>
        <v>1</v>
      </c>
      <c r="AA80" s="130"/>
      <c r="AB80" s="130"/>
      <c r="AC80" s="167">
        <f>IF(H80=0,0,IF(OPFOKLEGHEN!$H$11="geen droogtunnel",IF(OPFOKLEGHEN!$H$15="geen warmtewisselaar",(P80-(K80-R80)/R$13),K80-(K80-O80)/I$6-(K80-R80)/95%)+IF(OPFOKLEGHEN!$J$18="ja",(K80-O80)*(1-I$6)),IF(OPFOKLEGHEN!$H$12&gt;=0,IF(OPFOKLEGHEN!$L$9="ja",IF(OPFOKLEGHEN!$J$18="ja",IF(OPFOKLEGHEN!$H$20="ja",O80-(K80-S80),IF(OPFOKLEGHEN!$H$20="nee",(O80-(K80-S80)),(O80-(K80-S80)))),IF(OPFOKLEGHEN!$J$18="nee",IF(OPFOKLEGHEN!$H$20="nee",O80*80%-(K80-S80),0+O80-(K80-S80)))),IF(OPFOKLEGHEN!$L$9="nee",IF(OPFOKLEGHEN!$J$18="nee",IF(OPFOKLEGHEN!$H$20="nee",(O80*80%-(K80-S80)),O80*93%-(K80-S80)),IF(OPFOKLEGHEN!$H$20="nee",IF(OPFOKLEGHEN!$J$18="ja",IF(OPFOKLEGHEN!$L$9="nee",O80-(K80-S80))),O80-(K80-S80))))))))</f>
        <v>4.8587740425627759</v>
      </c>
      <c r="AD80" s="167" t="e">
        <f>IF(H80=0,0,IF(OPFOKLEGHEN!$H$11="geen droogtunnel",IF(OPFOKLEGHEN!$H$15="geen warmtewisselaar",(Q80-(K80-R80)/S$13),N80-(K80-R80)),IF(OPFOKLEGHEN!$H$12&gt;=0,IF(OPFOKLEGHEN!$L$9="ja",IF(OPFOKLEGHEN!$J$18="ja",IF(OPFOKLEGHEN!$H$20="ja",Q80-(K80-N80)-(K80-S80),IF(OPFOKLEGHEN!$H$20="nee",(Q80-(K80-N80)-(K80-S80)),(O80-(K80-S80)))),IF(OPFOKLEGHEN!$J$18="nee",IF(OPFOKLEGHEN!$H$20="nee",1*Q80*$N$135-(K80-N80)-(K80-S80),(Q80-(K80-N80)-(K80-S80))*N$135))),IF(OPFOKLEGHEN!$L$9="nee",IF(OPFOKLEGHEN!$J$18="nee",IF(OPFOKLEGHEN!$H$20="nee",(N80*95%-(K80-Q80)/I$4-(K80-S80)),N80-(K80-Q80)/I$4-(K80-S80)),IF(OPFOKLEGHEN!$H$20="nee",IF(OPFOKLEGHEN!$J$18="ja",IF(OPFOKLEGHEN!$L$9="nee",N80-(K80-Q80)/I$4-(K80-S80))),N80-(K80-Q80)/I$4-(K80-S80))))))))</f>
        <v>#DIV/0!</v>
      </c>
      <c r="AE80" s="4"/>
      <c r="AF80" s="6"/>
      <c r="AG80" s="6"/>
      <c r="AH80" s="4"/>
      <c r="AI80" s="6"/>
      <c r="AJ80" s="6"/>
      <c r="AK80" s="4"/>
      <c r="AL80" s="6"/>
      <c r="AM80" s="1">
        <v>10</v>
      </c>
      <c r="AN80" s="1">
        <v>65</v>
      </c>
      <c r="AO80" s="5">
        <f t="shared" ref="AO80:AP84" si="57">AO79+12.1</f>
        <v>744.2</v>
      </c>
      <c r="AP80" s="5">
        <f t="shared" si="57"/>
        <v>674.2</v>
      </c>
      <c r="AQ80" s="5">
        <f t="shared" si="20"/>
        <v>709.2</v>
      </c>
      <c r="AR80" s="100"/>
    </row>
    <row r="81" spans="1:44" ht="13" x14ac:dyDescent="0.3">
      <c r="A81" s="1">
        <v>10</v>
      </c>
      <c r="B81" s="1">
        <v>66</v>
      </c>
      <c r="C81" s="4">
        <f t="shared" ref="C81:C92" si="58">0.000000000384*AQ81^3-0.000000342064*AQ81^2+0.001060852819*AQ81+0.088327034395</f>
        <v>0.81965826368078809</v>
      </c>
      <c r="D81" s="7">
        <f t="shared" si="48"/>
        <v>0</v>
      </c>
      <c r="E81" s="7">
        <f>IF(I$3=0,0,IF(OPFOKLEGHEN!$H$13="parallel geschakeld met warmtewisselaar",0,MIN(I$3,C81)))</f>
        <v>0</v>
      </c>
      <c r="F81" s="7">
        <f>IF(I$3=0,0,IF(OPFOKLEGHEN!$H$13="serie geschakeld met warmtewisselaar",0,IF(C81&lt;$I$3,C81-D81,MIN($I$3,C81-D81))))</f>
        <v>0</v>
      </c>
      <c r="G81" s="137">
        <f>IF(C81&lt;$I$7,MAX(0,C81-D81-E81-F81,IF(OPFOKLEGHEN!$H$15="warmtewisselaar",IF(OPFOKLEGHEN!$H$13="serie geschakeld met warmtewisselaar",MIN(I$7,MAX(0,C81-D81-F81)),MIN(I$7,MAX(0,C81-D81-E81-F81))))),IF(OPFOKLEGHEN!$H$13="parallel geschakeld met warmtewisselaar",MIN(I$7,C81-D81-E81-F81,MIN(I$7,C81-E81-F81)),MIN(I$7,MAX(0,C81-D81-F81))))</f>
        <v>0</v>
      </c>
      <c r="H81" s="7">
        <f>IF(OPFOKLEGHEN!$H$13="parallel geschakeld met warmtewisselaar",IF(OPFOKLEGHEN!$L$9="nee",IF(OPFOKLEGHEN!$J$18="ja",C81-F81-G81,C81-D81-F81-G81),IF(OPFOKLEGHEN!$L$9="ja",IF(OPFOKLEGHEN!$J$18="ja",C81-G81,IF(OPFOKLEGHEN!$J$18="nee",C81-D81-G81)))),IF(OPFOKLEGHEN!$H$13="serie geschakeld met warmtewisselaar",IF(OPFOKLEGHEN!$J$18="ja",C81-G81,C81-D81-F81-G81),C81-D81-F81-G81))</f>
        <v>0.81965826368078809</v>
      </c>
      <c r="I81" s="98">
        <f t="shared" si="49"/>
        <v>0.81965826368078809</v>
      </c>
      <c r="J81" s="99">
        <v>0.70127433333712652</v>
      </c>
      <c r="K81" s="6">
        <f t="shared" ref="K81:K134" si="59">(J81/1000)*C81*24*365</f>
        <v>5.0352944492606193</v>
      </c>
      <c r="L81" s="130">
        <f>SUM(K$16:K81)/$K$137</f>
        <v>0.14078421376571049</v>
      </c>
      <c r="M81" s="6">
        <f t="shared" ref="M81:M134" si="60">(((($J81/1000)*(1-$I$8))*$B81*$C81))</f>
        <v>3.7937149960182749E-2</v>
      </c>
      <c r="N81" s="6">
        <f t="shared" si="53"/>
        <v>5.0352944492606193</v>
      </c>
      <c r="O81" s="6">
        <f>IF(E81&lt;I$3,P81*(1-I$6*D81/C81),IF(OPFOKLEGHEN!$H$11="droogtunnel (platen) 55%",P81*(1-$I$6)+(C81-D81)/C81*(K81-P81*(1-I$6)),P81*(1-$I$6)+(C81-D81)/C81*(K81-P81*(1-I$6))))</f>
        <v>5.0352944492606193</v>
      </c>
      <c r="P81" s="129">
        <f t="shared" si="54"/>
        <v>5.0352944492606193</v>
      </c>
      <c r="Q81" s="134">
        <f t="shared" si="55"/>
        <v>5.0352944492606193</v>
      </c>
      <c r="R81" s="134">
        <f t="shared" ref="R81:R134" si="61">K81-(G81/C81)*K81*R$13</f>
        <v>5.0352944492606193</v>
      </c>
      <c r="S81" s="199">
        <f>IF(G81&lt;0.1,K81,IF(C81=F81,S81/(1-I$4),IF(I$3=0,K81-(G81/C81)*K81*S$13,IF(OPFOKLEGHEN!$H$13="Parallel geschakeld met warmtewisselaar",K81-(K81-(K81-Q81)/I$4)*(G81/(C81-F81))*S$13,IF(OPFOKLEGHEN!$H$20="ja",K81-(K81-(K81-P81)/I$4)*(G81/(C81-MIN(D81,I$5)))*S$13,K81-(K81-(K81-P81)/I$4)*(G81/(C81-MIN(D81,I$5)))*S$13)))))</f>
        <v>5.0352944492606193</v>
      </c>
      <c r="T81" s="17">
        <f t="shared" si="42"/>
        <v>5.0352944492606193</v>
      </c>
      <c r="U81" s="6">
        <f t="shared" si="50"/>
        <v>0</v>
      </c>
      <c r="V81" s="129">
        <f>IF(OPFOKLEGHEN!$J$18="nee",H81/C81*K81,IF(OPFOKLEGHEN!$H$20="ja",O81-(K81-Q81)-(K81-S81),Q81-(K81-O81)-(K81-S81)))</f>
        <v>5.0352944492606193</v>
      </c>
      <c r="W81" s="162">
        <f>IF(H81=0,0,IF(OPFOKLEGHEN!$H$11="geen droogtunnel",IF(OPFOKLEGHEN!$H$15="geen warmtewisselaar",Q81-(K81-R81)))+IF(OPFOKLEGHEN!$H$12&gt;0,IF(OPFOKLEGHEN!$H$13="serie geschakeld met warmtewisselaar",(O81*80%-(K81-S81)),(Q81-(K81-S81)-(K81-T81))),(N81-(K81-S81))))</f>
        <v>10.070588898521239</v>
      </c>
      <c r="X81" s="162">
        <f>IF(H81=0,0,IF(OPFOKLEGHEN!$H$11="geen droogtunnel",IF(OPFOKLEGHEN!$H$15="geen warmtewisselaar",Q81-(K81-R81)))+IF(OPFOKLEGHEN!$H$12&gt;0,IF(OPFOKLEGHEN!$H$13="serie geschakeld met warmtewisselaar",3*(O81*80%-(K81-S81)),(Q81-(K81-S81)-(K81-N81))),(N81-(K81-S81))))</f>
        <v>10.070588898521239</v>
      </c>
      <c r="Y81" s="162">
        <f>IF(H81=0,0,IF(OPFOKLEGHEN!$H$11="geen droogtunnel",IF(OPFOKLEGHEN!$H$15="geen warmtewisselaar",Q81-(K81-R81)))+IF(OPFOKLEGHEN!$H$12&gt;0,IF(OPFOKLEGHEN!$H$13="serie geschakeld met warmtewisselaar",(O81-(K81-S81)),IF(OPFOKLEGHEN!$H$13="parallel geschakeld met warmtewisselaar",IF(OPFOKLEGHEN!$L$9="ja",IF(OPFOKLEGHEN!$J$18="nee",(N81-(K81-Q81)-(K81-S81)),(Q81-(K81-N81/80%)))))),(O81-(K81-S81))))</f>
        <v>10.070588898521239</v>
      </c>
      <c r="Z81" s="130">
        <f t="shared" si="56"/>
        <v>1</v>
      </c>
      <c r="AA81" s="130"/>
      <c r="AB81" s="130"/>
      <c r="AC81" s="167">
        <f>IF(H81=0,0,IF(OPFOKLEGHEN!$H$11="geen droogtunnel",IF(OPFOKLEGHEN!$H$15="geen warmtewisselaar",(P81-(K81-R81)/R$13),K81-(K81-O81)/I$6-(K81-R81)/95%)+IF(OPFOKLEGHEN!$J$18="ja",(K81-O81)*(1-I$6)),IF(OPFOKLEGHEN!$H$12&gt;=0,IF(OPFOKLEGHEN!$L$9="ja",IF(OPFOKLEGHEN!$J$18="ja",IF(OPFOKLEGHEN!$H$20="ja",O81-(K81-S81),IF(OPFOKLEGHEN!$H$20="nee",(O81-(K81-S81)),(O81-(K81-S81)))),IF(OPFOKLEGHEN!$J$18="nee",IF(OPFOKLEGHEN!$H$20="nee",O81*80%-(K81-S81),0+O81-(K81-S81)))),IF(OPFOKLEGHEN!$L$9="nee",IF(OPFOKLEGHEN!$J$18="nee",IF(OPFOKLEGHEN!$H$20="nee",(O81*80%-(K81-S81)),O81*93%-(K81-S81)),IF(OPFOKLEGHEN!$H$20="nee",IF(OPFOKLEGHEN!$J$18="ja",IF(OPFOKLEGHEN!$L$9="nee",O81-(K81-S81))),O81-(K81-S81))))))))</f>
        <v>5.0352944492606193</v>
      </c>
      <c r="AD81" s="167" t="e">
        <f>IF(H81=0,0,IF(OPFOKLEGHEN!$H$11="geen droogtunnel",IF(OPFOKLEGHEN!$H$15="geen warmtewisselaar",(Q81-(K81-R81)/S$13),N81-(K81-R81)),IF(OPFOKLEGHEN!$H$12&gt;=0,IF(OPFOKLEGHEN!$L$9="ja",IF(OPFOKLEGHEN!$J$18="ja",IF(OPFOKLEGHEN!$H$20="ja",Q81-(K81-N81)-(K81-S81),IF(OPFOKLEGHEN!$H$20="nee",(Q81-(K81-N81)-(K81-S81)),(O81-(K81-S81)))),IF(OPFOKLEGHEN!$J$18="nee",IF(OPFOKLEGHEN!$H$20="nee",1*Q81*$N$135-(K81-N81)-(K81-S81),(Q81-(K81-N81)-(K81-S81))*N$135))),IF(OPFOKLEGHEN!$L$9="nee",IF(OPFOKLEGHEN!$J$18="nee",IF(OPFOKLEGHEN!$H$20="nee",(N81*95%-(K81-Q81)/I$4-(K81-S81)),N81-(K81-Q81)/I$4-(K81-S81)),IF(OPFOKLEGHEN!$H$20="nee",IF(OPFOKLEGHEN!$J$18="ja",IF(OPFOKLEGHEN!$L$9="nee",N81-(K81-Q81)/I$4-(K81-S81))),N81-(K81-Q81)/I$4-(K81-S81))))))))</f>
        <v>#DIV/0!</v>
      </c>
      <c r="AE81" s="4"/>
      <c r="AF81" s="6"/>
      <c r="AG81" s="6"/>
      <c r="AH81" s="4"/>
      <c r="AI81" s="6"/>
      <c r="AJ81" s="6"/>
      <c r="AK81" s="4"/>
      <c r="AL81" s="6"/>
      <c r="AM81" s="1">
        <v>10</v>
      </c>
      <c r="AN81" s="1">
        <v>66</v>
      </c>
      <c r="AO81" s="5">
        <f t="shared" si="57"/>
        <v>756.30000000000007</v>
      </c>
      <c r="AP81" s="5">
        <f t="shared" si="57"/>
        <v>686.30000000000007</v>
      </c>
      <c r="AQ81" s="5">
        <f t="shared" ref="AQ81:AQ134" si="62">(AO81+AP81)/2</f>
        <v>721.30000000000007</v>
      </c>
      <c r="AR81" s="100"/>
    </row>
    <row r="82" spans="1:44" ht="13" x14ac:dyDescent="0.3">
      <c r="A82" s="1">
        <v>10</v>
      </c>
      <c r="B82" s="1">
        <v>67</v>
      </c>
      <c r="C82" s="4">
        <f t="shared" si="58"/>
        <v>0.83384815360409603</v>
      </c>
      <c r="D82" s="7">
        <f t="shared" si="48"/>
        <v>0</v>
      </c>
      <c r="E82" s="7">
        <f>IF(I$3=0,0,IF(OPFOKLEGHEN!$H$13="parallel geschakeld met warmtewisselaar",0,MIN(I$3,C82)))</f>
        <v>0</v>
      </c>
      <c r="F82" s="7">
        <f>IF(I$3=0,0,IF(OPFOKLEGHEN!$H$13="serie geschakeld met warmtewisselaar",0,IF(C82&lt;$I$3,C82-D82,MIN($I$3,C82-D82))))</f>
        <v>0</v>
      </c>
      <c r="G82" s="137">
        <f>IF(C82&lt;$I$7,MAX(0,C82-D82-E82-F82,IF(OPFOKLEGHEN!$H$15="warmtewisselaar",IF(OPFOKLEGHEN!$H$13="serie geschakeld met warmtewisselaar",MIN(I$7,MAX(0,C82-D82-F82)),MIN(I$7,MAX(0,C82-D82-E82-F82))))),IF(OPFOKLEGHEN!$H$13="parallel geschakeld met warmtewisselaar",MIN(I$7,C82-D82-E82-F82,MIN(I$7,C82-E82-F82)),MIN(I$7,MAX(0,C82-D82-F82))))</f>
        <v>0</v>
      </c>
      <c r="H82" s="7">
        <f>IF(OPFOKLEGHEN!$H$13="parallel geschakeld met warmtewisselaar",IF(OPFOKLEGHEN!$L$9="nee",IF(OPFOKLEGHEN!$J$18="ja",C82-F82-G82,C82-D82-F82-G82),IF(OPFOKLEGHEN!$L$9="ja",IF(OPFOKLEGHEN!$J$18="ja",C82-G82,IF(OPFOKLEGHEN!$J$18="nee",C82-D82-G82)))),IF(OPFOKLEGHEN!$H$13="serie geschakeld met warmtewisselaar",IF(OPFOKLEGHEN!$J$18="ja",C82-G82,C82-D82-F82-G82),C82-D82-F82-G82))</f>
        <v>0.83384815360409603</v>
      </c>
      <c r="I82" s="98">
        <f t="shared" si="49"/>
        <v>0.83384815360409603</v>
      </c>
      <c r="J82" s="99">
        <v>0.71429722424983755</v>
      </c>
      <c r="K82" s="6">
        <f t="shared" si="59"/>
        <v>5.2175910929116602</v>
      </c>
      <c r="L82" s="130">
        <f>SUM(K$16:K82)/$K$137</f>
        <v>0.14689422225700091</v>
      </c>
      <c r="M82" s="6">
        <f t="shared" si="60"/>
        <v>3.9906233244872281E-2</v>
      </c>
      <c r="N82" s="6">
        <f t="shared" si="53"/>
        <v>5.2175910929116602</v>
      </c>
      <c r="O82" s="6">
        <f>IF(E82&lt;I$3,P82*(1-I$6*D82/C82),IF(OPFOKLEGHEN!$H$11="droogtunnel (platen) 55%",P82*(1-$I$6)+(C82-D82)/C82*(K82-P82*(1-I$6)),P82*(1-$I$6)+(C82-D82)/C82*(K82-P82*(1-I$6))))</f>
        <v>5.2175910929116602</v>
      </c>
      <c r="P82" s="129">
        <f t="shared" si="54"/>
        <v>5.2175910929116602</v>
      </c>
      <c r="Q82" s="134">
        <f t="shared" si="55"/>
        <v>5.2175910929116602</v>
      </c>
      <c r="R82" s="134">
        <f t="shared" si="61"/>
        <v>5.2175910929116602</v>
      </c>
      <c r="S82" s="199">
        <f>IF(G82&lt;0.1,K82,IF(C82=F82,S82/(1-I$4),IF(I$3=0,K82-(G82/C82)*K82*S$13,IF(OPFOKLEGHEN!$H$13="Parallel geschakeld met warmtewisselaar",K82-(K82-(K82-Q82)/I$4)*(G82/(C82-F82))*S$13,IF(OPFOKLEGHEN!$H$20="ja",K82-(K82-(K82-P82)/I$4)*(G82/(C82-MIN(D82,I$5)))*S$13,K82-(K82-(K82-P82)/I$4)*(G82/(C82-MIN(D82,I$5)))*S$13)))))</f>
        <v>5.2175910929116602</v>
      </c>
      <c r="T82" s="17">
        <f t="shared" ref="T82:T113" si="63">$K82*(1-($I$6*(D82)/C82))-($I$4*F82/C82)</f>
        <v>5.2175910929116602</v>
      </c>
      <c r="U82" s="6">
        <f t="shared" si="50"/>
        <v>0</v>
      </c>
      <c r="V82" s="129">
        <f>IF(OPFOKLEGHEN!$J$18="nee",H82/C82*K82,IF(OPFOKLEGHEN!$H$20="ja",O82-(K82-Q82)-(K82-S82),Q82-(K82-O82)-(K82-S82)))</f>
        <v>5.2175910929116602</v>
      </c>
      <c r="W82" s="162">
        <f>IF(H82=0,0,IF(OPFOKLEGHEN!$H$11="geen droogtunnel",IF(OPFOKLEGHEN!$H$15="geen warmtewisselaar",Q82-(K82-R82)))+IF(OPFOKLEGHEN!$H$12&gt;0,IF(OPFOKLEGHEN!$H$13="serie geschakeld met warmtewisselaar",(O82*80%-(K82-S82)),(Q82-(K82-S82)-(K82-T82))),(N82-(K82-S82))))</f>
        <v>10.43518218582332</v>
      </c>
      <c r="X82" s="162">
        <f>IF(H82=0,0,IF(OPFOKLEGHEN!$H$11="geen droogtunnel",IF(OPFOKLEGHEN!$H$15="geen warmtewisselaar",Q82-(K82-R82)))+IF(OPFOKLEGHEN!$H$12&gt;0,IF(OPFOKLEGHEN!$H$13="serie geschakeld met warmtewisselaar",3*(O82*80%-(K82-S82)),(Q82-(K82-S82)-(K82-N82))),(N82-(K82-S82))))</f>
        <v>10.43518218582332</v>
      </c>
      <c r="Y82" s="162">
        <f>IF(H82=0,0,IF(OPFOKLEGHEN!$H$11="geen droogtunnel",IF(OPFOKLEGHEN!$H$15="geen warmtewisselaar",Q82-(K82-R82)))+IF(OPFOKLEGHEN!$H$12&gt;0,IF(OPFOKLEGHEN!$H$13="serie geschakeld met warmtewisselaar",(O82-(K82-S82)),IF(OPFOKLEGHEN!$H$13="parallel geschakeld met warmtewisselaar",IF(OPFOKLEGHEN!$L$9="ja",IF(OPFOKLEGHEN!$J$18="nee",(N82-(K82-Q82)-(K82-S82)),(Q82-(K82-N82/80%)))))),(O82-(K82-S82))))</f>
        <v>10.43518218582332</v>
      </c>
      <c r="Z82" s="130">
        <f t="shared" si="56"/>
        <v>1</v>
      </c>
      <c r="AA82" s="130"/>
      <c r="AB82" s="130"/>
      <c r="AC82" s="167">
        <f>IF(H82=0,0,IF(OPFOKLEGHEN!$H$11="geen droogtunnel",IF(OPFOKLEGHEN!$H$15="geen warmtewisselaar",(P82-(K82-R82)/R$13),K82-(K82-O82)/I$6-(K82-R82)/95%)+IF(OPFOKLEGHEN!$J$18="ja",(K82-O82)*(1-I$6)),IF(OPFOKLEGHEN!$H$12&gt;=0,IF(OPFOKLEGHEN!$L$9="ja",IF(OPFOKLEGHEN!$J$18="ja",IF(OPFOKLEGHEN!$H$20="ja",O82-(K82-S82),IF(OPFOKLEGHEN!$H$20="nee",(O82-(K82-S82)),(O82-(K82-S82)))),IF(OPFOKLEGHEN!$J$18="nee",IF(OPFOKLEGHEN!$H$20="nee",O82*80%-(K82-S82),0+O82-(K82-S82)))),IF(OPFOKLEGHEN!$L$9="nee",IF(OPFOKLEGHEN!$J$18="nee",IF(OPFOKLEGHEN!$H$20="nee",(O82*80%-(K82-S82)),O82*93%-(K82-S82)),IF(OPFOKLEGHEN!$H$20="nee",IF(OPFOKLEGHEN!$J$18="ja",IF(OPFOKLEGHEN!$L$9="nee",O82-(K82-S82))),O82-(K82-S82))))))))</f>
        <v>5.2175910929116602</v>
      </c>
      <c r="AD82" s="167" t="e">
        <f>IF(H82=0,0,IF(OPFOKLEGHEN!$H$11="geen droogtunnel",IF(OPFOKLEGHEN!$H$15="geen warmtewisselaar",(Q82-(K82-R82)/S$13),N82-(K82-R82)),IF(OPFOKLEGHEN!$H$12&gt;=0,IF(OPFOKLEGHEN!$L$9="ja",IF(OPFOKLEGHEN!$J$18="ja",IF(OPFOKLEGHEN!$H$20="ja",Q82-(K82-N82)-(K82-S82),IF(OPFOKLEGHEN!$H$20="nee",(Q82-(K82-N82)-(K82-S82)),(O82-(K82-S82)))),IF(OPFOKLEGHEN!$J$18="nee",IF(OPFOKLEGHEN!$H$20="nee",1*Q82*$N$135-(K82-N82)-(K82-S82),(Q82-(K82-N82)-(K82-S82))*N$135))),IF(OPFOKLEGHEN!$L$9="nee",IF(OPFOKLEGHEN!$J$18="nee",IF(OPFOKLEGHEN!$H$20="nee",(N82*95%-(K82-Q82)/I$4-(K82-S82)),N82-(K82-Q82)/I$4-(K82-S82)),IF(OPFOKLEGHEN!$H$20="nee",IF(OPFOKLEGHEN!$J$18="ja",IF(OPFOKLEGHEN!$L$9="nee",N82-(K82-Q82)/I$4-(K82-S82))),N82-(K82-Q82)/I$4-(K82-S82))))))))</f>
        <v>#DIV/0!</v>
      </c>
      <c r="AE82" s="4"/>
      <c r="AF82" s="6"/>
      <c r="AG82" s="6"/>
      <c r="AH82" s="4"/>
      <c r="AI82" s="6"/>
      <c r="AJ82" s="6"/>
      <c r="AK82" s="4"/>
      <c r="AL82" s="6"/>
      <c r="AM82" s="1">
        <v>10</v>
      </c>
      <c r="AN82" s="1">
        <v>67</v>
      </c>
      <c r="AO82" s="5">
        <f t="shared" si="57"/>
        <v>768.40000000000009</v>
      </c>
      <c r="AP82" s="5">
        <f t="shared" si="57"/>
        <v>698.40000000000009</v>
      </c>
      <c r="AQ82" s="5">
        <f t="shared" si="62"/>
        <v>733.40000000000009</v>
      </c>
      <c r="AR82" s="100"/>
    </row>
    <row r="83" spans="1:44" ht="13" x14ac:dyDescent="0.3">
      <c r="A83" s="1">
        <v>10</v>
      </c>
      <c r="B83" s="1">
        <v>68</v>
      </c>
      <c r="C83" s="4">
        <f t="shared" si="58"/>
        <v>0.84818527717150016</v>
      </c>
      <c r="D83" s="7">
        <f t="shared" si="48"/>
        <v>0</v>
      </c>
      <c r="E83" s="7">
        <f>IF(I$3=0,0,IF(OPFOKLEGHEN!$H$13="parallel geschakeld met warmtewisselaar",0,MIN(I$3,C83)))</f>
        <v>0</v>
      </c>
      <c r="F83" s="7">
        <f>IF(I$3=0,0,IF(OPFOKLEGHEN!$H$13="serie geschakeld met warmtewisselaar",0,IF(C83&lt;$I$3,C83-D83,MIN($I$3,C83-D83))))</f>
        <v>0</v>
      </c>
      <c r="G83" s="137">
        <f>IF(C83&lt;$I$7,MAX(0,C83-D83-E83-F83,IF(OPFOKLEGHEN!$H$15="warmtewisselaar",IF(OPFOKLEGHEN!$H$13="serie geschakeld met warmtewisselaar",MIN(I$7,MAX(0,C83-D83-F83)),MIN(I$7,MAX(0,C83-D83-E83-F83))))),IF(OPFOKLEGHEN!$H$13="parallel geschakeld met warmtewisselaar",MIN(I$7,C83-D83-E83-F83,MIN(I$7,C83-E83-F83)),MIN(I$7,MAX(0,C83-D83-F83))))</f>
        <v>0</v>
      </c>
      <c r="H83" s="7">
        <f>IF(OPFOKLEGHEN!$H$13="parallel geschakeld met warmtewisselaar",IF(OPFOKLEGHEN!$L$9="nee",IF(OPFOKLEGHEN!$J$18="ja",C83-F83-G83,C83-D83-F83-G83),IF(OPFOKLEGHEN!$L$9="ja",IF(OPFOKLEGHEN!$J$18="ja",C83-G83,IF(OPFOKLEGHEN!$J$18="nee",C83-D83-G83)))),IF(OPFOKLEGHEN!$H$13="serie geschakeld met warmtewisselaar",IF(OPFOKLEGHEN!$J$18="ja",C83-G83,C83-D83-F83-G83),C83-D83-F83-G83))</f>
        <v>0.84818527717150016</v>
      </c>
      <c r="I83" s="98">
        <f t="shared" si="49"/>
        <v>0.84818527717150016</v>
      </c>
      <c r="J83" s="99">
        <v>0.72756195445376759</v>
      </c>
      <c r="K83" s="6">
        <f t="shared" si="59"/>
        <v>5.4058602808607912</v>
      </c>
      <c r="L83" s="130">
        <f>SUM(K$16:K83)/$K$137</f>
        <v>0.1532247015204414</v>
      </c>
      <c r="M83" s="6">
        <f t="shared" si="60"/>
        <v>4.1963298983850893E-2</v>
      </c>
      <c r="N83" s="6">
        <f t="shared" si="53"/>
        <v>5.4058602808607912</v>
      </c>
      <c r="O83" s="6">
        <f>IF(E83&lt;I$3,P83*(1-I$6*D83/C83),IF(OPFOKLEGHEN!$H$11="droogtunnel (platen) 55%",P83*(1-$I$6)+(C83-D83)/C83*(K83-P83*(1-I$6)),P83*(1-$I$6)+(C83-D83)/C83*(K83-P83*(1-I$6))))</f>
        <v>5.4058602808607912</v>
      </c>
      <c r="P83" s="129">
        <f t="shared" si="54"/>
        <v>5.4058602808607912</v>
      </c>
      <c r="Q83" s="134">
        <f t="shared" si="55"/>
        <v>5.4058602808607912</v>
      </c>
      <c r="R83" s="134">
        <f t="shared" si="61"/>
        <v>5.4058602808607912</v>
      </c>
      <c r="S83" s="199">
        <f>IF(G83&lt;0.1,K83,IF(C83=F83,S83/(1-I$4),IF(I$3=0,K83-(G83/C83)*K83*S$13,IF(OPFOKLEGHEN!$H$13="Parallel geschakeld met warmtewisselaar",K83-(K83-(K83-Q83)/I$4)*(G83/(C83-F83))*S$13,IF(OPFOKLEGHEN!$H$20="ja",K83-(K83-(K83-P83)/I$4)*(G83/(C83-MIN(D83,I$5)))*S$13,K83-(K83-(K83-P83)/I$4)*(G83/(C83-MIN(D83,I$5)))*S$13)))))</f>
        <v>5.4058602808607912</v>
      </c>
      <c r="T83" s="17">
        <f t="shared" si="63"/>
        <v>5.4058602808607912</v>
      </c>
      <c r="U83" s="6">
        <f t="shared" si="50"/>
        <v>0</v>
      </c>
      <c r="V83" s="129">
        <f>IF(OPFOKLEGHEN!$J$18="nee",H83/C83*K83,IF(OPFOKLEGHEN!$H$20="ja",O83-(K83-Q83)-(K83-S83),Q83-(K83-O83)-(K83-S83)))</f>
        <v>5.4058602808607912</v>
      </c>
      <c r="W83" s="162">
        <f>IF(H83=0,0,IF(OPFOKLEGHEN!$H$11="geen droogtunnel",IF(OPFOKLEGHEN!$H$15="geen warmtewisselaar",Q83-(K83-R83)))+IF(OPFOKLEGHEN!$H$12&gt;0,IF(OPFOKLEGHEN!$H$13="serie geschakeld met warmtewisselaar",(O83*80%-(K83-S83)),(Q83-(K83-S83)-(K83-T83))),(N83-(K83-S83))))</f>
        <v>10.811720561721582</v>
      </c>
      <c r="X83" s="162">
        <f>IF(H83=0,0,IF(OPFOKLEGHEN!$H$11="geen droogtunnel",IF(OPFOKLEGHEN!$H$15="geen warmtewisselaar",Q83-(K83-R83)))+IF(OPFOKLEGHEN!$H$12&gt;0,IF(OPFOKLEGHEN!$H$13="serie geschakeld met warmtewisselaar",3*(O83*80%-(K83-S83)),(Q83-(K83-S83)-(K83-N83))),(N83-(K83-S83))))</f>
        <v>10.811720561721582</v>
      </c>
      <c r="Y83" s="162">
        <f>IF(H83=0,0,IF(OPFOKLEGHEN!$H$11="geen droogtunnel",IF(OPFOKLEGHEN!$H$15="geen warmtewisselaar",Q83-(K83-R83)))+IF(OPFOKLEGHEN!$H$12&gt;0,IF(OPFOKLEGHEN!$H$13="serie geschakeld met warmtewisselaar",(O83-(K83-S83)),IF(OPFOKLEGHEN!$H$13="parallel geschakeld met warmtewisselaar",IF(OPFOKLEGHEN!$L$9="ja",IF(OPFOKLEGHEN!$J$18="nee",(N83-(K83-Q83)-(K83-S83)),(Q83-(K83-N83/80%)))))),(O83-(K83-S83))))</f>
        <v>10.811720561721582</v>
      </c>
      <c r="Z83" s="130">
        <f t="shared" si="56"/>
        <v>1</v>
      </c>
      <c r="AA83" s="130"/>
      <c r="AB83" s="130"/>
      <c r="AC83" s="167">
        <f>IF(H83=0,0,IF(OPFOKLEGHEN!$H$11="geen droogtunnel",IF(OPFOKLEGHEN!$H$15="geen warmtewisselaar",(P83-(K83-R83)/R$13),K83-(K83-O83)/I$6-(K83-R83)/95%)+IF(OPFOKLEGHEN!$J$18="ja",(K83-O83)*(1-I$6)),IF(OPFOKLEGHEN!$H$12&gt;=0,IF(OPFOKLEGHEN!$L$9="ja",IF(OPFOKLEGHEN!$J$18="ja",IF(OPFOKLEGHEN!$H$20="ja",O83-(K83-S83),IF(OPFOKLEGHEN!$H$20="nee",(O83-(K83-S83)),(O83-(K83-S83)))),IF(OPFOKLEGHEN!$J$18="nee",IF(OPFOKLEGHEN!$H$20="nee",O83*80%-(K83-S83),0+O83-(K83-S83)))),IF(OPFOKLEGHEN!$L$9="nee",IF(OPFOKLEGHEN!$J$18="nee",IF(OPFOKLEGHEN!$H$20="nee",(O83*80%-(K83-S83)),O83*93%-(K83-S83)),IF(OPFOKLEGHEN!$H$20="nee",IF(OPFOKLEGHEN!$J$18="ja",IF(OPFOKLEGHEN!$L$9="nee",O83-(K83-S83))),O83-(K83-S83))))))))</f>
        <v>5.4058602808607912</v>
      </c>
      <c r="AD83" s="167" t="e">
        <f>IF(H83=0,0,IF(OPFOKLEGHEN!$H$11="geen droogtunnel",IF(OPFOKLEGHEN!$H$15="geen warmtewisselaar",(Q83-(K83-R83)/S$13),N83-(K83-R83)),IF(OPFOKLEGHEN!$H$12&gt;=0,IF(OPFOKLEGHEN!$L$9="ja",IF(OPFOKLEGHEN!$J$18="ja",IF(OPFOKLEGHEN!$H$20="ja",Q83-(K83-N83)-(K83-S83),IF(OPFOKLEGHEN!$H$20="nee",(Q83-(K83-N83)-(K83-S83)),(O83-(K83-S83)))),IF(OPFOKLEGHEN!$J$18="nee",IF(OPFOKLEGHEN!$H$20="nee",1*Q83*$N$135-(K83-N83)-(K83-S83),(Q83-(K83-N83)-(K83-S83))*N$135))),IF(OPFOKLEGHEN!$L$9="nee",IF(OPFOKLEGHEN!$J$18="nee",IF(OPFOKLEGHEN!$H$20="nee",(N83*95%-(K83-Q83)/I$4-(K83-S83)),N83-(K83-Q83)/I$4-(K83-S83)),IF(OPFOKLEGHEN!$H$20="nee",IF(OPFOKLEGHEN!$J$18="ja",IF(OPFOKLEGHEN!$L$9="nee",N83-(K83-Q83)/I$4-(K83-S83))),N83-(K83-Q83)/I$4-(K83-S83))))))))</f>
        <v>#DIV/0!</v>
      </c>
      <c r="AE83" s="4"/>
      <c r="AF83" s="6"/>
      <c r="AG83" s="6"/>
      <c r="AH83" s="4"/>
      <c r="AI83" s="6"/>
      <c r="AJ83" s="6"/>
      <c r="AK83" s="4"/>
      <c r="AL83" s="6"/>
      <c r="AM83" s="1">
        <v>10</v>
      </c>
      <c r="AN83" s="1">
        <v>68</v>
      </c>
      <c r="AO83" s="5">
        <f t="shared" si="57"/>
        <v>780.50000000000011</v>
      </c>
      <c r="AP83" s="5">
        <f t="shared" si="57"/>
        <v>710.50000000000011</v>
      </c>
      <c r="AQ83" s="5">
        <f t="shared" si="62"/>
        <v>745.50000000000011</v>
      </c>
      <c r="AR83" s="100"/>
    </row>
    <row r="84" spans="1:44" ht="13" x14ac:dyDescent="0.3">
      <c r="A84" s="1">
        <v>10</v>
      </c>
      <c r="B84" s="1">
        <v>69</v>
      </c>
      <c r="C84" s="4">
        <f t="shared" si="58"/>
        <v>0.86267371605954413</v>
      </c>
      <c r="D84" s="7">
        <f t="shared" si="48"/>
        <v>0</v>
      </c>
      <c r="E84" s="7">
        <f>IF(I$3=0,0,IF(OPFOKLEGHEN!$H$13="parallel geschakeld met warmtewisselaar",0,MIN(I$3,C84)))</f>
        <v>0</v>
      </c>
      <c r="F84" s="7">
        <f>IF(I$3=0,0,IF(OPFOKLEGHEN!$H$13="serie geschakeld met warmtewisselaar",0,IF(C84&lt;$I$3,C84-D84,MIN($I$3,C84-D84))))</f>
        <v>0</v>
      </c>
      <c r="G84" s="137">
        <f>IF(C84&lt;$I$7,MAX(0,C84-D84-E84-F84,IF(OPFOKLEGHEN!$H$15="warmtewisselaar",IF(OPFOKLEGHEN!$H$13="serie geschakeld met warmtewisselaar",MIN(I$7,MAX(0,C84-D84-F84)),MIN(I$7,MAX(0,C84-D84-E84-F84))))),IF(OPFOKLEGHEN!$H$13="parallel geschakeld met warmtewisselaar",MIN(I$7,C84-D84-E84-F84,MIN(I$7,C84-E84-F84)),MIN(I$7,MAX(0,C84-D84-F84))))</f>
        <v>0</v>
      </c>
      <c r="H84" s="7">
        <f>IF(OPFOKLEGHEN!$H$13="parallel geschakeld met warmtewisselaar",IF(OPFOKLEGHEN!$L$9="nee",IF(OPFOKLEGHEN!$J$18="ja",C84-F84-G84,C84-D84-F84-G84),IF(OPFOKLEGHEN!$L$9="ja",IF(OPFOKLEGHEN!$J$18="ja",C84-G84,IF(OPFOKLEGHEN!$J$18="nee",C84-D84-G84)))),IF(OPFOKLEGHEN!$H$13="serie geschakeld met warmtewisselaar",IF(OPFOKLEGHEN!$J$18="ja",C84-G84,C84-D84-F84-G84),C84-D84-F84-G84))</f>
        <v>0.86267371605954413</v>
      </c>
      <c r="I84" s="98">
        <f t="shared" si="49"/>
        <v>0.86267371605954413</v>
      </c>
      <c r="J84" s="99">
        <v>0.74107301498267952</v>
      </c>
      <c r="K84" s="6">
        <f t="shared" si="59"/>
        <v>5.6003048945494509</v>
      </c>
      <c r="L84" s="130">
        <f>SUM(K$16:K84)/$K$137</f>
        <v>0.15978288322732129</v>
      </c>
      <c r="M84" s="6">
        <f t="shared" si="60"/>
        <v>4.4111990607752526E-2</v>
      </c>
      <c r="N84" s="6">
        <f t="shared" si="53"/>
        <v>5.6003048945494509</v>
      </c>
      <c r="O84" s="6">
        <f>IF(E84&lt;I$3,P84*(1-I$6*D84/C84),IF(OPFOKLEGHEN!$H$11="droogtunnel (platen) 55%",P84*(1-$I$6)+(C84-D84)/C84*(K84-P84*(1-I$6)),P84*(1-$I$6)+(C84-D84)/C84*(K84-P84*(1-I$6))))</f>
        <v>5.6003048945494509</v>
      </c>
      <c r="P84" s="129">
        <f t="shared" si="54"/>
        <v>5.6003048945494509</v>
      </c>
      <c r="Q84" s="134">
        <f t="shared" si="55"/>
        <v>5.6003048945494509</v>
      </c>
      <c r="R84" s="134">
        <f t="shared" si="61"/>
        <v>5.6003048945494509</v>
      </c>
      <c r="S84" s="199">
        <f>IF(G84&lt;0.1,K84,IF(C84=F84,S84/(1-I$4),IF(I$3=0,K84-(G84/C84)*K84*S$13,IF(OPFOKLEGHEN!$H$13="Parallel geschakeld met warmtewisselaar",K84-(K84-(K84-Q84)/I$4)*(G84/(C84-F84))*S$13,IF(OPFOKLEGHEN!$H$20="ja",K84-(K84-(K84-P84)/I$4)*(G84/(C84-MIN(D84,I$5)))*S$13,K84-(K84-(K84-P84)/I$4)*(G84/(C84-MIN(D84,I$5)))*S$13)))))</f>
        <v>5.6003048945494509</v>
      </c>
      <c r="T84" s="17">
        <f t="shared" si="63"/>
        <v>5.6003048945494509</v>
      </c>
      <c r="U84" s="6">
        <f t="shared" si="50"/>
        <v>0</v>
      </c>
      <c r="V84" s="129">
        <f>IF(OPFOKLEGHEN!$J$18="nee",H84/C84*K84,IF(OPFOKLEGHEN!$H$20="ja",O84-(K84-Q84)-(K84-S84),Q84-(K84-O84)-(K84-S84)))</f>
        <v>5.6003048945494509</v>
      </c>
      <c r="W84" s="162">
        <f>IF(H84=0,0,IF(OPFOKLEGHEN!$H$11="geen droogtunnel",IF(OPFOKLEGHEN!$H$15="geen warmtewisselaar",Q84-(K84-R84)))+IF(OPFOKLEGHEN!$H$12&gt;0,IF(OPFOKLEGHEN!$H$13="serie geschakeld met warmtewisselaar",(O84*80%-(K84-S84)),(Q84-(K84-S84)-(K84-T84))),(N84-(K84-S84))))</f>
        <v>11.200609789098902</v>
      </c>
      <c r="X84" s="162">
        <f>IF(H84=0,0,IF(OPFOKLEGHEN!$H$11="geen droogtunnel",IF(OPFOKLEGHEN!$H$15="geen warmtewisselaar",Q84-(K84-R84)))+IF(OPFOKLEGHEN!$H$12&gt;0,IF(OPFOKLEGHEN!$H$13="serie geschakeld met warmtewisselaar",3*(O84*80%-(K84-S84)),(Q84-(K84-S84)-(K84-N84))),(N84-(K84-S84))))</f>
        <v>11.200609789098902</v>
      </c>
      <c r="Y84" s="162">
        <f>IF(H84=0,0,IF(OPFOKLEGHEN!$H$11="geen droogtunnel",IF(OPFOKLEGHEN!$H$15="geen warmtewisselaar",Q84-(K84-R84)))+IF(OPFOKLEGHEN!$H$12&gt;0,IF(OPFOKLEGHEN!$H$13="serie geschakeld met warmtewisselaar",(O84-(K84-S84)),IF(OPFOKLEGHEN!$H$13="parallel geschakeld met warmtewisselaar",IF(OPFOKLEGHEN!$L$9="ja",IF(OPFOKLEGHEN!$J$18="nee",(N84-(K84-Q84)-(K84-S84)),(Q84-(K84-N84/80%)))))),(O84-(K84-S84))))</f>
        <v>11.200609789098902</v>
      </c>
      <c r="Z84" s="130">
        <f t="shared" si="56"/>
        <v>1</v>
      </c>
      <c r="AA84" s="130"/>
      <c r="AB84" s="130"/>
      <c r="AC84" s="167">
        <f>IF(H84=0,0,IF(OPFOKLEGHEN!$H$11="geen droogtunnel",IF(OPFOKLEGHEN!$H$15="geen warmtewisselaar",(P84-(K84-R84)/R$13),K84-(K84-O84)/I$6-(K84-R84)/95%)+IF(OPFOKLEGHEN!$J$18="ja",(K84-O84)*(1-I$6)),IF(OPFOKLEGHEN!$H$12&gt;=0,IF(OPFOKLEGHEN!$L$9="ja",IF(OPFOKLEGHEN!$J$18="ja",IF(OPFOKLEGHEN!$H$20="ja",O84-(K84-S84),IF(OPFOKLEGHEN!$H$20="nee",(O84-(K84-S84)),(O84-(K84-S84)))),IF(OPFOKLEGHEN!$J$18="nee",IF(OPFOKLEGHEN!$H$20="nee",O84*80%-(K84-S84),0+O84-(K84-S84)))),IF(OPFOKLEGHEN!$L$9="nee",IF(OPFOKLEGHEN!$J$18="nee",IF(OPFOKLEGHEN!$H$20="nee",(O84*80%-(K84-S84)),O84*93%-(K84-S84)),IF(OPFOKLEGHEN!$H$20="nee",IF(OPFOKLEGHEN!$J$18="ja",IF(OPFOKLEGHEN!$L$9="nee",O84-(K84-S84))),O84-(K84-S84))))))))</f>
        <v>5.6003048945494509</v>
      </c>
      <c r="AD84" s="167" t="e">
        <f>IF(H84=0,0,IF(OPFOKLEGHEN!$H$11="geen droogtunnel",IF(OPFOKLEGHEN!$H$15="geen warmtewisselaar",(Q84-(K84-R84)/S$13),N84-(K84-R84)),IF(OPFOKLEGHEN!$H$12&gt;=0,IF(OPFOKLEGHEN!$L$9="ja",IF(OPFOKLEGHEN!$J$18="ja",IF(OPFOKLEGHEN!$H$20="ja",Q84-(K84-N84)-(K84-S84),IF(OPFOKLEGHEN!$H$20="nee",(Q84-(K84-N84)-(K84-S84)),(O84-(K84-S84)))),IF(OPFOKLEGHEN!$J$18="nee",IF(OPFOKLEGHEN!$H$20="nee",1*Q84*$N$135-(K84-N84)-(K84-S84),(Q84-(K84-N84)-(K84-S84))*N$135))),IF(OPFOKLEGHEN!$L$9="nee",IF(OPFOKLEGHEN!$J$18="nee",IF(OPFOKLEGHEN!$H$20="nee",(N84*95%-(K84-Q84)/I$4-(K84-S84)),N84-(K84-Q84)/I$4-(K84-S84)),IF(OPFOKLEGHEN!$H$20="nee",IF(OPFOKLEGHEN!$J$18="ja",IF(OPFOKLEGHEN!$L$9="nee",N84-(K84-Q84)/I$4-(K84-S84))),N84-(K84-Q84)/I$4-(K84-S84))))))))</f>
        <v>#DIV/0!</v>
      </c>
      <c r="AE84" s="4"/>
      <c r="AF84" s="6"/>
      <c r="AG84" s="6"/>
      <c r="AH84" s="4"/>
      <c r="AI84" s="6"/>
      <c r="AJ84" s="6"/>
      <c r="AK84" s="4"/>
      <c r="AL84" s="6"/>
      <c r="AM84" s="1">
        <v>10</v>
      </c>
      <c r="AN84" s="1">
        <v>69</v>
      </c>
      <c r="AO84" s="5">
        <f t="shared" si="57"/>
        <v>792.60000000000014</v>
      </c>
      <c r="AP84" s="5">
        <f t="shared" si="57"/>
        <v>722.60000000000014</v>
      </c>
      <c r="AQ84" s="5">
        <f t="shared" si="62"/>
        <v>757.60000000000014</v>
      </c>
      <c r="AR84" s="100"/>
    </row>
    <row r="85" spans="1:44" ht="13" x14ac:dyDescent="0.3">
      <c r="A85" s="1">
        <v>10</v>
      </c>
      <c r="B85" s="1">
        <v>70</v>
      </c>
      <c r="C85" s="4">
        <f t="shared" si="58"/>
        <v>0.87768263142499992</v>
      </c>
      <c r="D85" s="7">
        <f t="shared" si="48"/>
        <v>0</v>
      </c>
      <c r="E85" s="7">
        <f>IF(I$3=0,0,IF(OPFOKLEGHEN!$H$13="parallel geschakeld met warmtewisselaar",0,MIN(I$3,C85)))</f>
        <v>0</v>
      </c>
      <c r="F85" s="7">
        <f>IF(I$3=0,0,IF(OPFOKLEGHEN!$H$13="serie geschakeld met warmtewisselaar",0,IF(C85&lt;$I$3,C85-D85,MIN($I$3,C85-D85))))</f>
        <v>0</v>
      </c>
      <c r="G85" s="137">
        <f>IF(C85&lt;$I$7,MAX(0,C85-D85-E85-F85,IF(OPFOKLEGHEN!$H$15="warmtewisselaar",IF(OPFOKLEGHEN!$H$13="serie geschakeld met warmtewisselaar",MIN(I$7,MAX(0,C85-D85-F85)),MIN(I$7,MAX(0,C85-D85-E85-F85))))),IF(OPFOKLEGHEN!$H$13="parallel geschakeld met warmtewisselaar",MIN(I$7,C85-D85-E85-F85,MIN(I$7,C85-E85-F85)),MIN(I$7,MAX(0,C85-D85-F85))))</f>
        <v>0</v>
      </c>
      <c r="H85" s="7">
        <f>IF(OPFOKLEGHEN!$H$13="parallel geschakeld met warmtewisselaar",IF(OPFOKLEGHEN!$L$9="nee",IF(OPFOKLEGHEN!$J$18="ja",C85-F85-G85,C85-D85-F85-G85),IF(OPFOKLEGHEN!$L$9="ja",IF(OPFOKLEGHEN!$J$18="ja",C85-G85,IF(OPFOKLEGHEN!$J$18="nee",C85-D85-G85)))),IF(OPFOKLEGHEN!$H$13="serie geschakeld met warmtewisselaar",IF(OPFOKLEGHEN!$J$18="ja",C85-G85,C85-D85-F85-G85),C85-D85-F85-G85))</f>
        <v>0.87768263142499992</v>
      </c>
      <c r="I85" s="98">
        <f t="shared" si="49"/>
        <v>0.87768263142499992</v>
      </c>
      <c r="J85" s="99">
        <v>0.75483498027028362</v>
      </c>
      <c r="K85" s="6">
        <f t="shared" si="59"/>
        <v>5.8035486335512818</v>
      </c>
      <c r="L85" s="130">
        <f>SUM(K$16:K85)/$K$137</f>
        <v>0.1665790715063892</v>
      </c>
      <c r="M85" s="6">
        <f t="shared" si="60"/>
        <v>4.6375388624268224E-2</v>
      </c>
      <c r="N85" s="6">
        <f t="shared" si="53"/>
        <v>5.8035486335512818</v>
      </c>
      <c r="O85" s="6">
        <f>IF(E85&lt;I$3,P85*(1-I$6*D85/C85),IF(OPFOKLEGHEN!$H$11="droogtunnel (platen) 55%",P85*(1-$I$6)+(C85-D85)/C85*(K85-P85*(1-I$6)),P85*(1-$I$6)+(C85-D85)/C85*(K85-P85*(1-I$6))))</f>
        <v>5.8035486335512818</v>
      </c>
      <c r="P85" s="129">
        <f t="shared" si="54"/>
        <v>5.8035486335512818</v>
      </c>
      <c r="Q85" s="134">
        <f t="shared" si="55"/>
        <v>5.8035486335512818</v>
      </c>
      <c r="R85" s="134">
        <f t="shared" si="61"/>
        <v>5.8035486335512818</v>
      </c>
      <c r="S85" s="199">
        <f>IF(G85&lt;0.1,K85,IF(C85=F85,S85/(1-I$4),IF(I$3=0,K85-(G85/C85)*K85*S$13,IF(OPFOKLEGHEN!$H$13="Parallel geschakeld met warmtewisselaar",K85-(K85-(K85-Q85)/I$4)*(G85/(C85-F85))*S$13,IF(OPFOKLEGHEN!$H$20="ja",K85-(K85-(K85-P85)/I$4)*(G85/(C85-MIN(D85,I$5)))*S$13,K85-(K85-(K85-P85)/I$4)*(G85/(C85-MIN(D85,I$5)))*S$13)))))</f>
        <v>5.8035486335512818</v>
      </c>
      <c r="T85" s="17">
        <f t="shared" si="63"/>
        <v>5.8035486335512818</v>
      </c>
      <c r="U85" s="6">
        <f t="shared" si="50"/>
        <v>0</v>
      </c>
      <c r="V85" s="129">
        <f>IF(OPFOKLEGHEN!$J$18="nee",H85/C85*K85,IF(OPFOKLEGHEN!$H$20="ja",O85-(K85-Q85)-(K85-S85),Q85-(K85-O85)-(K85-S85)))</f>
        <v>5.8035486335512818</v>
      </c>
      <c r="W85" s="162">
        <f>IF(H85=0,0,IF(OPFOKLEGHEN!$H$11="geen droogtunnel",IF(OPFOKLEGHEN!$H$15="geen warmtewisselaar",Q85-(K85-R85)))+IF(OPFOKLEGHEN!$H$12&gt;0,IF(OPFOKLEGHEN!$H$13="serie geschakeld met warmtewisselaar",(O85*80%-(K85-S85)),(Q85-(K85-S85)-(K85-T85))),(N85-(K85-S85))))</f>
        <v>11.607097267102564</v>
      </c>
      <c r="X85" s="162">
        <f>IF(H85=0,0,IF(OPFOKLEGHEN!$H$11="geen droogtunnel",IF(OPFOKLEGHEN!$H$15="geen warmtewisselaar",Q85-(K85-R85)))+IF(OPFOKLEGHEN!$H$12&gt;0,IF(OPFOKLEGHEN!$H$13="serie geschakeld met warmtewisselaar",3*(O85*80%-(K85-S85)),(Q85-(K85-S85)-(K85-N85))),(N85-(K85-S85))))</f>
        <v>11.607097267102564</v>
      </c>
      <c r="Y85" s="162">
        <f>IF(H85=0,0,IF(OPFOKLEGHEN!$H$11="geen droogtunnel",IF(OPFOKLEGHEN!$H$15="geen warmtewisselaar",Q85-(K85-R85)))+IF(OPFOKLEGHEN!$H$12&gt;0,IF(OPFOKLEGHEN!$H$13="serie geschakeld met warmtewisselaar",(O85-(K85-S85)),IF(OPFOKLEGHEN!$H$13="parallel geschakeld met warmtewisselaar",IF(OPFOKLEGHEN!$L$9="ja",IF(OPFOKLEGHEN!$J$18="nee",(N85-(K85-Q85)-(K85-S85)),(Q85-(K85-N85/80%)))))),(O85-(K85-S85))))</f>
        <v>11.607097267102564</v>
      </c>
      <c r="Z85" s="130">
        <f t="shared" si="56"/>
        <v>1</v>
      </c>
      <c r="AA85" s="130"/>
      <c r="AB85" s="130"/>
      <c r="AC85" s="167">
        <f>IF(H85=0,0,IF(OPFOKLEGHEN!$H$11="geen droogtunnel",IF(OPFOKLEGHEN!$H$15="geen warmtewisselaar",(P85-(K85-R85)/R$13),K85-(K85-O85)/I$6-(K85-R85)/95%)+IF(OPFOKLEGHEN!$J$18="ja",(K85-O85)*(1-I$6)),IF(OPFOKLEGHEN!$H$12&gt;=0,IF(OPFOKLEGHEN!$L$9="ja",IF(OPFOKLEGHEN!$J$18="ja",IF(OPFOKLEGHEN!$H$20="ja",O85-(K85-S85),IF(OPFOKLEGHEN!$H$20="nee",(O85-(K85-S85)),(O85-(K85-S85)))),IF(OPFOKLEGHEN!$J$18="nee",IF(OPFOKLEGHEN!$H$20="nee",O85*80%-(K85-S85),0+O85-(K85-S85)))),IF(OPFOKLEGHEN!$L$9="nee",IF(OPFOKLEGHEN!$J$18="nee",IF(OPFOKLEGHEN!$H$20="nee",(O85*80%-(K85-S85)),O85*93%-(K85-S85)),IF(OPFOKLEGHEN!$H$20="nee",IF(OPFOKLEGHEN!$J$18="ja",IF(OPFOKLEGHEN!$L$9="nee",O85-(K85-S85))),O85-(K85-S85))))))))</f>
        <v>5.8035486335512818</v>
      </c>
      <c r="AD85" s="167" t="e">
        <f>IF(H85=0,0,IF(OPFOKLEGHEN!$H$11="geen droogtunnel",IF(OPFOKLEGHEN!$H$15="geen warmtewisselaar",(Q85-(K85-R85)/S$13),N85-(K85-R85)),IF(OPFOKLEGHEN!$H$12&gt;=0,IF(OPFOKLEGHEN!$L$9="ja",IF(OPFOKLEGHEN!$J$18="ja",IF(OPFOKLEGHEN!$H$20="ja",Q85-(K85-N85)-(K85-S85),IF(OPFOKLEGHEN!$H$20="nee",(Q85-(K85-N85)-(K85-S85)),(O85-(K85-S85)))),IF(OPFOKLEGHEN!$J$18="nee",IF(OPFOKLEGHEN!$H$20="nee",1*Q85*$N$135-(K85-N85)-(K85-S85),(Q85-(K85-N85)-(K85-S85))*N$135))),IF(OPFOKLEGHEN!$L$9="nee",IF(OPFOKLEGHEN!$J$18="nee",IF(OPFOKLEGHEN!$H$20="nee",(N85*95%-(K85-Q85)/I$4-(K85-S85)),N85-(K85-Q85)/I$4-(K85-S85)),IF(OPFOKLEGHEN!$H$20="nee",IF(OPFOKLEGHEN!$J$18="ja",IF(OPFOKLEGHEN!$L$9="nee",N85-(K85-Q85)/I$4-(K85-S85))),N85-(K85-Q85)/I$4-(K85-S85))))))))</f>
        <v>#DIV/0!</v>
      </c>
      <c r="AE85" s="4"/>
      <c r="AF85" s="6"/>
      <c r="AG85" s="6"/>
      <c r="AH85" s="4"/>
      <c r="AI85" s="6"/>
      <c r="AJ85" s="6"/>
      <c r="AK85" s="4"/>
      <c r="AL85" s="6"/>
      <c r="AM85" s="1">
        <v>10</v>
      </c>
      <c r="AN85" s="1">
        <v>70</v>
      </c>
      <c r="AO85" s="5">
        <v>805</v>
      </c>
      <c r="AP85" s="5">
        <v>735</v>
      </c>
      <c r="AQ85" s="5">
        <f t="shared" si="62"/>
        <v>770</v>
      </c>
      <c r="AR85" s="100"/>
    </row>
    <row r="86" spans="1:44" ht="13" x14ac:dyDescent="0.3">
      <c r="A86" s="1">
        <v>11</v>
      </c>
      <c r="B86" s="1">
        <v>71</v>
      </c>
      <c r="C86" s="4">
        <f t="shared" si="58"/>
        <v>0.89119859286431791</v>
      </c>
      <c r="D86" s="7">
        <f t="shared" si="48"/>
        <v>0</v>
      </c>
      <c r="E86" s="7">
        <f>IF(I$3=0,0,IF(OPFOKLEGHEN!$H$13="parallel geschakeld met warmtewisselaar",0,MIN(I$3,C86)))</f>
        <v>0</v>
      </c>
      <c r="F86" s="7">
        <f>IF(I$3=0,0,IF(OPFOKLEGHEN!$H$13="serie geschakeld met warmtewisselaar",0,IF(C86&lt;$I$3,C86-D86,MIN($I$3,C86-D86))))</f>
        <v>0</v>
      </c>
      <c r="G86" s="137">
        <f>IF(C86&lt;$I$7,MAX(0,C86-D86-E86-F86,IF(OPFOKLEGHEN!$H$15="warmtewisselaar",IF(OPFOKLEGHEN!$H$13="serie geschakeld met warmtewisselaar",MIN(I$7,MAX(0,C86-D86-F86)),MIN(I$7,MAX(0,C86-D86-E86-F86))))),IF(OPFOKLEGHEN!$H$13="parallel geschakeld met warmtewisselaar",MIN(I$7,C86-D86-E86-F86,MIN(I$7,C86-E86-F86)),MIN(I$7,MAX(0,C86-D86-F86))))</f>
        <v>0</v>
      </c>
      <c r="H86" s="7">
        <f>IF(OPFOKLEGHEN!$H$13="parallel geschakeld met warmtewisselaar",IF(OPFOKLEGHEN!$L$9="nee",IF(OPFOKLEGHEN!$J$18="ja",C86-F86-G86,C86-D86-F86-G86),IF(OPFOKLEGHEN!$L$9="ja",IF(OPFOKLEGHEN!$J$18="ja",C86-G86,IF(OPFOKLEGHEN!$J$18="nee",C86-D86-G86)))),IF(OPFOKLEGHEN!$H$13="serie geschakeld met warmtewisselaar",IF(OPFOKLEGHEN!$J$18="ja",C86-G86,C86-D86-F86-G86),C86-D86-F86-G86))</f>
        <v>0.89119859286431791</v>
      </c>
      <c r="I86" s="98">
        <f t="shared" si="49"/>
        <v>0.89119859286431791</v>
      </c>
      <c r="J86" s="99">
        <v>0.76885250969900243</v>
      </c>
      <c r="K86" s="6">
        <f t="shared" si="59"/>
        <v>6.0023544069322039</v>
      </c>
      <c r="L86" s="130">
        <f>SUM(K$16:K86)/$K$137</f>
        <v>0.1736080693218589</v>
      </c>
      <c r="M86" s="6">
        <f t="shared" si="60"/>
        <v>4.8649219508240471E-2</v>
      </c>
      <c r="N86" s="6">
        <f t="shared" si="53"/>
        <v>6.0023544069322039</v>
      </c>
      <c r="O86" s="6">
        <f>IF(E86&lt;I$3,P86*(1-I$6*D86/C86),IF(OPFOKLEGHEN!$H$11="droogtunnel (platen) 55%",P86*(1-$I$6)+(C86-D86)/C86*(K86-P86*(1-I$6)),P86*(1-$I$6)+(C86-D86)/C86*(K86-P86*(1-I$6))))</f>
        <v>6.0023544069322039</v>
      </c>
      <c r="P86" s="129">
        <f t="shared" si="54"/>
        <v>6.0023544069322039</v>
      </c>
      <c r="Q86" s="134">
        <f t="shared" si="55"/>
        <v>6.0023544069322039</v>
      </c>
      <c r="R86" s="134">
        <f t="shared" si="61"/>
        <v>6.0023544069322039</v>
      </c>
      <c r="S86" s="199">
        <f>IF(G86&lt;0.1,K86,IF(C86=F86,S86/(1-I$4),IF(I$3=0,K86-(G86/C86)*K86*S$13,IF(OPFOKLEGHEN!$H$13="Parallel geschakeld met warmtewisselaar",K86-(K86-(K86-Q86)/I$4)*(G86/(C86-F86))*S$13,IF(OPFOKLEGHEN!$H$20="ja",K86-(K86-(K86-P86)/I$4)*(G86/(C86-MIN(D86,I$5)))*S$13,K86-(K86-(K86-P86)/I$4)*(G86/(C86-MIN(D86,I$5)))*S$13)))))</f>
        <v>6.0023544069322039</v>
      </c>
      <c r="T86" s="17">
        <f t="shared" si="63"/>
        <v>6.0023544069322039</v>
      </c>
      <c r="U86" s="6">
        <f t="shared" si="50"/>
        <v>0</v>
      </c>
      <c r="V86" s="129">
        <f>IF(OPFOKLEGHEN!$J$18="nee",H86/C86*K86,IF(OPFOKLEGHEN!$H$20="ja",O86-(K86-Q86)-(K86-S86),Q86-(K86-O86)-(K86-S86)))</f>
        <v>6.0023544069322039</v>
      </c>
      <c r="W86" s="162">
        <f>IF(H86=0,0,IF(OPFOKLEGHEN!$H$11="geen droogtunnel",IF(OPFOKLEGHEN!$H$15="geen warmtewisselaar",Q86-(K86-R86)))+IF(OPFOKLEGHEN!$H$12&gt;0,IF(OPFOKLEGHEN!$H$13="serie geschakeld met warmtewisselaar",(O86*80%-(K86-S86)),(Q86-(K86-S86)-(K86-T86))),(N86-(K86-S86))))</f>
        <v>12.004708813864408</v>
      </c>
      <c r="X86" s="162">
        <f>IF(H86=0,0,IF(OPFOKLEGHEN!$H$11="geen droogtunnel",IF(OPFOKLEGHEN!$H$15="geen warmtewisselaar",Q86-(K86-R86)))+IF(OPFOKLEGHEN!$H$12&gt;0,IF(OPFOKLEGHEN!$H$13="serie geschakeld met warmtewisselaar",3*(O86*80%-(K86-S86)),(Q86-(K86-S86)-(K86-N86))),(N86-(K86-S86))))</f>
        <v>12.004708813864408</v>
      </c>
      <c r="Y86" s="162">
        <f>IF(H86=0,0,IF(OPFOKLEGHEN!$H$11="geen droogtunnel",IF(OPFOKLEGHEN!$H$15="geen warmtewisselaar",Q86-(K86-R86)))+IF(OPFOKLEGHEN!$H$12&gt;0,IF(OPFOKLEGHEN!$H$13="serie geschakeld met warmtewisselaar",(O86-(K86-S86)),IF(OPFOKLEGHEN!$H$13="parallel geschakeld met warmtewisselaar",IF(OPFOKLEGHEN!$L$9="ja",IF(OPFOKLEGHEN!$J$18="nee",(N86-(K86-Q86)-(K86-S86)),(Q86-(K86-N86/80%)))))),(O86-(K86-S86))))</f>
        <v>12.004708813864408</v>
      </c>
      <c r="Z86" s="130">
        <f t="shared" si="56"/>
        <v>1</v>
      </c>
      <c r="AA86" s="130"/>
      <c r="AB86" s="130"/>
      <c r="AC86" s="167">
        <f>IF(H86=0,0,IF(OPFOKLEGHEN!$H$11="geen droogtunnel",IF(OPFOKLEGHEN!$H$15="geen warmtewisselaar",(P86-(K86-R86)/R$13),K86-(K86-O86)/I$6-(K86-R86)/95%)+IF(OPFOKLEGHEN!$J$18="ja",(K86-O86)*(1-I$6)),IF(OPFOKLEGHEN!$H$12&gt;=0,IF(OPFOKLEGHEN!$L$9="ja",IF(OPFOKLEGHEN!$J$18="ja",IF(OPFOKLEGHEN!$H$20="ja",O86-(K86-S86),IF(OPFOKLEGHEN!$H$20="nee",(O86-(K86-S86)),(O86-(K86-S86)))),IF(OPFOKLEGHEN!$J$18="nee",IF(OPFOKLEGHEN!$H$20="nee",O86*80%-(K86-S86),0+O86-(K86-S86)))),IF(OPFOKLEGHEN!$L$9="nee",IF(OPFOKLEGHEN!$J$18="nee",IF(OPFOKLEGHEN!$H$20="nee",(O86*80%-(K86-S86)),O86*93%-(K86-S86)),IF(OPFOKLEGHEN!$H$20="nee",IF(OPFOKLEGHEN!$J$18="ja",IF(OPFOKLEGHEN!$L$9="nee",O86-(K86-S86))),O86-(K86-S86))))))))</f>
        <v>6.0023544069322039</v>
      </c>
      <c r="AD86" s="167" t="e">
        <f>IF(H86=0,0,IF(OPFOKLEGHEN!$H$11="geen droogtunnel",IF(OPFOKLEGHEN!$H$15="geen warmtewisselaar",(Q86-(K86-R86)/S$13),N86-(K86-R86)),IF(OPFOKLEGHEN!$H$12&gt;=0,IF(OPFOKLEGHEN!$L$9="ja",IF(OPFOKLEGHEN!$J$18="ja",IF(OPFOKLEGHEN!$H$20="ja",Q86-(K86-N86)-(K86-S86),IF(OPFOKLEGHEN!$H$20="nee",(Q86-(K86-N86)-(K86-S86)),(O86-(K86-S86)))),IF(OPFOKLEGHEN!$J$18="nee",IF(OPFOKLEGHEN!$H$20="nee",1*Q86*$N$135-(K86-N86)-(K86-S86),(Q86-(K86-N86)-(K86-S86))*N$135))),IF(OPFOKLEGHEN!$L$9="nee",IF(OPFOKLEGHEN!$J$18="nee",IF(OPFOKLEGHEN!$H$20="nee",(N86*95%-(K86-Q86)/I$4-(K86-S86)),N86-(K86-Q86)/I$4-(K86-S86)),IF(OPFOKLEGHEN!$H$20="nee",IF(OPFOKLEGHEN!$J$18="ja",IF(OPFOKLEGHEN!$L$9="nee",N86-(K86-Q86)/I$4-(K86-S86))),N86-(K86-Q86)/I$4-(K86-S86))))))))</f>
        <v>#DIV/0!</v>
      </c>
      <c r="AE86" s="4"/>
      <c r="AF86" s="6"/>
      <c r="AG86" s="6"/>
      <c r="AH86" s="4"/>
      <c r="AI86" s="6"/>
      <c r="AJ86" s="6"/>
      <c r="AK86" s="4"/>
      <c r="AL86" s="6"/>
      <c r="AM86" s="1">
        <v>11</v>
      </c>
      <c r="AN86" s="1">
        <v>71</v>
      </c>
      <c r="AO86" s="5">
        <f t="shared" ref="AO86:AO91" si="64">AO85+12.1</f>
        <v>817.1</v>
      </c>
      <c r="AP86" s="5">
        <f t="shared" ref="AP86:AP91" si="65">AP85+10</f>
        <v>745</v>
      </c>
      <c r="AQ86" s="5">
        <f t="shared" si="62"/>
        <v>781.05</v>
      </c>
      <c r="AR86" s="100"/>
    </row>
    <row r="87" spans="1:44" ht="13" x14ac:dyDescent="0.3">
      <c r="A87" s="1">
        <v>11</v>
      </c>
      <c r="B87" s="1">
        <v>72</v>
      </c>
      <c r="C87" s="4">
        <f t="shared" si="58"/>
        <v>0.90485074879968397</v>
      </c>
      <c r="D87" s="7">
        <f t="shared" si="48"/>
        <v>0</v>
      </c>
      <c r="E87" s="7">
        <f>IF(I$3=0,0,IF(OPFOKLEGHEN!$H$13="parallel geschakeld met warmtewisselaar",0,MIN(I$3,C87)))</f>
        <v>0</v>
      </c>
      <c r="F87" s="7">
        <f>IF(I$3=0,0,IF(OPFOKLEGHEN!$H$13="serie geschakeld met warmtewisselaar",0,IF(C87&lt;$I$3,C87-D87,MIN($I$3,C87-D87))))</f>
        <v>0</v>
      </c>
      <c r="G87" s="137">
        <f>IF(C87&lt;$I$7,MAX(0,C87-D87-E87-F87,IF(OPFOKLEGHEN!$H$15="warmtewisselaar",IF(OPFOKLEGHEN!$H$13="serie geschakeld met warmtewisselaar",MIN(I$7,MAX(0,C87-D87-F87)),MIN(I$7,MAX(0,C87-D87-E87-F87))))),IF(OPFOKLEGHEN!$H$13="parallel geschakeld met warmtewisselaar",MIN(I$7,C87-D87-E87-F87,MIN(I$7,C87-E87-F87)),MIN(I$7,MAX(0,C87-D87-F87))))</f>
        <v>0</v>
      </c>
      <c r="H87" s="7">
        <f>IF(OPFOKLEGHEN!$H$13="parallel geschakeld met warmtewisselaar",IF(OPFOKLEGHEN!$L$9="nee",IF(OPFOKLEGHEN!$J$18="ja",C87-F87-G87,C87-D87-F87-G87),IF(OPFOKLEGHEN!$L$9="ja",IF(OPFOKLEGHEN!$J$18="ja",C87-G87,IF(OPFOKLEGHEN!$J$18="nee",C87-D87-G87)))),IF(OPFOKLEGHEN!$H$13="serie geschakeld met warmtewisselaar",IF(OPFOKLEGHEN!$J$18="ja",C87-G87,C87-D87-F87-G87),C87-D87-F87-G87))</f>
        <v>0.90485074879968397</v>
      </c>
      <c r="I87" s="98">
        <f t="shared" si="49"/>
        <v>0.90485074879968397</v>
      </c>
      <c r="J87" s="99">
        <v>0.78313034917749469</v>
      </c>
      <c r="K87" s="6">
        <f t="shared" si="59"/>
        <v>6.2074768858624836</v>
      </c>
      <c r="L87" s="130">
        <f>SUM(K$16:K87)/$K$137</f>
        <v>0.18087727378934498</v>
      </c>
      <c r="M87" s="6">
        <f t="shared" si="60"/>
        <v>5.102035796599301E-2</v>
      </c>
      <c r="N87" s="6">
        <f t="shared" si="53"/>
        <v>6.2074768858624836</v>
      </c>
      <c r="O87" s="6">
        <f>IF(E87&lt;I$3,P87*(1-I$6*D87/C87),IF(OPFOKLEGHEN!$H$11="droogtunnel (platen) 55%",P87*(1-$I$6)+(C87-D87)/C87*(K87-P87*(1-I$6)),P87*(1-$I$6)+(C87-D87)/C87*(K87-P87*(1-I$6))))</f>
        <v>6.2074768858624836</v>
      </c>
      <c r="P87" s="129">
        <f t="shared" si="54"/>
        <v>6.2074768858624836</v>
      </c>
      <c r="Q87" s="134">
        <f t="shared" si="55"/>
        <v>6.2074768858624836</v>
      </c>
      <c r="R87" s="134">
        <f t="shared" si="61"/>
        <v>6.2074768858624836</v>
      </c>
      <c r="S87" s="199">
        <f>IF(G87&lt;0.1,K87,IF(C87=F87,S87/(1-I$4),IF(I$3=0,K87-(G87/C87)*K87*S$13,IF(OPFOKLEGHEN!$H$13="Parallel geschakeld met warmtewisselaar",K87-(K87-(K87-Q87)/I$4)*(G87/(C87-F87))*S$13,IF(OPFOKLEGHEN!$H$20="ja",K87-(K87-(K87-P87)/I$4)*(G87/(C87-MIN(D87,I$5)))*S$13,K87-(K87-(K87-P87)/I$4)*(G87/(C87-MIN(D87,I$5)))*S$13)))))</f>
        <v>6.2074768858624836</v>
      </c>
      <c r="T87" s="17">
        <f t="shared" si="63"/>
        <v>6.2074768858624836</v>
      </c>
      <c r="U87" s="6">
        <f t="shared" si="50"/>
        <v>0</v>
      </c>
      <c r="V87" s="129">
        <f>IF(OPFOKLEGHEN!$J$18="nee",H87/C87*K87,IF(OPFOKLEGHEN!$H$20="ja",O87-(K87-Q87)-(K87-S87),Q87-(K87-O87)-(K87-S87)))</f>
        <v>6.2074768858624836</v>
      </c>
      <c r="W87" s="162">
        <f>IF(H87=0,0,IF(OPFOKLEGHEN!$H$11="geen droogtunnel",IF(OPFOKLEGHEN!$H$15="geen warmtewisselaar",Q87-(K87-R87)))+IF(OPFOKLEGHEN!$H$12&gt;0,IF(OPFOKLEGHEN!$H$13="serie geschakeld met warmtewisselaar",(O87*80%-(K87-S87)),(Q87-(K87-S87)-(K87-T87))),(N87-(K87-S87))))</f>
        <v>12.414953771724967</v>
      </c>
      <c r="X87" s="162">
        <f>IF(H87=0,0,IF(OPFOKLEGHEN!$H$11="geen droogtunnel",IF(OPFOKLEGHEN!$H$15="geen warmtewisselaar",Q87-(K87-R87)))+IF(OPFOKLEGHEN!$H$12&gt;0,IF(OPFOKLEGHEN!$H$13="serie geschakeld met warmtewisselaar",3*(O87*80%-(K87-S87)),(Q87-(K87-S87)-(K87-N87))),(N87-(K87-S87))))</f>
        <v>12.414953771724967</v>
      </c>
      <c r="Y87" s="162">
        <f>IF(H87=0,0,IF(OPFOKLEGHEN!$H$11="geen droogtunnel",IF(OPFOKLEGHEN!$H$15="geen warmtewisselaar",Q87-(K87-R87)))+IF(OPFOKLEGHEN!$H$12&gt;0,IF(OPFOKLEGHEN!$H$13="serie geschakeld met warmtewisselaar",(O87-(K87-S87)),IF(OPFOKLEGHEN!$H$13="parallel geschakeld met warmtewisselaar",IF(OPFOKLEGHEN!$L$9="ja",IF(OPFOKLEGHEN!$J$18="nee",(N87-(K87-Q87)-(K87-S87)),(Q87-(K87-N87/80%)))))),(O87-(K87-S87))))</f>
        <v>12.414953771724967</v>
      </c>
      <c r="Z87" s="130">
        <f t="shared" si="56"/>
        <v>1</v>
      </c>
      <c r="AA87" s="130"/>
      <c r="AB87" s="130"/>
      <c r="AC87" s="167">
        <f>IF(H87=0,0,IF(OPFOKLEGHEN!$H$11="geen droogtunnel",IF(OPFOKLEGHEN!$H$15="geen warmtewisselaar",(P87-(K87-R87)/R$13),K87-(K87-O87)/I$6-(K87-R87)/95%)+IF(OPFOKLEGHEN!$J$18="ja",(K87-O87)*(1-I$6)),IF(OPFOKLEGHEN!$H$12&gt;=0,IF(OPFOKLEGHEN!$L$9="ja",IF(OPFOKLEGHEN!$J$18="ja",IF(OPFOKLEGHEN!$H$20="ja",O87-(K87-S87),IF(OPFOKLEGHEN!$H$20="nee",(O87-(K87-S87)),(O87-(K87-S87)))),IF(OPFOKLEGHEN!$J$18="nee",IF(OPFOKLEGHEN!$H$20="nee",O87*80%-(K87-S87),0+O87-(K87-S87)))),IF(OPFOKLEGHEN!$L$9="nee",IF(OPFOKLEGHEN!$J$18="nee",IF(OPFOKLEGHEN!$H$20="nee",(O87*80%-(K87-S87)),O87*93%-(K87-S87)),IF(OPFOKLEGHEN!$H$20="nee",IF(OPFOKLEGHEN!$J$18="ja",IF(OPFOKLEGHEN!$L$9="nee",O87-(K87-S87))),O87-(K87-S87))))))))</f>
        <v>6.2074768858624836</v>
      </c>
      <c r="AD87" s="167" t="e">
        <f>IF(H87=0,0,IF(OPFOKLEGHEN!$H$11="geen droogtunnel",IF(OPFOKLEGHEN!$H$15="geen warmtewisselaar",(Q87-(K87-R87)/S$13),N87-(K87-R87)),IF(OPFOKLEGHEN!$H$12&gt;=0,IF(OPFOKLEGHEN!$L$9="ja",IF(OPFOKLEGHEN!$J$18="ja",IF(OPFOKLEGHEN!$H$20="ja",Q87-(K87-N87)-(K87-S87),IF(OPFOKLEGHEN!$H$20="nee",(Q87-(K87-N87)-(K87-S87)),(O87-(K87-S87)))),IF(OPFOKLEGHEN!$J$18="nee",IF(OPFOKLEGHEN!$H$20="nee",1*Q87*$N$135-(K87-N87)-(K87-S87),(Q87-(K87-N87)-(K87-S87))*N$135))),IF(OPFOKLEGHEN!$L$9="nee",IF(OPFOKLEGHEN!$J$18="nee",IF(OPFOKLEGHEN!$H$20="nee",(N87*95%-(K87-Q87)/I$4-(K87-S87)),N87-(K87-Q87)/I$4-(K87-S87)),IF(OPFOKLEGHEN!$H$20="nee",IF(OPFOKLEGHEN!$J$18="ja",IF(OPFOKLEGHEN!$L$9="nee",N87-(K87-Q87)/I$4-(K87-S87))),N87-(K87-Q87)/I$4-(K87-S87))))))))</f>
        <v>#DIV/0!</v>
      </c>
      <c r="AE87" s="4"/>
      <c r="AF87" s="6"/>
      <c r="AG87" s="6"/>
      <c r="AH87" s="4"/>
      <c r="AI87" s="6"/>
      <c r="AJ87" s="6"/>
      <c r="AK87" s="4"/>
      <c r="AL87" s="6"/>
      <c r="AM87" s="1">
        <v>11</v>
      </c>
      <c r="AN87" s="1">
        <v>72</v>
      </c>
      <c r="AO87" s="5">
        <f t="shared" si="64"/>
        <v>829.2</v>
      </c>
      <c r="AP87" s="5">
        <f t="shared" si="65"/>
        <v>755</v>
      </c>
      <c r="AQ87" s="5">
        <f t="shared" si="62"/>
        <v>792.1</v>
      </c>
      <c r="AR87" s="100"/>
    </row>
    <row r="88" spans="1:44" ht="13" x14ac:dyDescent="0.3">
      <c r="A88" s="1">
        <v>11</v>
      </c>
      <c r="B88" s="1">
        <v>73</v>
      </c>
      <c r="C88" s="4">
        <f t="shared" si="58"/>
        <v>0.91864220786306616</v>
      </c>
      <c r="D88" s="7">
        <f t="shared" si="48"/>
        <v>0</v>
      </c>
      <c r="E88" s="7">
        <f>IF(I$3=0,0,IF(OPFOKLEGHEN!$H$13="parallel geschakeld met warmtewisselaar",0,MIN(I$3,C88)))</f>
        <v>0</v>
      </c>
      <c r="F88" s="7">
        <f>IF(I$3=0,0,IF(OPFOKLEGHEN!$H$13="serie geschakeld met warmtewisselaar",0,IF(C88&lt;$I$3,C88-D88,MIN($I$3,C88-D88))))</f>
        <v>0</v>
      </c>
      <c r="G88" s="137">
        <f>IF(C88&lt;$I$7,MAX(0,C88-D88-E88-F88,IF(OPFOKLEGHEN!$H$15="warmtewisselaar",IF(OPFOKLEGHEN!$H$13="serie geschakeld met warmtewisselaar",MIN(I$7,MAX(0,C88-D88-F88)),MIN(I$7,MAX(0,C88-D88-E88-F88))))),IF(OPFOKLEGHEN!$H$13="parallel geschakeld met warmtewisselaar",MIN(I$7,C88-D88-E88-F88,MIN(I$7,C88-E88-F88)),MIN(I$7,MAX(0,C88-D88-F88))))</f>
        <v>0</v>
      </c>
      <c r="H88" s="7">
        <f>IF(OPFOKLEGHEN!$H$13="parallel geschakeld met warmtewisselaar",IF(OPFOKLEGHEN!$L$9="nee",IF(OPFOKLEGHEN!$J$18="ja",C88-F88-G88,C88-D88-F88-G88),IF(OPFOKLEGHEN!$L$9="ja",IF(OPFOKLEGHEN!$J$18="ja",C88-G88,IF(OPFOKLEGHEN!$J$18="nee",C88-D88-G88)))),IF(OPFOKLEGHEN!$H$13="serie geschakeld met warmtewisselaar",IF(OPFOKLEGHEN!$J$18="ja",C88-G88,C88-D88-F88-G88),C88-D88-F88-G88))</f>
        <v>0.91864220786306616</v>
      </c>
      <c r="I88" s="98">
        <f t="shared" si="49"/>
        <v>0.91864220786306616</v>
      </c>
      <c r="J88" s="99">
        <v>0.79767333274747643</v>
      </c>
      <c r="K88" s="6">
        <f t="shared" si="59"/>
        <v>6.419121189966015</v>
      </c>
      <c r="L88" s="130">
        <f>SUM(K$16:K88)/$K$137</f>
        <v>0.18839432222777053</v>
      </c>
      <c r="M88" s="6">
        <f t="shared" si="60"/>
        <v>5.3492676583050132E-2</v>
      </c>
      <c r="N88" s="6">
        <f t="shared" si="53"/>
        <v>6.419121189966015</v>
      </c>
      <c r="O88" s="6">
        <f>IF(E88&lt;I$3,P88*(1-I$6*D88/C88),IF(OPFOKLEGHEN!$H$11="droogtunnel (platen) 55%",P88*(1-$I$6)+(C88-D88)/C88*(K88-P88*(1-I$6)),P88*(1-$I$6)+(C88-D88)/C88*(K88-P88*(1-I$6))))</f>
        <v>6.419121189966015</v>
      </c>
      <c r="P88" s="129">
        <f t="shared" si="54"/>
        <v>6.419121189966015</v>
      </c>
      <c r="Q88" s="134">
        <f t="shared" si="55"/>
        <v>6.419121189966015</v>
      </c>
      <c r="R88" s="134">
        <f t="shared" si="61"/>
        <v>6.419121189966015</v>
      </c>
      <c r="S88" s="199">
        <f>IF(G88&lt;0.1,K88,IF(C88=F88,S88/(1-I$4),IF(I$3=0,K88-(G88/C88)*K88*S$13,IF(OPFOKLEGHEN!$H$13="Parallel geschakeld met warmtewisselaar",K88-(K88-(K88-Q88)/I$4)*(G88/(C88-F88))*S$13,IF(OPFOKLEGHEN!$H$20="ja",K88-(K88-(K88-P88)/I$4)*(G88/(C88-MIN(D88,I$5)))*S$13,K88-(K88-(K88-P88)/I$4)*(G88/(C88-MIN(D88,I$5)))*S$13)))))</f>
        <v>6.419121189966015</v>
      </c>
      <c r="T88" s="17">
        <f t="shared" si="63"/>
        <v>6.419121189966015</v>
      </c>
      <c r="U88" s="6">
        <f t="shared" si="50"/>
        <v>0</v>
      </c>
      <c r="V88" s="129">
        <f>IF(OPFOKLEGHEN!$J$18="nee",H88/C88*K88,IF(OPFOKLEGHEN!$H$20="ja",O88-(K88-Q88)-(K88-S88),Q88-(K88-O88)-(K88-S88)))</f>
        <v>6.419121189966015</v>
      </c>
      <c r="W88" s="162">
        <f>IF(H88=0,0,IF(OPFOKLEGHEN!$H$11="geen droogtunnel",IF(OPFOKLEGHEN!$H$15="geen warmtewisselaar",Q88-(K88-R88)))+IF(OPFOKLEGHEN!$H$12&gt;0,IF(OPFOKLEGHEN!$H$13="serie geschakeld met warmtewisselaar",(O88*80%-(K88-S88)),(Q88-(K88-S88)-(K88-T88))),(N88-(K88-S88))))</f>
        <v>12.83824237993203</v>
      </c>
      <c r="X88" s="162">
        <f>IF(H88=0,0,IF(OPFOKLEGHEN!$H$11="geen droogtunnel",IF(OPFOKLEGHEN!$H$15="geen warmtewisselaar",Q88-(K88-R88)))+IF(OPFOKLEGHEN!$H$12&gt;0,IF(OPFOKLEGHEN!$H$13="serie geschakeld met warmtewisselaar",3*(O88*80%-(K88-S88)),(Q88-(K88-S88)-(K88-N88))),(N88-(K88-S88))))</f>
        <v>12.83824237993203</v>
      </c>
      <c r="Y88" s="162">
        <f>IF(H88=0,0,IF(OPFOKLEGHEN!$H$11="geen droogtunnel",IF(OPFOKLEGHEN!$H$15="geen warmtewisselaar",Q88-(K88-R88)))+IF(OPFOKLEGHEN!$H$12&gt;0,IF(OPFOKLEGHEN!$H$13="serie geschakeld met warmtewisselaar",(O88-(K88-S88)),IF(OPFOKLEGHEN!$H$13="parallel geschakeld met warmtewisselaar",IF(OPFOKLEGHEN!$L$9="ja",IF(OPFOKLEGHEN!$J$18="nee",(N88-(K88-Q88)-(K88-S88)),(Q88-(K88-N88/80%)))))),(O88-(K88-S88))))</f>
        <v>12.83824237993203</v>
      </c>
      <c r="Z88" s="130">
        <f t="shared" si="56"/>
        <v>1</v>
      </c>
      <c r="AA88" s="130"/>
      <c r="AB88" s="130"/>
      <c r="AC88" s="167">
        <f>IF(H88=0,0,IF(OPFOKLEGHEN!$H$11="geen droogtunnel",IF(OPFOKLEGHEN!$H$15="geen warmtewisselaar",(P88-(K88-R88)/R$13),K88-(K88-O88)/I$6-(K88-R88)/95%)+IF(OPFOKLEGHEN!$J$18="ja",(K88-O88)*(1-I$6)),IF(OPFOKLEGHEN!$H$12&gt;=0,IF(OPFOKLEGHEN!$L$9="ja",IF(OPFOKLEGHEN!$J$18="ja",IF(OPFOKLEGHEN!$H$20="ja",O88-(K88-S88),IF(OPFOKLEGHEN!$H$20="nee",(O88-(K88-S88)),(O88-(K88-S88)))),IF(OPFOKLEGHEN!$J$18="nee",IF(OPFOKLEGHEN!$H$20="nee",O88*80%-(K88-S88),0+O88-(K88-S88)))),IF(OPFOKLEGHEN!$L$9="nee",IF(OPFOKLEGHEN!$J$18="nee",IF(OPFOKLEGHEN!$H$20="nee",(O88*80%-(K88-S88)),O88*93%-(K88-S88)),IF(OPFOKLEGHEN!$H$20="nee",IF(OPFOKLEGHEN!$J$18="ja",IF(OPFOKLEGHEN!$L$9="nee",O88-(K88-S88))),O88-(K88-S88))))))))</f>
        <v>6.419121189966015</v>
      </c>
      <c r="AD88" s="167" t="e">
        <f>IF(H88=0,0,IF(OPFOKLEGHEN!$H$11="geen droogtunnel",IF(OPFOKLEGHEN!$H$15="geen warmtewisselaar",(Q88-(K88-R88)/S$13),N88-(K88-R88)),IF(OPFOKLEGHEN!$H$12&gt;=0,IF(OPFOKLEGHEN!$L$9="ja",IF(OPFOKLEGHEN!$J$18="ja",IF(OPFOKLEGHEN!$H$20="ja",Q88-(K88-N88)-(K88-S88),IF(OPFOKLEGHEN!$H$20="nee",(Q88-(K88-N88)-(K88-S88)),(O88-(K88-S88)))),IF(OPFOKLEGHEN!$J$18="nee",IF(OPFOKLEGHEN!$H$20="nee",1*Q88*$N$135-(K88-N88)-(K88-S88),(Q88-(K88-N88)-(K88-S88))*N$135))),IF(OPFOKLEGHEN!$L$9="nee",IF(OPFOKLEGHEN!$J$18="nee",IF(OPFOKLEGHEN!$H$20="nee",(N88*95%-(K88-Q88)/I$4-(K88-S88)),N88-(K88-Q88)/I$4-(K88-S88)),IF(OPFOKLEGHEN!$H$20="nee",IF(OPFOKLEGHEN!$J$18="ja",IF(OPFOKLEGHEN!$L$9="nee",N88-(K88-Q88)/I$4-(K88-S88))),N88-(K88-Q88)/I$4-(K88-S88))))))))</f>
        <v>#DIV/0!</v>
      </c>
      <c r="AE88" s="4"/>
      <c r="AF88" s="6"/>
      <c r="AG88" s="6"/>
      <c r="AH88" s="4"/>
      <c r="AI88" s="6"/>
      <c r="AJ88" s="6"/>
      <c r="AK88" s="4"/>
      <c r="AL88" s="6"/>
      <c r="AM88" s="1">
        <v>11</v>
      </c>
      <c r="AN88" s="1">
        <v>73</v>
      </c>
      <c r="AO88" s="5">
        <f t="shared" si="64"/>
        <v>841.30000000000007</v>
      </c>
      <c r="AP88" s="5">
        <f t="shared" si="65"/>
        <v>765</v>
      </c>
      <c r="AQ88" s="5">
        <f t="shared" si="62"/>
        <v>803.15000000000009</v>
      </c>
      <c r="AR88" s="100"/>
    </row>
    <row r="89" spans="1:44" ht="13" x14ac:dyDescent="0.3">
      <c r="A89" s="1">
        <v>11</v>
      </c>
      <c r="B89" s="1">
        <v>74</v>
      </c>
      <c r="C89" s="4">
        <f t="shared" si="58"/>
        <v>0.932576078686432</v>
      </c>
      <c r="D89" s="7">
        <f t="shared" si="48"/>
        <v>0</v>
      </c>
      <c r="E89" s="7">
        <f>IF(I$3=0,0,IF(OPFOKLEGHEN!$H$13="parallel geschakeld met warmtewisselaar",0,MIN(I$3,C89)))</f>
        <v>0</v>
      </c>
      <c r="F89" s="7">
        <f>IF(I$3=0,0,IF(OPFOKLEGHEN!$H$13="serie geschakeld met warmtewisselaar",0,IF(C89&lt;$I$3,C89-D89,MIN($I$3,C89-D89))))</f>
        <v>0</v>
      </c>
      <c r="G89" s="137">
        <f>IF(C89&lt;$I$7,MAX(0,C89-D89-E89-F89,IF(OPFOKLEGHEN!$H$15="warmtewisselaar",IF(OPFOKLEGHEN!$H$13="serie geschakeld met warmtewisselaar",MIN(I$7,MAX(0,C89-D89-F89)),MIN(I$7,MAX(0,C89-D89-E89-F89))))),IF(OPFOKLEGHEN!$H$13="parallel geschakeld met warmtewisselaar",MIN(I$7,C89-D89-E89-F89,MIN(I$7,C89-E89-F89)),MIN(I$7,MAX(0,C89-D89-F89))))</f>
        <v>0</v>
      </c>
      <c r="H89" s="7">
        <f>IF(OPFOKLEGHEN!$H$13="parallel geschakeld met warmtewisselaar",IF(OPFOKLEGHEN!$L$9="nee",IF(OPFOKLEGHEN!$J$18="ja",C89-F89-G89,C89-D89-F89-G89),IF(OPFOKLEGHEN!$L$9="ja",IF(OPFOKLEGHEN!$J$18="ja",C89-G89,IF(OPFOKLEGHEN!$J$18="nee",C89-D89-G89)))),IF(OPFOKLEGHEN!$H$13="serie geschakeld met warmtewisselaar",IF(OPFOKLEGHEN!$J$18="ja",C89-G89,C89-D89-F89-G89),C89-D89-F89-G89))</f>
        <v>0.932576078686432</v>
      </c>
      <c r="I89" s="98">
        <f t="shared" si="49"/>
        <v>0.932576078686432</v>
      </c>
      <c r="J89" s="99">
        <v>0.81248638422038</v>
      </c>
      <c r="K89" s="6">
        <f t="shared" si="59"/>
        <v>6.6374990077574711</v>
      </c>
      <c r="L89" s="130">
        <f>SUM(K$16:K89)/$K$137</f>
        <v>0.19616709985180208</v>
      </c>
      <c r="M89" s="6">
        <f t="shared" si="60"/>
        <v>5.6070197097494619E-2</v>
      </c>
      <c r="N89" s="6">
        <f t="shared" si="53"/>
        <v>6.6374990077574711</v>
      </c>
      <c r="O89" s="6">
        <f>IF(E89&lt;I$3,P89*(1-I$6*D89/C89),IF(OPFOKLEGHEN!$H$11="droogtunnel (platen) 55%",P89*(1-$I$6)+(C89-D89)/C89*(K89-P89*(1-I$6)),P89*(1-$I$6)+(C89-D89)/C89*(K89-P89*(1-I$6))))</f>
        <v>6.6374990077574711</v>
      </c>
      <c r="P89" s="129">
        <f t="shared" si="54"/>
        <v>6.6374990077574711</v>
      </c>
      <c r="Q89" s="134">
        <f t="shared" si="55"/>
        <v>6.6374990077574711</v>
      </c>
      <c r="R89" s="134">
        <f t="shared" si="61"/>
        <v>6.6374990077574711</v>
      </c>
      <c r="S89" s="199">
        <f>IF(G89&lt;0.1,K89,IF(C89=F89,S89/(1-I$4),IF(I$3=0,K89-(G89/C89)*K89*S$13,IF(OPFOKLEGHEN!$H$13="Parallel geschakeld met warmtewisselaar",K89-(K89-(K89-Q89)/I$4)*(G89/(C89-F89))*S$13,IF(OPFOKLEGHEN!$H$20="ja",K89-(K89-(K89-P89)/I$4)*(G89/(C89-MIN(D89,I$5)))*S$13,K89-(K89-(K89-P89)/I$4)*(G89/(C89-MIN(D89,I$5)))*S$13)))))</f>
        <v>6.6374990077574711</v>
      </c>
      <c r="T89" s="17">
        <f t="shared" si="63"/>
        <v>6.6374990077574711</v>
      </c>
      <c r="U89" s="6">
        <f t="shared" si="50"/>
        <v>0</v>
      </c>
      <c r="V89" s="129">
        <f>IF(OPFOKLEGHEN!$J$18="nee",H89/C89*K89,IF(OPFOKLEGHEN!$H$20="ja",O89-(K89-Q89)-(K89-S89),Q89-(K89-O89)-(K89-S89)))</f>
        <v>6.6374990077574711</v>
      </c>
      <c r="W89" s="162">
        <f>IF(H89=0,0,IF(OPFOKLEGHEN!$H$11="geen droogtunnel",IF(OPFOKLEGHEN!$H$15="geen warmtewisselaar",Q89-(K89-R89)))+IF(OPFOKLEGHEN!$H$12&gt;0,IF(OPFOKLEGHEN!$H$13="serie geschakeld met warmtewisselaar",(O89*80%-(K89-S89)),(Q89-(K89-S89)-(K89-T89))),(N89-(K89-S89))))</f>
        <v>13.274998015514942</v>
      </c>
      <c r="X89" s="162">
        <f>IF(H89=0,0,IF(OPFOKLEGHEN!$H$11="geen droogtunnel",IF(OPFOKLEGHEN!$H$15="geen warmtewisselaar",Q89-(K89-R89)))+IF(OPFOKLEGHEN!$H$12&gt;0,IF(OPFOKLEGHEN!$H$13="serie geschakeld met warmtewisselaar",3*(O89*80%-(K89-S89)),(Q89-(K89-S89)-(K89-N89))),(N89-(K89-S89))))</f>
        <v>13.274998015514942</v>
      </c>
      <c r="Y89" s="162">
        <f>IF(H89=0,0,IF(OPFOKLEGHEN!$H$11="geen droogtunnel",IF(OPFOKLEGHEN!$H$15="geen warmtewisselaar",Q89-(K89-R89)))+IF(OPFOKLEGHEN!$H$12&gt;0,IF(OPFOKLEGHEN!$H$13="serie geschakeld met warmtewisselaar",(O89-(K89-S89)),IF(OPFOKLEGHEN!$H$13="parallel geschakeld met warmtewisselaar",IF(OPFOKLEGHEN!$L$9="ja",IF(OPFOKLEGHEN!$J$18="nee",(N89-(K89-Q89)-(K89-S89)),(Q89-(K89-N89/80%)))))),(O89-(K89-S89))))</f>
        <v>13.274998015514942</v>
      </c>
      <c r="Z89" s="130">
        <f t="shared" si="56"/>
        <v>1</v>
      </c>
      <c r="AA89" s="130"/>
      <c r="AB89" s="130"/>
      <c r="AC89" s="167">
        <f>IF(H89=0,0,IF(OPFOKLEGHEN!$H$11="geen droogtunnel",IF(OPFOKLEGHEN!$H$15="geen warmtewisselaar",(P89-(K89-R89)/R$13),K89-(K89-O89)/I$6-(K89-R89)/95%)+IF(OPFOKLEGHEN!$J$18="ja",(K89-O89)*(1-I$6)),IF(OPFOKLEGHEN!$H$12&gt;=0,IF(OPFOKLEGHEN!$L$9="ja",IF(OPFOKLEGHEN!$J$18="ja",IF(OPFOKLEGHEN!$H$20="ja",O89-(K89-S89),IF(OPFOKLEGHEN!$H$20="nee",(O89-(K89-S89)),(O89-(K89-S89)))),IF(OPFOKLEGHEN!$J$18="nee",IF(OPFOKLEGHEN!$H$20="nee",O89*80%-(K89-S89),0+O89-(K89-S89)))),IF(OPFOKLEGHEN!$L$9="nee",IF(OPFOKLEGHEN!$J$18="nee",IF(OPFOKLEGHEN!$H$20="nee",(O89*80%-(K89-S89)),O89*93%-(K89-S89)),IF(OPFOKLEGHEN!$H$20="nee",IF(OPFOKLEGHEN!$J$18="ja",IF(OPFOKLEGHEN!$L$9="nee",O89-(K89-S89))),O89-(K89-S89))))))))</f>
        <v>6.6374990077574711</v>
      </c>
      <c r="AD89" s="167" t="e">
        <f>IF(H89=0,0,IF(OPFOKLEGHEN!$H$11="geen droogtunnel",IF(OPFOKLEGHEN!$H$15="geen warmtewisselaar",(Q89-(K89-R89)/S$13),N89-(K89-R89)),IF(OPFOKLEGHEN!$H$12&gt;=0,IF(OPFOKLEGHEN!$L$9="ja",IF(OPFOKLEGHEN!$J$18="ja",IF(OPFOKLEGHEN!$H$20="ja",Q89-(K89-N89)-(K89-S89),IF(OPFOKLEGHEN!$H$20="nee",(Q89-(K89-N89)-(K89-S89)),(O89-(K89-S89)))),IF(OPFOKLEGHEN!$J$18="nee",IF(OPFOKLEGHEN!$H$20="nee",1*Q89*$N$135-(K89-N89)-(K89-S89),(Q89-(K89-N89)-(K89-S89))*N$135))),IF(OPFOKLEGHEN!$L$9="nee",IF(OPFOKLEGHEN!$J$18="nee",IF(OPFOKLEGHEN!$H$20="nee",(N89*95%-(K89-Q89)/I$4-(K89-S89)),N89-(K89-Q89)/I$4-(K89-S89)),IF(OPFOKLEGHEN!$H$20="nee",IF(OPFOKLEGHEN!$J$18="ja",IF(OPFOKLEGHEN!$L$9="nee",N89-(K89-Q89)/I$4-(K89-S89))),N89-(K89-Q89)/I$4-(K89-S89))))))))</f>
        <v>#DIV/0!</v>
      </c>
      <c r="AE89" s="4"/>
      <c r="AF89" s="6"/>
      <c r="AG89" s="6"/>
      <c r="AH89" s="4"/>
      <c r="AI89" s="6"/>
      <c r="AJ89" s="6"/>
      <c r="AK89" s="4"/>
      <c r="AL89" s="6"/>
      <c r="AM89" s="1">
        <v>11</v>
      </c>
      <c r="AN89" s="1">
        <v>74</v>
      </c>
      <c r="AO89" s="5">
        <f t="shared" si="64"/>
        <v>853.40000000000009</v>
      </c>
      <c r="AP89" s="5">
        <f t="shared" si="65"/>
        <v>775</v>
      </c>
      <c r="AQ89" s="5">
        <f t="shared" si="62"/>
        <v>814.2</v>
      </c>
      <c r="AR89" s="100"/>
    </row>
    <row r="90" spans="1:44" ht="13" x14ac:dyDescent="0.3">
      <c r="A90" s="1">
        <v>11</v>
      </c>
      <c r="B90" s="1">
        <v>75</v>
      </c>
      <c r="C90" s="4">
        <f t="shared" si="58"/>
        <v>0.94665546990174987</v>
      </c>
      <c r="D90" s="7">
        <f t="shared" si="48"/>
        <v>0</v>
      </c>
      <c r="E90" s="7">
        <f>IF(I$3=0,0,IF(OPFOKLEGHEN!$H$13="parallel geschakeld met warmtewisselaar",0,MIN(I$3,C90)))</f>
        <v>0</v>
      </c>
      <c r="F90" s="7">
        <f>IF(I$3=0,0,IF(OPFOKLEGHEN!$H$13="serie geschakeld met warmtewisselaar",0,IF(C90&lt;$I$3,C90-D90,MIN($I$3,C90-D90))))</f>
        <v>0</v>
      </c>
      <c r="G90" s="137">
        <f>IF(C90&lt;$I$7,MAX(0,C90-D90-E90-F90,IF(OPFOKLEGHEN!$H$15="warmtewisselaar",IF(OPFOKLEGHEN!$H$13="serie geschakeld met warmtewisselaar",MIN(I$7,MAX(0,C90-D90-F90)),MIN(I$7,MAX(0,C90-D90-E90-F90))))),IF(OPFOKLEGHEN!$H$13="parallel geschakeld met warmtewisselaar",MIN(I$7,C90-D90-E90-F90,MIN(I$7,C90-E90-F90)),MIN(I$7,MAX(0,C90-D90-F90))))</f>
        <v>0</v>
      </c>
      <c r="H90" s="7">
        <f>IF(OPFOKLEGHEN!$H$13="parallel geschakeld met warmtewisselaar",IF(OPFOKLEGHEN!$L$9="nee",IF(OPFOKLEGHEN!$J$18="ja",C90-F90-G90,C90-D90-F90-G90),IF(OPFOKLEGHEN!$L$9="ja",IF(OPFOKLEGHEN!$J$18="ja",C90-G90,IF(OPFOKLEGHEN!$J$18="nee",C90-D90-G90)))),IF(OPFOKLEGHEN!$H$13="serie geschakeld met warmtewisselaar",IF(OPFOKLEGHEN!$J$18="ja",C90-G90,C90-D90-F90-G90),C90-D90-F90-G90))</f>
        <v>0.94665546990174987</v>
      </c>
      <c r="I90" s="98">
        <f t="shared" si="49"/>
        <v>0.94665546990174987</v>
      </c>
      <c r="J90" s="99">
        <v>0.82757451884440647</v>
      </c>
      <c r="K90" s="6">
        <f t="shared" si="59"/>
        <v>6.8628287983346077</v>
      </c>
      <c r="L90" s="130">
        <f>SUM(K$16:K90)/$K$137</f>
        <v>0.20420374770047378</v>
      </c>
      <c r="M90" s="6">
        <f t="shared" si="60"/>
        <v>5.8757095876152458E-2</v>
      </c>
      <c r="N90" s="6">
        <f t="shared" si="53"/>
        <v>6.8628287983346077</v>
      </c>
      <c r="O90" s="6">
        <f>IF(E90&lt;I$3,P90*(1-I$6*D90/C90),IF(OPFOKLEGHEN!$H$11="droogtunnel (platen) 55%",P90*(1-$I$6)+(C90-D90)/C90*(K90-P90*(1-I$6)),P90*(1-$I$6)+(C90-D90)/C90*(K90-P90*(1-I$6))))</f>
        <v>6.8628287983346077</v>
      </c>
      <c r="P90" s="129">
        <f t="shared" si="54"/>
        <v>6.8628287983346077</v>
      </c>
      <c r="Q90" s="134">
        <f t="shared" si="55"/>
        <v>6.8628287983346077</v>
      </c>
      <c r="R90" s="134">
        <f t="shared" si="61"/>
        <v>6.8628287983346077</v>
      </c>
      <c r="S90" s="199">
        <f>IF(G90&lt;0.1,K90,IF(C90=F90,S90/(1-I$4),IF(I$3=0,K90-(G90/C90)*K90*S$13,IF(OPFOKLEGHEN!$H$13="Parallel geschakeld met warmtewisselaar",K90-(K90-(K90-Q90)/I$4)*(G90/(C90-F90))*S$13,IF(OPFOKLEGHEN!$H$20="ja",K90-(K90-(K90-P90)/I$4)*(G90/(C90-MIN(D90,I$5)))*S$13,K90-(K90-(K90-P90)/I$4)*(G90/(C90-MIN(D90,I$5)))*S$13)))))</f>
        <v>6.8628287983346077</v>
      </c>
      <c r="T90" s="17">
        <f t="shared" si="63"/>
        <v>6.8628287983346077</v>
      </c>
      <c r="U90" s="6">
        <f t="shared" si="50"/>
        <v>0</v>
      </c>
      <c r="V90" s="129">
        <f>IF(OPFOKLEGHEN!$J$18="nee",H90/C90*K90,IF(OPFOKLEGHEN!$H$20="ja",O90-(K90-Q90)-(K90-S90),Q90-(K90-O90)-(K90-S90)))</f>
        <v>6.8628287983346077</v>
      </c>
      <c r="W90" s="162">
        <f>IF(H90=0,0,IF(OPFOKLEGHEN!$H$11="geen droogtunnel",IF(OPFOKLEGHEN!$H$15="geen warmtewisselaar",Q90-(K90-R90)))+IF(OPFOKLEGHEN!$H$12&gt;0,IF(OPFOKLEGHEN!$H$13="serie geschakeld met warmtewisselaar",(O90*80%-(K90-S90)),(Q90-(K90-S90)-(K90-T90))),(N90-(K90-S90))))</f>
        <v>13.725657596669215</v>
      </c>
      <c r="X90" s="162">
        <f>IF(H90=0,0,IF(OPFOKLEGHEN!$H$11="geen droogtunnel",IF(OPFOKLEGHEN!$H$15="geen warmtewisselaar",Q90-(K90-R90)))+IF(OPFOKLEGHEN!$H$12&gt;0,IF(OPFOKLEGHEN!$H$13="serie geschakeld met warmtewisselaar",3*(O90*80%-(K90-S90)),(Q90-(K90-S90)-(K90-N90))),(N90-(K90-S90))))</f>
        <v>13.725657596669215</v>
      </c>
      <c r="Y90" s="162">
        <f>IF(H90=0,0,IF(OPFOKLEGHEN!$H$11="geen droogtunnel",IF(OPFOKLEGHEN!$H$15="geen warmtewisselaar",Q90-(K90-R90)))+IF(OPFOKLEGHEN!$H$12&gt;0,IF(OPFOKLEGHEN!$H$13="serie geschakeld met warmtewisselaar",(O90-(K90-S90)),IF(OPFOKLEGHEN!$H$13="parallel geschakeld met warmtewisselaar",IF(OPFOKLEGHEN!$L$9="ja",IF(OPFOKLEGHEN!$J$18="nee",(N90-(K90-Q90)-(K90-S90)),(Q90-(K90-N90/80%)))))),(O90-(K90-S90))))</f>
        <v>13.725657596669215</v>
      </c>
      <c r="Z90" s="130">
        <f t="shared" si="56"/>
        <v>1</v>
      </c>
      <c r="AA90" s="130"/>
      <c r="AB90" s="130"/>
      <c r="AC90" s="167">
        <f>IF(H90=0,0,IF(OPFOKLEGHEN!$H$11="geen droogtunnel",IF(OPFOKLEGHEN!$H$15="geen warmtewisselaar",(P90-(K90-R90)/R$13),K90-(K90-O90)/I$6-(K90-R90)/95%)+IF(OPFOKLEGHEN!$J$18="ja",(K90-O90)*(1-I$6)),IF(OPFOKLEGHEN!$H$12&gt;=0,IF(OPFOKLEGHEN!$L$9="ja",IF(OPFOKLEGHEN!$J$18="ja",IF(OPFOKLEGHEN!$H$20="ja",O90-(K90-S90),IF(OPFOKLEGHEN!$H$20="nee",(O90-(K90-S90)),(O90-(K90-S90)))),IF(OPFOKLEGHEN!$J$18="nee",IF(OPFOKLEGHEN!$H$20="nee",O90*80%-(K90-S90),0+O90-(K90-S90)))),IF(OPFOKLEGHEN!$L$9="nee",IF(OPFOKLEGHEN!$J$18="nee",IF(OPFOKLEGHEN!$H$20="nee",(O90*80%-(K90-S90)),O90*93%-(K90-S90)),IF(OPFOKLEGHEN!$H$20="nee",IF(OPFOKLEGHEN!$J$18="ja",IF(OPFOKLEGHEN!$L$9="nee",O90-(K90-S90))),O90-(K90-S90))))))))</f>
        <v>6.8628287983346077</v>
      </c>
      <c r="AD90" s="167" t="e">
        <f>IF(H90=0,0,IF(OPFOKLEGHEN!$H$11="geen droogtunnel",IF(OPFOKLEGHEN!$H$15="geen warmtewisselaar",(Q90-(K90-R90)/S$13),N90-(K90-R90)),IF(OPFOKLEGHEN!$H$12&gt;=0,IF(OPFOKLEGHEN!$L$9="ja",IF(OPFOKLEGHEN!$J$18="ja",IF(OPFOKLEGHEN!$H$20="ja",Q90-(K90-N90)-(K90-S90),IF(OPFOKLEGHEN!$H$20="nee",(Q90-(K90-N90)-(K90-S90)),(O90-(K90-S90)))),IF(OPFOKLEGHEN!$J$18="nee",IF(OPFOKLEGHEN!$H$20="nee",1*Q90*$N$135-(K90-N90)-(K90-S90),(Q90-(K90-N90)-(K90-S90))*N$135))),IF(OPFOKLEGHEN!$L$9="nee",IF(OPFOKLEGHEN!$J$18="nee",IF(OPFOKLEGHEN!$H$20="nee",(N90*95%-(K90-Q90)/I$4-(K90-S90)),N90-(K90-Q90)/I$4-(K90-S90)),IF(OPFOKLEGHEN!$H$20="nee",IF(OPFOKLEGHEN!$J$18="ja",IF(OPFOKLEGHEN!$L$9="nee",N90-(K90-Q90)/I$4-(K90-S90))),N90-(K90-Q90)/I$4-(K90-S90))))))))</f>
        <v>#DIV/0!</v>
      </c>
      <c r="AE90" s="4"/>
      <c r="AF90" s="6"/>
      <c r="AG90" s="6"/>
      <c r="AH90" s="4"/>
      <c r="AI90" s="6"/>
      <c r="AJ90" s="6"/>
      <c r="AK90" s="4"/>
      <c r="AL90" s="6"/>
      <c r="AM90" s="1">
        <v>11</v>
      </c>
      <c r="AN90" s="1">
        <v>75</v>
      </c>
      <c r="AO90" s="5">
        <f t="shared" si="64"/>
        <v>865.50000000000011</v>
      </c>
      <c r="AP90" s="5">
        <f t="shared" si="65"/>
        <v>785</v>
      </c>
      <c r="AQ90" s="5">
        <f t="shared" si="62"/>
        <v>825.25</v>
      </c>
      <c r="AR90" s="100"/>
    </row>
    <row r="91" spans="1:44" ht="13" x14ac:dyDescent="0.3">
      <c r="A91" s="1">
        <v>11</v>
      </c>
      <c r="B91" s="1">
        <v>76</v>
      </c>
      <c r="C91" s="4">
        <f t="shared" si="58"/>
        <v>0.96088349014098806</v>
      </c>
      <c r="D91" s="7">
        <f t="shared" si="48"/>
        <v>0</v>
      </c>
      <c r="E91" s="7">
        <f>IF(I$3=0,0,IF(OPFOKLEGHEN!$H$13="parallel geschakeld met warmtewisselaar",0,MIN(I$3,C91)))</f>
        <v>0</v>
      </c>
      <c r="F91" s="7">
        <f>IF(I$3=0,0,IF(OPFOKLEGHEN!$H$13="serie geschakeld met warmtewisselaar",0,IF(C91&lt;$I$3,C91-D91,MIN($I$3,C91-D91))))</f>
        <v>0</v>
      </c>
      <c r="G91" s="137">
        <f>IF(C91&lt;$I$7,MAX(0,C91-D91-E91-F91,IF(OPFOKLEGHEN!$H$15="warmtewisselaar",IF(OPFOKLEGHEN!$H$13="serie geschakeld met warmtewisselaar",MIN(I$7,MAX(0,C91-D91-F91)),MIN(I$7,MAX(0,C91-D91-E91-F91))))),IF(OPFOKLEGHEN!$H$13="parallel geschakeld met warmtewisselaar",MIN(I$7,C91-D91-E91-F91,MIN(I$7,C91-E91-F91)),MIN(I$7,MAX(0,C91-D91-F91))))</f>
        <v>0</v>
      </c>
      <c r="H91" s="7">
        <f>IF(OPFOKLEGHEN!$H$13="parallel geschakeld met warmtewisselaar",IF(OPFOKLEGHEN!$L$9="nee",IF(OPFOKLEGHEN!$J$18="ja",C91-F91-G91,C91-D91-F91-G91),IF(OPFOKLEGHEN!$L$9="ja",IF(OPFOKLEGHEN!$J$18="ja",C91-G91,IF(OPFOKLEGHEN!$J$18="nee",C91-D91-G91)))),IF(OPFOKLEGHEN!$H$13="serie geschakeld met warmtewisselaar",IF(OPFOKLEGHEN!$J$18="ja",C91-G91,C91-D91-F91-G91),C91-D91-F91-G91))</f>
        <v>0.96088349014098806</v>
      </c>
      <c r="I91" s="98">
        <f t="shared" si="49"/>
        <v>0.96088349014098806</v>
      </c>
      <c r="J91" s="99">
        <v>0.84294284500253636</v>
      </c>
      <c r="K91" s="6">
        <f t="shared" si="59"/>
        <v>7.095335998963801</v>
      </c>
      <c r="L91" s="130">
        <f>SUM(K$16:K91)/$K$137</f>
        <v>0.21251267080890288</v>
      </c>
      <c r="M91" s="6">
        <f t="shared" si="60"/>
        <v>6.1557709580051238E-2</v>
      </c>
      <c r="N91" s="6">
        <f t="shared" si="53"/>
        <v>7.095335998963801</v>
      </c>
      <c r="O91" s="6">
        <f>IF(E91&lt;I$3,P91*(1-I$6*D91/C91),IF(OPFOKLEGHEN!$H$11="droogtunnel (platen) 55%",P91*(1-$I$6)+(C91-D91)/C91*(K91-P91*(1-I$6)),P91*(1-$I$6)+(C91-D91)/C91*(K91-P91*(1-I$6))))</f>
        <v>7.095335998963801</v>
      </c>
      <c r="P91" s="129">
        <f t="shared" si="54"/>
        <v>7.095335998963801</v>
      </c>
      <c r="Q91" s="134">
        <f t="shared" si="55"/>
        <v>7.095335998963801</v>
      </c>
      <c r="R91" s="134">
        <f t="shared" si="61"/>
        <v>7.095335998963801</v>
      </c>
      <c r="S91" s="199">
        <f>IF(G91&lt;0.1,K91,IF(C91=F91,S91/(1-I$4),IF(I$3=0,K91-(G91/C91)*K91*S$13,IF(OPFOKLEGHEN!$H$13="Parallel geschakeld met warmtewisselaar",K91-(K91-(K91-Q91)/I$4)*(G91/(C91-F91))*S$13,IF(OPFOKLEGHEN!$H$20="ja",K91-(K91-(K91-P91)/I$4)*(G91/(C91-MIN(D91,I$5)))*S$13,K91-(K91-(K91-P91)/I$4)*(G91/(C91-MIN(D91,I$5)))*S$13)))))</f>
        <v>7.095335998963801</v>
      </c>
      <c r="T91" s="17">
        <f t="shared" si="63"/>
        <v>7.095335998963801</v>
      </c>
      <c r="U91" s="6">
        <f t="shared" si="50"/>
        <v>0</v>
      </c>
      <c r="V91" s="129">
        <f>IF(OPFOKLEGHEN!$J$18="nee",H91/C91*K91,IF(OPFOKLEGHEN!$H$20="ja",O91-(K91-Q91)-(K91-S91),Q91-(K91-O91)-(K91-S91)))</f>
        <v>7.095335998963801</v>
      </c>
      <c r="W91" s="162">
        <f>IF(H91=0,0,IF(OPFOKLEGHEN!$H$11="geen droogtunnel",IF(OPFOKLEGHEN!$H$15="geen warmtewisselaar",Q91-(K91-R91)))+IF(OPFOKLEGHEN!$H$12&gt;0,IF(OPFOKLEGHEN!$H$13="serie geschakeld met warmtewisselaar",(O91*80%-(K91-S91)),(Q91-(K91-S91)-(K91-T91))),(N91-(K91-S91))))</f>
        <v>14.190671997927602</v>
      </c>
      <c r="X91" s="162">
        <f>IF(H91=0,0,IF(OPFOKLEGHEN!$H$11="geen droogtunnel",IF(OPFOKLEGHEN!$H$15="geen warmtewisselaar",Q91-(K91-R91)))+IF(OPFOKLEGHEN!$H$12&gt;0,IF(OPFOKLEGHEN!$H$13="serie geschakeld met warmtewisselaar",3*(O91*80%-(K91-S91)),(Q91-(K91-S91)-(K91-N91))),(N91-(K91-S91))))</f>
        <v>14.190671997927602</v>
      </c>
      <c r="Y91" s="162">
        <f>IF(H91=0,0,IF(OPFOKLEGHEN!$H$11="geen droogtunnel",IF(OPFOKLEGHEN!$H$15="geen warmtewisselaar",Q91-(K91-R91)))+IF(OPFOKLEGHEN!$H$12&gt;0,IF(OPFOKLEGHEN!$H$13="serie geschakeld met warmtewisselaar",(O91-(K91-S91)),IF(OPFOKLEGHEN!$H$13="parallel geschakeld met warmtewisselaar",IF(OPFOKLEGHEN!$L$9="ja",IF(OPFOKLEGHEN!$J$18="nee",(N91-(K91-Q91)-(K91-S91)),(Q91-(K91-N91/80%)))))),(O91-(K91-S91))))</f>
        <v>14.190671997927602</v>
      </c>
      <c r="Z91" s="130">
        <f t="shared" si="56"/>
        <v>1</v>
      </c>
      <c r="AA91" s="130"/>
      <c r="AB91" s="130"/>
      <c r="AC91" s="167">
        <f>IF(H91=0,0,IF(OPFOKLEGHEN!$H$11="geen droogtunnel",IF(OPFOKLEGHEN!$H$15="geen warmtewisselaar",(P91-(K91-R91)/R$13),K91-(K91-O91)/I$6-(K91-R91)/95%)+IF(OPFOKLEGHEN!$J$18="ja",(K91-O91)*(1-I$6)),IF(OPFOKLEGHEN!$H$12&gt;=0,IF(OPFOKLEGHEN!$L$9="ja",IF(OPFOKLEGHEN!$J$18="ja",IF(OPFOKLEGHEN!$H$20="ja",O91-(K91-S91),IF(OPFOKLEGHEN!$H$20="nee",(O91-(K91-S91)),(O91-(K91-S91)))),IF(OPFOKLEGHEN!$J$18="nee",IF(OPFOKLEGHEN!$H$20="nee",O91*80%-(K91-S91),0+O91-(K91-S91)))),IF(OPFOKLEGHEN!$L$9="nee",IF(OPFOKLEGHEN!$J$18="nee",IF(OPFOKLEGHEN!$H$20="nee",(O91*80%-(K91-S91)),O91*93%-(K91-S91)),IF(OPFOKLEGHEN!$H$20="nee",IF(OPFOKLEGHEN!$J$18="ja",IF(OPFOKLEGHEN!$L$9="nee",O91-(K91-S91))),O91-(K91-S91))))))))</f>
        <v>7.095335998963801</v>
      </c>
      <c r="AD91" s="167" t="e">
        <f>IF(H91=0,0,IF(OPFOKLEGHEN!$H$11="geen droogtunnel",IF(OPFOKLEGHEN!$H$15="geen warmtewisselaar",(Q91-(K91-R91)/S$13),N91-(K91-R91)),IF(OPFOKLEGHEN!$H$12&gt;=0,IF(OPFOKLEGHEN!$L$9="ja",IF(OPFOKLEGHEN!$J$18="ja",IF(OPFOKLEGHEN!$H$20="ja",Q91-(K91-N91)-(K91-S91),IF(OPFOKLEGHEN!$H$20="nee",(Q91-(K91-N91)-(K91-S91)),(O91-(K91-S91)))),IF(OPFOKLEGHEN!$J$18="nee",IF(OPFOKLEGHEN!$H$20="nee",1*Q91*$N$135-(K91-N91)-(K91-S91),(Q91-(K91-N91)-(K91-S91))*N$135))),IF(OPFOKLEGHEN!$L$9="nee",IF(OPFOKLEGHEN!$J$18="nee",IF(OPFOKLEGHEN!$H$20="nee",(N91*95%-(K91-Q91)/I$4-(K91-S91)),N91-(K91-Q91)/I$4-(K91-S91)),IF(OPFOKLEGHEN!$H$20="nee",IF(OPFOKLEGHEN!$J$18="ja",IF(OPFOKLEGHEN!$L$9="nee",N91-(K91-Q91)/I$4-(K91-S91))),N91-(K91-Q91)/I$4-(K91-S91))))))))</f>
        <v>#DIV/0!</v>
      </c>
      <c r="AE91" s="4"/>
      <c r="AF91" s="6"/>
      <c r="AG91" s="6"/>
      <c r="AH91" s="4"/>
      <c r="AI91" s="6"/>
      <c r="AJ91" s="6"/>
      <c r="AK91" s="4"/>
      <c r="AL91" s="6"/>
      <c r="AM91" s="1">
        <v>11</v>
      </c>
      <c r="AN91" s="1">
        <v>76</v>
      </c>
      <c r="AO91" s="5">
        <f t="shared" si="64"/>
        <v>877.60000000000014</v>
      </c>
      <c r="AP91" s="5">
        <f t="shared" si="65"/>
        <v>795</v>
      </c>
      <c r="AQ91" s="5">
        <f t="shared" si="62"/>
        <v>836.30000000000007</v>
      </c>
      <c r="AR91" s="100"/>
    </row>
    <row r="92" spans="1:44" ht="13" x14ac:dyDescent="0.3">
      <c r="A92" s="1">
        <v>11</v>
      </c>
      <c r="B92" s="1">
        <v>77</v>
      </c>
      <c r="C92" s="4">
        <f t="shared" si="58"/>
        <v>0.97545950659749991</v>
      </c>
      <c r="D92" s="7">
        <f t="shared" si="48"/>
        <v>0</v>
      </c>
      <c r="E92" s="7">
        <f>IF(I$3=0,0,IF(OPFOKLEGHEN!$H$13="parallel geschakeld met warmtewisselaar",0,MIN(I$3,C92)))</f>
        <v>0</v>
      </c>
      <c r="F92" s="7">
        <f>IF(I$3=0,0,IF(OPFOKLEGHEN!$H$13="serie geschakeld met warmtewisselaar",0,IF(C92&lt;$I$3,C92-D92,MIN($I$3,C92-D92))))</f>
        <v>0</v>
      </c>
      <c r="G92" s="137">
        <f>IF(C92&lt;$I$7,MAX(0,C92-D92-E92-F92,IF(OPFOKLEGHEN!$H$15="warmtewisselaar",IF(OPFOKLEGHEN!$H$13="serie geschakeld met warmtewisselaar",MIN(I$7,MAX(0,C92-D92-F92)),MIN(I$7,MAX(0,C92-D92-E92-F92))))),IF(OPFOKLEGHEN!$H$13="parallel geschakeld met warmtewisselaar",MIN(I$7,C92-D92-E92-F92,MIN(I$7,C92-E92-F92)),MIN(I$7,MAX(0,C92-D92-F92))))</f>
        <v>0</v>
      </c>
      <c r="H92" s="7">
        <f>IF(OPFOKLEGHEN!$H$13="parallel geschakeld met warmtewisselaar",IF(OPFOKLEGHEN!$L$9="nee",IF(OPFOKLEGHEN!$J$18="ja",C92-F92-G92,C92-D92-F92-G92),IF(OPFOKLEGHEN!$L$9="ja",IF(OPFOKLEGHEN!$J$18="ja",C92-G92,IF(OPFOKLEGHEN!$J$18="nee",C92-D92-G92)))),IF(OPFOKLEGHEN!$H$13="serie geschakeld met warmtewisselaar",IF(OPFOKLEGHEN!$J$18="ja",C92-G92,C92-D92-F92-G92),C92-D92-F92-G92))</f>
        <v>0.97545950659749991</v>
      </c>
      <c r="I92" s="98">
        <f t="shared" si="49"/>
        <v>0.97545950659749991</v>
      </c>
      <c r="J92" s="99">
        <v>0.8585965659420719</v>
      </c>
      <c r="K92" s="6">
        <f t="shared" si="59"/>
        <v>7.3367293594022129</v>
      </c>
      <c r="L92" s="130">
        <f>SUM(K$16:K92)/$K$137</f>
        <v>0.22110427522672468</v>
      </c>
      <c r="M92" s="6">
        <f t="shared" si="60"/>
        <v>6.4489516058672425E-2</v>
      </c>
      <c r="N92" s="6">
        <f t="shared" si="53"/>
        <v>7.3367293594022129</v>
      </c>
      <c r="O92" s="6">
        <f>IF(E92&lt;I$3,P92*(1-I$6*D92/C92),IF(OPFOKLEGHEN!$H$11="droogtunnel (platen) 55%",P92*(1-$I$6)+(C92-D92)/C92*(K92-P92*(1-I$6)),P92*(1-$I$6)+(C92-D92)/C92*(K92-P92*(1-I$6))))</f>
        <v>7.3367293594022129</v>
      </c>
      <c r="P92" s="129">
        <f t="shared" si="54"/>
        <v>7.3367293594022129</v>
      </c>
      <c r="Q92" s="134">
        <f t="shared" si="55"/>
        <v>7.3367293594022129</v>
      </c>
      <c r="R92" s="134">
        <f t="shared" si="61"/>
        <v>7.3367293594022129</v>
      </c>
      <c r="S92" s="199">
        <f>IF(G92&lt;0.1,K92,IF(C92=F92,S92/(1-I$4),IF(I$3=0,K92-(G92/C92)*K92*S$13,IF(OPFOKLEGHEN!$H$13="Parallel geschakeld met warmtewisselaar",K92-(K92-(K92-Q92)/I$4)*(G92/(C92-F92))*S$13,IF(OPFOKLEGHEN!$H$20="ja",K92-(K92-(K92-P92)/I$4)*(G92/(C92-MIN(D92,I$5)))*S$13,K92-(K92-(K92-P92)/I$4)*(G92/(C92-MIN(D92,I$5)))*S$13)))))</f>
        <v>7.3367293594022129</v>
      </c>
      <c r="T92" s="17">
        <f t="shared" si="63"/>
        <v>7.3367293594022129</v>
      </c>
      <c r="U92" s="6">
        <f t="shared" si="50"/>
        <v>0</v>
      </c>
      <c r="V92" s="129">
        <f>IF(OPFOKLEGHEN!$J$18="nee",H92/C92*K92,IF(OPFOKLEGHEN!$H$20="ja",O92-(K92-Q92)-(K92-S92),Q92-(K92-O92)-(K92-S92)))</f>
        <v>7.3367293594022129</v>
      </c>
      <c r="W92" s="162">
        <f>IF(H92=0,0,IF(OPFOKLEGHEN!$H$11="geen droogtunnel",IF(OPFOKLEGHEN!$H$15="geen warmtewisselaar",Q92-(K92-R92)))+IF(OPFOKLEGHEN!$H$12&gt;0,IF(OPFOKLEGHEN!$H$13="serie geschakeld met warmtewisselaar",(O92*80%-(K92-S92)),(Q92-(K92-S92)-(K92-T92))),(N92-(K92-S92))))</f>
        <v>14.673458718804426</v>
      </c>
      <c r="X92" s="162">
        <f>IF(H92=0,0,IF(OPFOKLEGHEN!$H$11="geen droogtunnel",IF(OPFOKLEGHEN!$H$15="geen warmtewisselaar",Q92-(K92-R92)))+IF(OPFOKLEGHEN!$H$12&gt;0,IF(OPFOKLEGHEN!$H$13="serie geschakeld met warmtewisselaar",3*(O92*80%-(K92-S92)),(Q92-(K92-S92)-(K92-N92))),(N92-(K92-S92))))</f>
        <v>14.673458718804426</v>
      </c>
      <c r="Y92" s="162">
        <f>IF(H92=0,0,IF(OPFOKLEGHEN!$H$11="geen droogtunnel",IF(OPFOKLEGHEN!$H$15="geen warmtewisselaar",Q92-(K92-R92)))+IF(OPFOKLEGHEN!$H$12&gt;0,IF(OPFOKLEGHEN!$H$13="serie geschakeld met warmtewisselaar",(O92-(K92-S92)),IF(OPFOKLEGHEN!$H$13="parallel geschakeld met warmtewisselaar",IF(OPFOKLEGHEN!$L$9="ja",IF(OPFOKLEGHEN!$J$18="nee",(N92-(K92-Q92)-(K92-S92)),(Q92-(K92-N92/80%)))))),(O92-(K92-S92))))</f>
        <v>14.673458718804426</v>
      </c>
      <c r="Z92" s="130">
        <f t="shared" si="56"/>
        <v>1</v>
      </c>
      <c r="AA92" s="130"/>
      <c r="AB92" s="130"/>
      <c r="AC92" s="167">
        <f>IF(H92=0,0,IF(OPFOKLEGHEN!$H$11="geen droogtunnel",IF(OPFOKLEGHEN!$H$15="geen warmtewisselaar",(P92-(K92-R92)/R$13),K92-(K92-O92)/I$6-(K92-R92)/95%)+IF(OPFOKLEGHEN!$J$18="ja",(K92-O92)*(1-I$6)),IF(OPFOKLEGHEN!$H$12&gt;=0,IF(OPFOKLEGHEN!$L$9="ja",IF(OPFOKLEGHEN!$J$18="ja",IF(OPFOKLEGHEN!$H$20="ja",O92-(K92-S92),IF(OPFOKLEGHEN!$H$20="nee",(O92-(K92-S92)),(O92-(K92-S92)))),IF(OPFOKLEGHEN!$J$18="nee",IF(OPFOKLEGHEN!$H$20="nee",O92*80%-(K92-S92),0+O92-(K92-S92)))),IF(OPFOKLEGHEN!$L$9="nee",IF(OPFOKLEGHEN!$J$18="nee",IF(OPFOKLEGHEN!$H$20="nee",(O92*80%-(K92-S92)),O92*93%-(K92-S92)),IF(OPFOKLEGHEN!$H$20="nee",IF(OPFOKLEGHEN!$J$18="ja",IF(OPFOKLEGHEN!$L$9="nee",O92-(K92-S92))),O92-(K92-S92))))))))</f>
        <v>7.3367293594022129</v>
      </c>
      <c r="AD92" s="167" t="e">
        <f>IF(H92=0,0,IF(OPFOKLEGHEN!$H$11="geen droogtunnel",IF(OPFOKLEGHEN!$H$15="geen warmtewisselaar",(Q92-(K92-R92)/S$13),N92-(K92-R92)),IF(OPFOKLEGHEN!$H$12&gt;=0,IF(OPFOKLEGHEN!$L$9="ja",IF(OPFOKLEGHEN!$J$18="ja",IF(OPFOKLEGHEN!$H$20="ja",Q92-(K92-N92)-(K92-S92),IF(OPFOKLEGHEN!$H$20="nee",(Q92-(K92-N92)-(K92-S92)),(O92-(K92-S92)))),IF(OPFOKLEGHEN!$J$18="nee",IF(OPFOKLEGHEN!$H$20="nee",1*Q92*$N$135-(K92-N92)-(K92-S92),(Q92-(K92-N92)-(K92-S92))*N$135))),IF(OPFOKLEGHEN!$L$9="nee",IF(OPFOKLEGHEN!$J$18="nee",IF(OPFOKLEGHEN!$H$20="nee",(N92*95%-(K92-Q92)/I$4-(K92-S92)),N92-(K92-Q92)/I$4-(K92-S92)),IF(OPFOKLEGHEN!$H$20="nee",IF(OPFOKLEGHEN!$J$18="ja",IF(OPFOKLEGHEN!$L$9="nee",N92-(K92-Q92)/I$4-(K92-S92))),N92-(K92-Q92)/I$4-(K92-S92))))))))</f>
        <v>#DIV/0!</v>
      </c>
      <c r="AE92" s="4"/>
      <c r="AF92" s="6"/>
      <c r="AG92" s="6"/>
      <c r="AH92" s="4"/>
      <c r="AI92" s="6"/>
      <c r="AJ92" s="6"/>
      <c r="AK92" s="4"/>
      <c r="AL92" s="6"/>
      <c r="AM92" s="1">
        <v>11</v>
      </c>
      <c r="AN92" s="1">
        <v>77</v>
      </c>
      <c r="AO92" s="5">
        <v>890</v>
      </c>
      <c r="AP92" s="5">
        <v>805</v>
      </c>
      <c r="AQ92" s="5">
        <f t="shared" si="62"/>
        <v>847.5</v>
      </c>
      <c r="AR92" s="100"/>
    </row>
    <row r="93" spans="1:44" ht="13" x14ac:dyDescent="0.3">
      <c r="A93" s="1">
        <v>12</v>
      </c>
      <c r="B93" s="1">
        <v>78</v>
      </c>
      <c r="C93" s="4">
        <f>0.000000000384*AQ93^3-0.000000342064*AQ93^2+0.001060852819*AQ93+0.088327034395</f>
        <v>0.98999623415201787</v>
      </c>
      <c r="D93" s="7">
        <f t="shared" si="48"/>
        <v>0</v>
      </c>
      <c r="E93" s="7">
        <f>IF(I$3=0,0,IF(OPFOKLEGHEN!$H$13="parallel geschakeld met warmtewisselaar",0,MIN(I$3,C93)))</f>
        <v>0</v>
      </c>
      <c r="F93" s="7">
        <f>IF(I$3=0,0,IF(OPFOKLEGHEN!$H$13="serie geschakeld met warmtewisselaar",0,IF(C93&lt;$I$3,C93-D93,MIN($I$3,C93-D93))))</f>
        <v>0</v>
      </c>
      <c r="G93" s="137">
        <f>IF(C93&lt;$I$7,MAX(0,C93-D93-E93-F93,IF(OPFOKLEGHEN!$H$15="warmtewisselaar",IF(OPFOKLEGHEN!$H$13="serie geschakeld met warmtewisselaar",MIN(I$7,MAX(0,C93-D93-F93)),MIN(I$7,MAX(0,C93-D93-E93-F93))))),IF(OPFOKLEGHEN!$H$13="parallel geschakeld met warmtewisselaar",MIN(I$7,C93-D93-E93-F93,MIN(I$7,C93-E93-F93)),MIN(I$7,MAX(0,C93-D93-F93))))</f>
        <v>0</v>
      </c>
      <c r="H93" s="7">
        <f>IF(OPFOKLEGHEN!$H$13="parallel geschakeld met warmtewisselaar",IF(OPFOKLEGHEN!$L$9="nee",IF(OPFOKLEGHEN!$J$18="ja",C93-F93-G93,C93-D93-F93-G93),IF(OPFOKLEGHEN!$L$9="ja",IF(OPFOKLEGHEN!$J$18="ja",C93-G93,IF(OPFOKLEGHEN!$J$18="nee",C93-D93-G93)))),IF(OPFOKLEGHEN!$H$13="serie geschakeld met warmtewisselaar",IF(OPFOKLEGHEN!$J$18="ja",C93-G93,C93-D93-F93-G93),C93-D93-F93-G93))</f>
        <v>0.98999623415201787</v>
      </c>
      <c r="I93" s="98">
        <f t="shared" si="49"/>
        <v>0.98999623415201787</v>
      </c>
      <c r="J93" s="99">
        <v>0.87454098153629933</v>
      </c>
      <c r="K93" s="6">
        <f t="shared" si="59"/>
        <v>7.584340358193101</v>
      </c>
      <c r="L93" s="130">
        <f>SUM(K$16:K93)/$K$137</f>
        <v>0.22998584205789166</v>
      </c>
      <c r="M93" s="6">
        <f t="shared" si="60"/>
        <v>6.7531797709938571E-2</v>
      </c>
      <c r="N93" s="6">
        <f t="shared" si="53"/>
        <v>7.584340358193101</v>
      </c>
      <c r="O93" s="6">
        <f>IF(E93&lt;I$3,P93*(1-I$6*D93/C93),IF(OPFOKLEGHEN!$H$11="droogtunnel (platen) 55%",P93*(1-$I$6)+(C93-D93)/C93*(K93-P93*(1-I$6)),P93*(1-$I$6)+(C93-D93)/C93*(K93-P93*(1-I$6))))</f>
        <v>7.584340358193101</v>
      </c>
      <c r="P93" s="129">
        <f t="shared" si="54"/>
        <v>7.584340358193101</v>
      </c>
      <c r="Q93" s="134">
        <f t="shared" si="55"/>
        <v>7.584340358193101</v>
      </c>
      <c r="R93" s="134">
        <f t="shared" si="61"/>
        <v>7.584340358193101</v>
      </c>
      <c r="S93" s="199">
        <f>IF(G93&lt;0.1,K93,IF(C93=F93,S93/(1-I$4),IF(I$3=0,K93-(G93/C93)*K93*S$13,IF(OPFOKLEGHEN!$H$13="Parallel geschakeld met warmtewisselaar",K93-(K93-(K93-Q93)/I$4)*(G93/(C93-F93))*S$13,IF(OPFOKLEGHEN!$H$20="ja",K93-(K93-(K93-P93)/I$4)*(G93/(C93-MIN(D93,I$5)))*S$13,K93-(K93-(K93-P93)/I$4)*(G93/(C93-MIN(D93,I$5)))*S$13)))))</f>
        <v>7.584340358193101</v>
      </c>
      <c r="T93" s="17">
        <f t="shared" si="63"/>
        <v>7.584340358193101</v>
      </c>
      <c r="U93" s="6">
        <f t="shared" si="50"/>
        <v>0</v>
      </c>
      <c r="V93" s="129">
        <f>IF(OPFOKLEGHEN!$J$18="nee",H93/C93*K93,IF(OPFOKLEGHEN!$H$20="ja",O93-(K93-Q93)-(K93-S93),Q93-(K93-O93)-(K93-S93)))</f>
        <v>7.584340358193101</v>
      </c>
      <c r="W93" s="162">
        <f>IF(H93=0,0,IF(OPFOKLEGHEN!$H$11="geen droogtunnel",IF(OPFOKLEGHEN!$H$15="geen warmtewisselaar",Q93-(K93-R93)))+IF(OPFOKLEGHEN!$H$12&gt;0,IF(OPFOKLEGHEN!$H$13="serie geschakeld met warmtewisselaar",(O93*80%-(K93-S93)),(Q93-(K93-S93)-(K93-T93))),(N93-(K93-S93))))</f>
        <v>15.168680716386202</v>
      </c>
      <c r="X93" s="162">
        <f>IF(H93=0,0,IF(OPFOKLEGHEN!$H$11="geen droogtunnel",IF(OPFOKLEGHEN!$H$15="geen warmtewisselaar",Q93-(K93-R93)))+IF(OPFOKLEGHEN!$H$12&gt;0,IF(OPFOKLEGHEN!$H$13="serie geschakeld met warmtewisselaar",3*(O93*80%-(K93-S93)),(Q93-(K93-S93)-(K93-N93))),(N93-(K93-S93))))</f>
        <v>15.168680716386202</v>
      </c>
      <c r="Y93" s="162">
        <f>IF(H93=0,0,IF(OPFOKLEGHEN!$H$11="geen droogtunnel",IF(OPFOKLEGHEN!$H$15="geen warmtewisselaar",Q93-(K93-R93)))+IF(OPFOKLEGHEN!$H$12&gt;0,IF(OPFOKLEGHEN!$H$13="serie geschakeld met warmtewisselaar",(O93-(K93-S93)),IF(OPFOKLEGHEN!$H$13="parallel geschakeld met warmtewisselaar",IF(OPFOKLEGHEN!$L$9="ja",IF(OPFOKLEGHEN!$J$18="nee",(N93-(K93-Q93)-(K93-S93)),(Q93-(K93-N93/80%)))))),(O93-(K93-S93))))</f>
        <v>15.168680716386202</v>
      </c>
      <c r="Z93" s="130">
        <f t="shared" si="56"/>
        <v>1</v>
      </c>
      <c r="AA93" s="130"/>
      <c r="AB93" s="130"/>
      <c r="AC93" s="167">
        <f>IF(H93=0,0,IF(OPFOKLEGHEN!$H$11="geen droogtunnel",IF(OPFOKLEGHEN!$H$15="geen warmtewisselaar",(P93-(K93-R93)/R$13),K93-(K93-O93)/I$6-(K93-R93)/95%)+IF(OPFOKLEGHEN!$J$18="ja",(K93-O93)*(1-I$6)),IF(OPFOKLEGHEN!$H$12&gt;=0,IF(OPFOKLEGHEN!$L$9="ja",IF(OPFOKLEGHEN!$J$18="ja",IF(OPFOKLEGHEN!$H$20="ja",O93-(K93-S93),IF(OPFOKLEGHEN!$H$20="nee",(O93-(K93-S93)),(O93-(K93-S93)))),IF(OPFOKLEGHEN!$J$18="nee",IF(OPFOKLEGHEN!$H$20="nee",O93*80%-(K93-S93),0+O93-(K93-S93)))),IF(OPFOKLEGHEN!$L$9="nee",IF(OPFOKLEGHEN!$J$18="nee",IF(OPFOKLEGHEN!$H$20="nee",(O93*80%-(K93-S93)),O93*93%-(K93-S93)),IF(OPFOKLEGHEN!$H$20="nee",IF(OPFOKLEGHEN!$J$18="ja",IF(OPFOKLEGHEN!$L$9="nee",O93-(K93-S93))),O93-(K93-S93))))))))</f>
        <v>7.584340358193101</v>
      </c>
      <c r="AD93" s="167" t="e">
        <f>IF(H93=0,0,IF(OPFOKLEGHEN!$H$11="geen droogtunnel",IF(OPFOKLEGHEN!$H$15="geen warmtewisselaar",(Q93-(K93-R93)/S$13),N93-(K93-R93)),IF(OPFOKLEGHEN!$H$12&gt;=0,IF(OPFOKLEGHEN!$L$9="ja",IF(OPFOKLEGHEN!$J$18="ja",IF(OPFOKLEGHEN!$H$20="ja",Q93-(K93-N93)-(K93-S93),IF(OPFOKLEGHEN!$H$20="nee",(Q93-(K93-N93)-(K93-S93)),(O93-(K93-S93)))),IF(OPFOKLEGHEN!$J$18="nee",IF(OPFOKLEGHEN!$H$20="nee",1*Q93*$N$135-(K93-N93)-(K93-S93),(Q93-(K93-N93)-(K93-S93))*N$135))),IF(OPFOKLEGHEN!$L$9="nee",IF(OPFOKLEGHEN!$J$18="nee",IF(OPFOKLEGHEN!$H$20="nee",(N93*95%-(K93-Q93)/I$4-(K93-S93)),N93-(K93-Q93)/I$4-(K93-S93)),IF(OPFOKLEGHEN!$H$20="nee",IF(OPFOKLEGHEN!$J$18="ja",IF(OPFOKLEGHEN!$L$9="nee",N93-(K93-Q93)/I$4-(K93-S93))),N93-(K93-Q93)/I$4-(K93-S93))))))))</f>
        <v>#DIV/0!</v>
      </c>
      <c r="AE93" s="4"/>
      <c r="AF93" s="6"/>
      <c r="AG93" s="6"/>
      <c r="AH93" s="4"/>
      <c r="AI93" s="6"/>
      <c r="AJ93" s="6"/>
      <c r="AK93" s="4"/>
      <c r="AL93" s="6"/>
      <c r="AM93" s="1">
        <v>12</v>
      </c>
      <c r="AN93" s="1">
        <v>78</v>
      </c>
      <c r="AO93" s="5">
        <f t="shared" ref="AO93:AO98" si="66">AO92+11.4</f>
        <v>901.4</v>
      </c>
      <c r="AP93" s="5">
        <f t="shared" ref="AP93:AP98" si="67">AP92+10.7</f>
        <v>815.7</v>
      </c>
      <c r="AQ93" s="5">
        <f t="shared" si="62"/>
        <v>858.55</v>
      </c>
      <c r="AR93" s="100"/>
    </row>
    <row r="94" spans="1:44" ht="13" x14ac:dyDescent="0.3">
      <c r="A94" s="1">
        <v>12</v>
      </c>
      <c r="B94" s="1">
        <v>79</v>
      </c>
      <c r="C94" s="4">
        <f t="shared" ref="C94:C134" si="68">0.000000000384*AQ94^3-0.000000342064*AQ94^2+0.001060852819*AQ94+0.088327034395</f>
        <v>1.0046909588249839</v>
      </c>
      <c r="D94" s="7">
        <f t="shared" si="48"/>
        <v>0</v>
      </c>
      <c r="E94" s="7">
        <f>IF(I$3=0,0,IF(OPFOKLEGHEN!$H$13="parallel geschakeld met warmtewisselaar",0,MIN(I$3,C94)))</f>
        <v>0</v>
      </c>
      <c r="F94" s="7">
        <f>IF(I$3=0,0,IF(OPFOKLEGHEN!$H$13="serie geschakeld met warmtewisselaar",0,IF(C94&lt;$I$3,C94-D94,MIN($I$3,C94-D94))))</f>
        <v>0</v>
      </c>
      <c r="G94" s="137">
        <f>IF(C94&lt;$I$7,MAX(0,C94-D94-E94-F94,IF(OPFOKLEGHEN!$H$15="warmtewisselaar",IF(OPFOKLEGHEN!$H$13="serie geschakeld met warmtewisselaar",MIN(I$7,MAX(0,C94-D94-F94)),MIN(I$7,MAX(0,C94-D94-E94-F94))))),IF(OPFOKLEGHEN!$H$13="parallel geschakeld met warmtewisselaar",MIN(I$7,C94-D94-E94-F94,MIN(I$7,C94-E94-F94)),MIN(I$7,MAX(0,C94-D94-F94))))</f>
        <v>0</v>
      </c>
      <c r="H94" s="7">
        <f>IF(OPFOKLEGHEN!$H$13="parallel geschakeld met warmtewisselaar",IF(OPFOKLEGHEN!$L$9="nee",IF(OPFOKLEGHEN!$J$18="ja",C94-F94-G94,C94-D94-F94-G94),IF(OPFOKLEGHEN!$L$9="ja",IF(OPFOKLEGHEN!$J$18="ja",C94-G94,IF(OPFOKLEGHEN!$J$18="nee",C94-D94-G94)))),IF(OPFOKLEGHEN!$H$13="serie geschakeld met warmtewisselaar",IF(OPFOKLEGHEN!$J$18="ja",C94-G94,C94-D94-F94-G94),C94-D94-F94-G94))</f>
        <v>1.0046909588249839</v>
      </c>
      <c r="I94" s="98">
        <f t="shared" si="49"/>
        <v>1.0046909588249839</v>
      </c>
      <c r="J94" s="99">
        <v>0.89078149007886331</v>
      </c>
      <c r="K94" s="6">
        <f t="shared" si="59"/>
        <v>7.8398505580889193</v>
      </c>
      <c r="L94" s="130">
        <f>SUM(K$16:K94)/$K$137</f>
        <v>0.23916662158380123</v>
      </c>
      <c r="M94" s="6">
        <f t="shared" si="60"/>
        <v>7.0701848640299603E-2</v>
      </c>
      <c r="N94" s="6">
        <f t="shared" si="53"/>
        <v>7.8398505580889193</v>
      </c>
      <c r="O94" s="6">
        <f>IF(E94&lt;I$3,P94*(1-I$6*D94/C94),IF(OPFOKLEGHEN!$H$11="droogtunnel (platen) 55%",P94*(1-$I$6)+(C94-D94)/C94*(K94-P94*(1-I$6)),P94*(1-$I$6)+(C94-D94)/C94*(K94-P94*(1-I$6))))</f>
        <v>7.8398505580889193</v>
      </c>
      <c r="P94" s="129">
        <f t="shared" si="54"/>
        <v>7.8398505580889193</v>
      </c>
      <c r="Q94" s="134">
        <f t="shared" si="55"/>
        <v>7.8398505580889193</v>
      </c>
      <c r="R94" s="134">
        <f t="shared" si="61"/>
        <v>7.8398505580889193</v>
      </c>
      <c r="S94" s="199">
        <f>IF(G94&lt;0.1,K94,IF(C94=F94,S94/(1-I$4),IF(I$3=0,K94-(G94/C94)*K94*S$13,IF(OPFOKLEGHEN!$H$13="Parallel geschakeld met warmtewisselaar",K94-(K94-(K94-Q94)/I$4)*(G94/(C94-F94))*S$13,IF(OPFOKLEGHEN!$H$20="ja",K94-(K94-(K94-P94)/I$4)*(G94/(C94-MIN(D94,I$5)))*S$13,K94-(K94-(K94-P94)/I$4)*(G94/(C94-MIN(D94,I$5)))*S$13)))))</f>
        <v>7.8398505580889193</v>
      </c>
      <c r="T94" s="17">
        <f t="shared" si="63"/>
        <v>7.8398505580889193</v>
      </c>
      <c r="U94" s="6">
        <f t="shared" si="50"/>
        <v>0</v>
      </c>
      <c r="V94" s="129">
        <f>IF(OPFOKLEGHEN!$J$18="nee",H94/C94*K94,IF(OPFOKLEGHEN!$H$20="ja",O94-(K94-Q94)-(K94-S94),Q94-(K94-O94)-(K94-S94)))</f>
        <v>7.8398505580889193</v>
      </c>
      <c r="W94" s="162">
        <f>IF(H94=0,0,IF(OPFOKLEGHEN!$H$11="geen droogtunnel",IF(OPFOKLEGHEN!$H$15="geen warmtewisselaar",Q94-(K94-R94)))+IF(OPFOKLEGHEN!$H$12&gt;0,IF(OPFOKLEGHEN!$H$13="serie geschakeld met warmtewisselaar",(O94*80%-(K94-S94)),(Q94-(K94-S94)-(K94-T94))),(N94-(K94-S94))))</f>
        <v>15.679701116177839</v>
      </c>
      <c r="X94" s="162">
        <f>IF(H94=0,0,IF(OPFOKLEGHEN!$H$11="geen droogtunnel",IF(OPFOKLEGHEN!$H$15="geen warmtewisselaar",Q94-(K94-R94)))+IF(OPFOKLEGHEN!$H$12&gt;0,IF(OPFOKLEGHEN!$H$13="serie geschakeld met warmtewisselaar",3*(O94*80%-(K94-S94)),(Q94-(K94-S94)-(K94-N94))),(N94-(K94-S94))))</f>
        <v>15.679701116177839</v>
      </c>
      <c r="Y94" s="162">
        <f>IF(H94=0,0,IF(OPFOKLEGHEN!$H$11="geen droogtunnel",IF(OPFOKLEGHEN!$H$15="geen warmtewisselaar",Q94-(K94-R94)))+IF(OPFOKLEGHEN!$H$12&gt;0,IF(OPFOKLEGHEN!$H$13="serie geschakeld met warmtewisselaar",(O94-(K94-S94)),IF(OPFOKLEGHEN!$H$13="parallel geschakeld met warmtewisselaar",IF(OPFOKLEGHEN!$L$9="ja",IF(OPFOKLEGHEN!$J$18="nee",(N94-(K94-Q94)-(K94-S94)),(Q94-(K94-N94/80%)))))),(O94-(K94-S94))))</f>
        <v>15.679701116177839</v>
      </c>
      <c r="Z94" s="130">
        <f t="shared" si="56"/>
        <v>1</v>
      </c>
      <c r="AA94" s="130"/>
      <c r="AB94" s="130"/>
      <c r="AC94" s="167">
        <f>IF(H94=0,0,IF(OPFOKLEGHEN!$H$11="geen droogtunnel",IF(OPFOKLEGHEN!$H$15="geen warmtewisselaar",(P94-(K94-R94)/R$13),K94-(K94-O94)/I$6-(K94-R94)/95%)+IF(OPFOKLEGHEN!$J$18="ja",(K94-O94)*(1-I$6)),IF(OPFOKLEGHEN!$H$12&gt;=0,IF(OPFOKLEGHEN!$L$9="ja",IF(OPFOKLEGHEN!$J$18="ja",IF(OPFOKLEGHEN!$H$20="ja",O94-(K94-S94),IF(OPFOKLEGHEN!$H$20="nee",(O94-(K94-S94)),(O94-(K94-S94)))),IF(OPFOKLEGHEN!$J$18="nee",IF(OPFOKLEGHEN!$H$20="nee",O94*80%-(K94-S94),0+O94-(K94-S94)))),IF(OPFOKLEGHEN!$L$9="nee",IF(OPFOKLEGHEN!$J$18="nee",IF(OPFOKLEGHEN!$H$20="nee",(O94*80%-(K94-S94)),O94*93%-(K94-S94)),IF(OPFOKLEGHEN!$H$20="nee",IF(OPFOKLEGHEN!$J$18="ja",IF(OPFOKLEGHEN!$L$9="nee",O94-(K94-S94))),O94-(K94-S94))))))))</f>
        <v>7.8398505580889193</v>
      </c>
      <c r="AD94" s="167" t="e">
        <f>IF(H94=0,0,IF(OPFOKLEGHEN!$H$11="geen droogtunnel",IF(OPFOKLEGHEN!$H$15="geen warmtewisselaar",(Q94-(K94-R94)/S$13),N94-(K94-R94)),IF(OPFOKLEGHEN!$H$12&gt;=0,IF(OPFOKLEGHEN!$L$9="ja",IF(OPFOKLEGHEN!$J$18="ja",IF(OPFOKLEGHEN!$H$20="ja",Q94-(K94-N94)-(K94-S94),IF(OPFOKLEGHEN!$H$20="nee",(Q94-(K94-N94)-(K94-S94)),(O94-(K94-S94)))),IF(OPFOKLEGHEN!$J$18="nee",IF(OPFOKLEGHEN!$H$20="nee",1*Q94*$N$135-(K94-N94)-(K94-S94),(Q94-(K94-N94)-(K94-S94))*N$135))),IF(OPFOKLEGHEN!$L$9="nee",IF(OPFOKLEGHEN!$J$18="nee",IF(OPFOKLEGHEN!$H$20="nee",(N94*95%-(K94-Q94)/I$4-(K94-S94)),N94-(K94-Q94)/I$4-(K94-S94)),IF(OPFOKLEGHEN!$H$20="nee",IF(OPFOKLEGHEN!$J$18="ja",IF(OPFOKLEGHEN!$L$9="nee",N94-(K94-Q94)/I$4-(K94-S94))),N94-(K94-Q94)/I$4-(K94-S94))))))))</f>
        <v>#DIV/0!</v>
      </c>
      <c r="AE94" s="4"/>
      <c r="AF94" s="6"/>
      <c r="AG94" s="6"/>
      <c r="AH94" s="4"/>
      <c r="AI94" s="6"/>
      <c r="AJ94" s="6"/>
      <c r="AK94" s="4"/>
      <c r="AL94" s="6"/>
      <c r="AM94" s="1">
        <v>12</v>
      </c>
      <c r="AN94" s="1">
        <v>79</v>
      </c>
      <c r="AO94" s="5">
        <f t="shared" si="66"/>
        <v>912.8</v>
      </c>
      <c r="AP94" s="5">
        <f t="shared" si="67"/>
        <v>826.40000000000009</v>
      </c>
      <c r="AQ94" s="5">
        <f t="shared" si="62"/>
        <v>869.6</v>
      </c>
      <c r="AR94" s="100"/>
    </row>
    <row r="95" spans="1:44" ht="13" x14ac:dyDescent="0.3">
      <c r="A95" s="1">
        <v>12</v>
      </c>
      <c r="B95" s="1">
        <v>80</v>
      </c>
      <c r="C95" s="4">
        <f t="shared" si="68"/>
        <v>1.0195467892483661</v>
      </c>
      <c r="D95" s="7">
        <f t="shared" si="48"/>
        <v>0</v>
      </c>
      <c r="E95" s="7">
        <f>IF(I$3=0,0,IF(OPFOKLEGHEN!$H$13="parallel geschakeld met warmtewisselaar",0,MIN(I$3,C95)))</f>
        <v>0</v>
      </c>
      <c r="F95" s="7">
        <f>IF(I$3=0,0,IF(OPFOKLEGHEN!$H$13="serie geschakeld met warmtewisselaar",0,IF(C95&lt;$I$3,C95-D95,MIN($I$3,C95-D95))))</f>
        <v>0</v>
      </c>
      <c r="G95" s="137">
        <f>IF(C95&lt;$I$7,MAX(0,C95-D95-E95-F95,IF(OPFOKLEGHEN!$H$15="warmtewisselaar",IF(OPFOKLEGHEN!$H$13="serie geschakeld met warmtewisselaar",MIN(I$7,MAX(0,C95-D95-F95)),MIN(I$7,MAX(0,C95-D95-E95-F95))))),IF(OPFOKLEGHEN!$H$13="parallel geschakeld met warmtewisselaar",MIN(I$7,C95-D95-E95-F95,MIN(I$7,C95-E95-F95)),MIN(I$7,MAX(0,C95-D95-F95))))</f>
        <v>0</v>
      </c>
      <c r="H95" s="7">
        <f>IF(OPFOKLEGHEN!$H$13="parallel geschakeld met warmtewisselaar",IF(OPFOKLEGHEN!$L$9="nee",IF(OPFOKLEGHEN!$J$18="ja",C95-F95-G95,C95-D95-F95-G95),IF(OPFOKLEGHEN!$L$9="ja",IF(OPFOKLEGHEN!$J$18="ja",C95-G95,IF(OPFOKLEGHEN!$J$18="nee",C95-D95-G95)))),IF(OPFOKLEGHEN!$H$13="serie geschakeld met warmtewisselaar",IF(OPFOKLEGHEN!$J$18="ja",C95-G95,C95-D95-F95-G95),C95-D95-F95-G95))</f>
        <v>1.0195467892483661</v>
      </c>
      <c r="I95" s="98">
        <f t="shared" si="49"/>
        <v>1.0195467892483661</v>
      </c>
      <c r="J95" s="99">
        <v>0.90732359011146546</v>
      </c>
      <c r="K95" s="6">
        <f t="shared" si="59"/>
        <v>8.1035155532212197</v>
      </c>
      <c r="L95" s="130">
        <f>SUM(K$16:K95)/$K$137</f>
        <v>0.24865616339683272</v>
      </c>
      <c r="M95" s="6">
        <f t="shared" si="60"/>
        <v>7.4004708248595605E-2</v>
      </c>
      <c r="N95" s="6">
        <f t="shared" si="53"/>
        <v>8.1035155532212197</v>
      </c>
      <c r="O95" s="6">
        <f>IF(E95&lt;I$3,P95*(1-I$6*D95/C95),IF(OPFOKLEGHEN!$H$11="droogtunnel (platen) 55%",P95*(1-$I$6)+(C95-D95)/C95*(K95-P95*(1-I$6)),P95*(1-$I$6)+(C95-D95)/C95*(K95-P95*(1-I$6))))</f>
        <v>8.1035155532212197</v>
      </c>
      <c r="P95" s="129">
        <f t="shared" si="54"/>
        <v>8.1035155532212197</v>
      </c>
      <c r="Q95" s="134">
        <f t="shared" si="55"/>
        <v>8.1035155532212197</v>
      </c>
      <c r="R95" s="134">
        <f t="shared" si="61"/>
        <v>8.1035155532212197</v>
      </c>
      <c r="S95" s="199">
        <f>IF(G95&lt;0.1,K95,IF(C95=F95,S95/(1-I$4),IF(I$3=0,K95-(G95/C95)*K95*S$13,IF(OPFOKLEGHEN!$H$13="Parallel geschakeld met warmtewisselaar",K95-(K95-(K95-Q95)/I$4)*(G95/(C95-F95))*S$13,IF(OPFOKLEGHEN!$H$20="ja",K95-(K95-(K95-P95)/I$4)*(G95/(C95-MIN(D95,I$5)))*S$13,K95-(K95-(K95-P95)/I$4)*(G95/(C95-MIN(D95,I$5)))*S$13)))))</f>
        <v>8.1035155532212197</v>
      </c>
      <c r="T95" s="17">
        <f t="shared" si="63"/>
        <v>8.1035155532212197</v>
      </c>
      <c r="U95" s="6">
        <f t="shared" si="50"/>
        <v>0</v>
      </c>
      <c r="V95" s="129">
        <f>IF(OPFOKLEGHEN!$J$18="nee",H95/C95*K95,IF(OPFOKLEGHEN!$H$20="ja",O95-(K95-Q95)-(K95-S95),Q95-(K95-O95)-(K95-S95)))</f>
        <v>8.1035155532212197</v>
      </c>
      <c r="W95" s="162">
        <f>IF(H95=0,0,IF(OPFOKLEGHEN!$H$11="geen droogtunnel",IF(OPFOKLEGHEN!$H$15="geen warmtewisselaar",Q95-(K95-R95)))+IF(OPFOKLEGHEN!$H$12&gt;0,IF(OPFOKLEGHEN!$H$13="serie geschakeld met warmtewisselaar",(O95*80%-(K95-S95)),(Q95-(K95-S95)-(K95-T95))),(N95-(K95-S95))))</f>
        <v>16.207031106442439</v>
      </c>
      <c r="X95" s="162">
        <f>IF(H95=0,0,IF(OPFOKLEGHEN!$H$11="geen droogtunnel",IF(OPFOKLEGHEN!$H$15="geen warmtewisselaar",Q95-(K95-R95)))+IF(OPFOKLEGHEN!$H$12&gt;0,IF(OPFOKLEGHEN!$H$13="serie geschakeld met warmtewisselaar",3*(O95*80%-(K95-S95)),(Q95-(K95-S95)-(K95-N95))),(N95-(K95-S95))))</f>
        <v>16.207031106442439</v>
      </c>
      <c r="Y95" s="162">
        <f>IF(H95=0,0,IF(OPFOKLEGHEN!$H$11="geen droogtunnel",IF(OPFOKLEGHEN!$H$15="geen warmtewisselaar",Q95-(K95-R95)))+IF(OPFOKLEGHEN!$H$12&gt;0,IF(OPFOKLEGHEN!$H$13="serie geschakeld met warmtewisselaar",(O95-(K95-S95)),IF(OPFOKLEGHEN!$H$13="parallel geschakeld met warmtewisselaar",IF(OPFOKLEGHEN!$L$9="ja",IF(OPFOKLEGHEN!$J$18="nee",(N95-(K95-Q95)-(K95-S95)),(Q95-(K95-N95/80%)))))),(O95-(K95-S95))))</f>
        <v>16.207031106442439</v>
      </c>
      <c r="Z95" s="130">
        <f t="shared" si="56"/>
        <v>1</v>
      </c>
      <c r="AA95" s="130"/>
      <c r="AB95" s="130"/>
      <c r="AC95" s="167">
        <f>IF(H95=0,0,IF(OPFOKLEGHEN!$H$11="geen droogtunnel",IF(OPFOKLEGHEN!$H$15="geen warmtewisselaar",(P95-(K95-R95)/R$13),K95-(K95-O95)/I$6-(K95-R95)/95%)+IF(OPFOKLEGHEN!$J$18="ja",(K95-O95)*(1-I$6)),IF(OPFOKLEGHEN!$H$12&gt;=0,IF(OPFOKLEGHEN!$L$9="ja",IF(OPFOKLEGHEN!$J$18="ja",IF(OPFOKLEGHEN!$H$20="ja",O95-(K95-S95),IF(OPFOKLEGHEN!$H$20="nee",(O95-(K95-S95)),(O95-(K95-S95)))),IF(OPFOKLEGHEN!$J$18="nee",IF(OPFOKLEGHEN!$H$20="nee",O95*80%-(K95-S95),0+O95-(K95-S95)))),IF(OPFOKLEGHEN!$L$9="nee",IF(OPFOKLEGHEN!$J$18="nee",IF(OPFOKLEGHEN!$H$20="nee",(O95*80%-(K95-S95)),O95*93%-(K95-S95)),IF(OPFOKLEGHEN!$H$20="nee",IF(OPFOKLEGHEN!$J$18="ja",IF(OPFOKLEGHEN!$L$9="nee",O95-(K95-S95))),O95-(K95-S95))))))))</f>
        <v>8.1035155532212197</v>
      </c>
      <c r="AD95" s="167" t="e">
        <f>IF(H95=0,0,IF(OPFOKLEGHEN!$H$11="geen droogtunnel",IF(OPFOKLEGHEN!$H$15="geen warmtewisselaar",(Q95-(K95-R95)/S$13),N95-(K95-R95)),IF(OPFOKLEGHEN!$H$12&gt;=0,IF(OPFOKLEGHEN!$L$9="ja",IF(OPFOKLEGHEN!$J$18="ja",IF(OPFOKLEGHEN!$H$20="ja",Q95-(K95-N95)-(K95-S95),IF(OPFOKLEGHEN!$H$20="nee",(Q95-(K95-N95)-(K95-S95)),(O95-(K95-S95)))),IF(OPFOKLEGHEN!$J$18="nee",IF(OPFOKLEGHEN!$H$20="nee",1*Q95*$N$135-(K95-N95)-(K95-S95),(Q95-(K95-N95)-(K95-S95))*N$135))),IF(OPFOKLEGHEN!$L$9="nee",IF(OPFOKLEGHEN!$J$18="nee",IF(OPFOKLEGHEN!$H$20="nee",(N95*95%-(K95-Q95)/I$4-(K95-S95)),N95-(K95-Q95)/I$4-(K95-S95)),IF(OPFOKLEGHEN!$H$20="nee",IF(OPFOKLEGHEN!$J$18="ja",IF(OPFOKLEGHEN!$L$9="nee",N95-(K95-Q95)/I$4-(K95-S95))),N95-(K95-Q95)/I$4-(K95-S95))))))))</f>
        <v>#DIV/0!</v>
      </c>
      <c r="AE95" s="4"/>
      <c r="AF95" s="6"/>
      <c r="AG95" s="6"/>
      <c r="AH95" s="4"/>
      <c r="AI95" s="6"/>
      <c r="AJ95" s="6"/>
      <c r="AK95" s="4"/>
      <c r="AL95" s="6"/>
      <c r="AM95" s="1">
        <v>12</v>
      </c>
      <c r="AN95" s="1">
        <v>80</v>
      </c>
      <c r="AO95" s="5">
        <f t="shared" si="66"/>
        <v>924.19999999999993</v>
      </c>
      <c r="AP95" s="5">
        <f t="shared" si="67"/>
        <v>837.10000000000014</v>
      </c>
      <c r="AQ95" s="5">
        <f t="shared" si="62"/>
        <v>880.65000000000009</v>
      </c>
      <c r="AR95" s="100"/>
    </row>
    <row r="96" spans="1:44" ht="13" x14ac:dyDescent="0.3">
      <c r="A96" s="1">
        <v>12</v>
      </c>
      <c r="B96" s="1">
        <v>81</v>
      </c>
      <c r="C96" s="4">
        <f t="shared" si="68"/>
        <v>1.0345668340541321</v>
      </c>
      <c r="D96" s="7">
        <f t="shared" si="48"/>
        <v>0</v>
      </c>
      <c r="E96" s="7">
        <f>IF(I$3=0,0,IF(OPFOKLEGHEN!$H$13="parallel geschakeld met warmtewisselaar",0,MIN(I$3,C96)))</f>
        <v>0</v>
      </c>
      <c r="F96" s="7">
        <f>IF(I$3=0,0,IF(OPFOKLEGHEN!$H$13="serie geschakeld met warmtewisselaar",0,IF(C96&lt;$I$3,C96-D96,MIN($I$3,C96-D96))))</f>
        <v>0</v>
      </c>
      <c r="G96" s="137">
        <f>IF(C96&lt;$I$7,MAX(0,C96-D96-E96-F96,IF(OPFOKLEGHEN!$H$15="warmtewisselaar",IF(OPFOKLEGHEN!$H$13="serie geschakeld met warmtewisselaar",MIN(I$7,MAX(0,C96-D96-F96)),MIN(I$7,MAX(0,C96-D96-E96-F96))))),IF(OPFOKLEGHEN!$H$13="parallel geschakeld met warmtewisselaar",MIN(I$7,C96-D96-E96-F96,MIN(I$7,C96-E96-F96)),MIN(I$7,MAX(0,C96-D96-F96))))</f>
        <v>0</v>
      </c>
      <c r="H96" s="7">
        <f>IF(OPFOKLEGHEN!$H$13="parallel geschakeld met warmtewisselaar",IF(OPFOKLEGHEN!$L$9="nee",IF(OPFOKLEGHEN!$J$18="ja",C96-F96-G96,C96-D96-F96-G96),IF(OPFOKLEGHEN!$L$9="ja",IF(OPFOKLEGHEN!$J$18="ja",C96-G96,IF(OPFOKLEGHEN!$J$18="nee",C96-D96-G96)))),IF(OPFOKLEGHEN!$H$13="serie geschakeld met warmtewisselaar",IF(OPFOKLEGHEN!$J$18="ja",C96-G96,C96-D96-F96-G96),C96-D96-F96-G96))</f>
        <v>1.0345668340541321</v>
      </c>
      <c r="I96" s="98">
        <f t="shared" si="49"/>
        <v>1.0345668340541321</v>
      </c>
      <c r="J96" s="99">
        <v>0.92417288228550343</v>
      </c>
      <c r="K96" s="6">
        <f t="shared" si="59"/>
        <v>8.3755990493964081</v>
      </c>
      <c r="L96" s="130">
        <f>SUM(K$16:K96)/$K$137</f>
        <v>0.25846432589944429</v>
      </c>
      <c r="M96" s="6">
        <f t="shared" si="60"/>
        <v>7.7445607648528425E-2</v>
      </c>
      <c r="N96" s="6">
        <f t="shared" si="53"/>
        <v>8.3755990493964081</v>
      </c>
      <c r="O96" s="6">
        <f>IF(E96&lt;I$3,P96*(1-I$6*D96/C96),IF(OPFOKLEGHEN!$H$11="droogtunnel (platen) 55%",P96*(1-$I$6)+(C96-D96)/C96*(K96-P96*(1-I$6)),P96*(1-$I$6)+(C96-D96)/C96*(K96-P96*(1-I$6))))</f>
        <v>8.3755990493964081</v>
      </c>
      <c r="P96" s="129">
        <f t="shared" si="54"/>
        <v>8.3755990493964081</v>
      </c>
      <c r="Q96" s="134">
        <f t="shared" si="55"/>
        <v>8.3755990493964081</v>
      </c>
      <c r="R96" s="134">
        <f t="shared" si="61"/>
        <v>8.3755990493964081</v>
      </c>
      <c r="S96" s="199">
        <f>IF(G96&lt;0.1,K96,IF(C96=F96,S96/(1-I$4),IF(I$3=0,K96-(G96/C96)*K96*S$13,IF(OPFOKLEGHEN!$H$13="Parallel geschakeld met warmtewisselaar",K96-(K96-(K96-Q96)/I$4)*(G96/(C96-F96))*S$13,IF(OPFOKLEGHEN!$H$20="ja",K96-(K96-(K96-P96)/I$4)*(G96/(C96-MIN(D96,I$5)))*S$13,K96-(K96-(K96-P96)/I$4)*(G96/(C96-MIN(D96,I$5)))*S$13)))))</f>
        <v>8.3755990493964081</v>
      </c>
      <c r="T96" s="17">
        <f t="shared" si="63"/>
        <v>8.3755990493964081</v>
      </c>
      <c r="U96" s="6">
        <f t="shared" si="50"/>
        <v>0</v>
      </c>
      <c r="V96" s="129">
        <f>IF(OPFOKLEGHEN!$J$18="nee",H96/C96*K96,IF(OPFOKLEGHEN!$H$20="ja",O96-(K96-Q96)-(K96-S96),Q96-(K96-O96)-(K96-S96)))</f>
        <v>8.3755990493964081</v>
      </c>
      <c r="W96" s="162">
        <f>IF(H96=0,0,IF(OPFOKLEGHEN!$H$11="geen droogtunnel",IF(OPFOKLEGHEN!$H$15="geen warmtewisselaar",Q96-(K96-R96)))+IF(OPFOKLEGHEN!$H$12&gt;0,IF(OPFOKLEGHEN!$H$13="serie geschakeld met warmtewisselaar",(O96*80%-(K96-S96)),(Q96-(K96-S96)-(K96-T96))),(N96-(K96-S96))))</f>
        <v>16.751198098792816</v>
      </c>
      <c r="X96" s="162">
        <f>IF(H96=0,0,IF(OPFOKLEGHEN!$H$11="geen droogtunnel",IF(OPFOKLEGHEN!$H$15="geen warmtewisselaar",Q96-(K96-R96)))+IF(OPFOKLEGHEN!$H$12&gt;0,IF(OPFOKLEGHEN!$H$13="serie geschakeld met warmtewisselaar",3*(O96*80%-(K96-S96)),(Q96-(K96-S96)-(K96-N96))),(N96-(K96-S96))))</f>
        <v>16.751198098792816</v>
      </c>
      <c r="Y96" s="162">
        <f>IF(H96=0,0,IF(OPFOKLEGHEN!$H$11="geen droogtunnel",IF(OPFOKLEGHEN!$H$15="geen warmtewisselaar",Q96-(K96-R96)))+IF(OPFOKLEGHEN!$H$12&gt;0,IF(OPFOKLEGHEN!$H$13="serie geschakeld met warmtewisselaar",(O96-(K96-S96)),IF(OPFOKLEGHEN!$H$13="parallel geschakeld met warmtewisselaar",IF(OPFOKLEGHEN!$L$9="ja",IF(OPFOKLEGHEN!$J$18="nee",(N96-(K96-Q96)-(K96-S96)),(Q96-(K96-N96/80%)))))),(O96-(K96-S96))))</f>
        <v>16.751198098792816</v>
      </c>
      <c r="Z96" s="130">
        <f t="shared" si="56"/>
        <v>1</v>
      </c>
      <c r="AA96" s="130"/>
      <c r="AB96" s="130"/>
      <c r="AC96" s="167">
        <f>IF(H96=0,0,IF(OPFOKLEGHEN!$H$11="geen droogtunnel",IF(OPFOKLEGHEN!$H$15="geen warmtewisselaar",(P96-(K96-R96)/R$13),K96-(K96-O96)/I$6-(K96-R96)/95%)+IF(OPFOKLEGHEN!$J$18="ja",(K96-O96)*(1-I$6)),IF(OPFOKLEGHEN!$H$12&gt;=0,IF(OPFOKLEGHEN!$L$9="ja",IF(OPFOKLEGHEN!$J$18="ja",IF(OPFOKLEGHEN!$H$20="ja",O96-(K96-S96),IF(OPFOKLEGHEN!$H$20="nee",(O96-(K96-S96)),(O96-(K96-S96)))),IF(OPFOKLEGHEN!$J$18="nee",IF(OPFOKLEGHEN!$H$20="nee",O96*80%-(K96-S96),0+O96-(K96-S96)))),IF(OPFOKLEGHEN!$L$9="nee",IF(OPFOKLEGHEN!$J$18="nee",IF(OPFOKLEGHEN!$H$20="nee",(O96*80%-(K96-S96)),O96*93%-(K96-S96)),IF(OPFOKLEGHEN!$H$20="nee",IF(OPFOKLEGHEN!$J$18="ja",IF(OPFOKLEGHEN!$L$9="nee",O96-(K96-S96))),O96-(K96-S96))))))))</f>
        <v>8.3755990493964081</v>
      </c>
      <c r="AD96" s="167" t="e">
        <f>IF(H96=0,0,IF(OPFOKLEGHEN!$H$11="geen droogtunnel",IF(OPFOKLEGHEN!$H$15="geen warmtewisselaar",(Q96-(K96-R96)/S$13),N96-(K96-R96)),IF(OPFOKLEGHEN!$H$12&gt;=0,IF(OPFOKLEGHEN!$L$9="ja",IF(OPFOKLEGHEN!$J$18="ja",IF(OPFOKLEGHEN!$H$20="ja",Q96-(K96-N96)-(K96-S96),IF(OPFOKLEGHEN!$H$20="nee",(Q96-(K96-N96)-(K96-S96)),(O96-(K96-S96)))),IF(OPFOKLEGHEN!$J$18="nee",IF(OPFOKLEGHEN!$H$20="nee",1*Q96*$N$135-(K96-N96)-(K96-S96),(Q96-(K96-N96)-(K96-S96))*N$135))),IF(OPFOKLEGHEN!$L$9="nee",IF(OPFOKLEGHEN!$J$18="nee",IF(OPFOKLEGHEN!$H$20="nee",(N96*95%-(K96-Q96)/I$4-(K96-S96)),N96-(K96-Q96)/I$4-(K96-S96)),IF(OPFOKLEGHEN!$H$20="nee",IF(OPFOKLEGHEN!$J$18="ja",IF(OPFOKLEGHEN!$L$9="nee",N96-(K96-Q96)/I$4-(K96-S96))),N96-(K96-Q96)/I$4-(K96-S96))))))))</f>
        <v>#DIV/0!</v>
      </c>
      <c r="AE96" s="4"/>
      <c r="AF96" s="6"/>
      <c r="AG96" s="6"/>
      <c r="AH96" s="4"/>
      <c r="AI96" s="6"/>
      <c r="AJ96" s="6"/>
      <c r="AK96" s="4"/>
      <c r="AL96" s="6"/>
      <c r="AM96" s="1">
        <v>12</v>
      </c>
      <c r="AN96" s="1">
        <v>81</v>
      </c>
      <c r="AO96" s="5">
        <f t="shared" si="66"/>
        <v>935.59999999999991</v>
      </c>
      <c r="AP96" s="5">
        <f t="shared" si="67"/>
        <v>847.80000000000018</v>
      </c>
      <c r="AQ96" s="5">
        <f t="shared" si="62"/>
        <v>891.7</v>
      </c>
      <c r="AR96" s="100"/>
    </row>
    <row r="97" spans="1:44" ht="13" x14ac:dyDescent="0.3">
      <c r="A97" s="1">
        <v>12</v>
      </c>
      <c r="B97" s="1">
        <v>82</v>
      </c>
      <c r="C97" s="4">
        <f t="shared" si="68"/>
        <v>1.0497542018742498</v>
      </c>
      <c r="D97" s="7">
        <f t="shared" si="48"/>
        <v>0</v>
      </c>
      <c r="E97" s="7">
        <f>IF(I$3=0,0,IF(OPFOKLEGHEN!$H$13="parallel geschakeld met warmtewisselaar",0,MIN(I$3,C97)))</f>
        <v>0</v>
      </c>
      <c r="F97" s="7">
        <f>IF(I$3=0,0,IF(OPFOKLEGHEN!$H$13="serie geschakeld met warmtewisselaar",0,IF(C97&lt;$I$3,C97-D97,MIN($I$3,C97-D97))))</f>
        <v>0</v>
      </c>
      <c r="G97" s="137">
        <f>IF(C97&lt;$I$7,MAX(0,C97-D97-E97-F97,IF(OPFOKLEGHEN!$H$15="warmtewisselaar",IF(OPFOKLEGHEN!$H$13="serie geschakeld met warmtewisselaar",MIN(I$7,MAX(0,C97-D97-F97)),MIN(I$7,MAX(0,C97-D97-E97-F97))))),IF(OPFOKLEGHEN!$H$13="parallel geschakeld met warmtewisselaar",MIN(I$7,C97-D97-E97-F97,MIN(I$7,C97-E97-F97)),MIN(I$7,MAX(0,C97-D97-F97))))</f>
        <v>0</v>
      </c>
      <c r="H97" s="7">
        <f>IF(OPFOKLEGHEN!$H$13="parallel geschakeld met warmtewisselaar",IF(OPFOKLEGHEN!$L$9="nee",IF(OPFOKLEGHEN!$J$18="ja",C97-F97-G97,C97-D97-F97-G97),IF(OPFOKLEGHEN!$L$9="ja",IF(OPFOKLEGHEN!$J$18="ja",C97-G97,IF(OPFOKLEGHEN!$J$18="nee",C97-D97-G97)))),IF(OPFOKLEGHEN!$H$13="serie geschakeld met warmtewisselaar",IF(OPFOKLEGHEN!$J$18="ja",C97-G97,C97-D97-F97-G97),C97-D97-F97-G97))</f>
        <v>1.0497542018742498</v>
      </c>
      <c r="I97" s="98">
        <f t="shared" si="49"/>
        <v>1.0497542018742498</v>
      </c>
      <c r="J97" s="99">
        <v>0.94133507125828009</v>
      </c>
      <c r="K97" s="6">
        <f t="shared" si="59"/>
        <v>8.6563731106827877</v>
      </c>
      <c r="L97" s="130">
        <f>SUM(K$16:K97)/$K$137</f>
        <v>0.26860128609203282</v>
      </c>
      <c r="M97" s="6">
        <f t="shared" si="60"/>
        <v>8.102997660684802E-2</v>
      </c>
      <c r="N97" s="6">
        <f t="shared" si="53"/>
        <v>8.6563731106827877</v>
      </c>
      <c r="O97" s="6">
        <f>IF(E97&lt;I$3,P97*(1-I$6*D97/C97),IF(OPFOKLEGHEN!$H$11="droogtunnel (platen) 55%",P97*(1-$I$6)+(C97-D97)/C97*(K97-P97*(1-I$6)),P97*(1-$I$6)+(C97-D97)/C97*(K97-P97*(1-I$6))))</f>
        <v>8.6563731106827877</v>
      </c>
      <c r="P97" s="129">
        <f t="shared" si="54"/>
        <v>8.6563731106827877</v>
      </c>
      <c r="Q97" s="134">
        <f t="shared" si="55"/>
        <v>8.6563731106827877</v>
      </c>
      <c r="R97" s="134">
        <f t="shared" si="61"/>
        <v>8.6563731106827877</v>
      </c>
      <c r="S97" s="199">
        <f>IF(G97&lt;0.1,K97,IF(C97=F97,S97/(1-I$4),IF(I$3=0,K97-(G97/C97)*K97*S$13,IF(OPFOKLEGHEN!$H$13="Parallel geschakeld met warmtewisselaar",K97-(K97-(K97-Q97)/I$4)*(G97/(C97-F97))*S$13,IF(OPFOKLEGHEN!$H$20="ja",K97-(K97-(K97-P97)/I$4)*(G97/(C97-MIN(D97,I$5)))*S$13,K97-(K97-(K97-P97)/I$4)*(G97/(C97-MIN(D97,I$5)))*S$13)))))</f>
        <v>8.6563731106827877</v>
      </c>
      <c r="T97" s="17">
        <f t="shared" si="63"/>
        <v>8.6563731106827877</v>
      </c>
      <c r="U97" s="6">
        <f t="shared" si="50"/>
        <v>0</v>
      </c>
      <c r="V97" s="129">
        <f>IF(OPFOKLEGHEN!$J$18="nee",H97/C97*K97,IF(OPFOKLEGHEN!$H$20="ja",O97-(K97-Q97)-(K97-S97),Q97-(K97-O97)-(K97-S97)))</f>
        <v>8.6563731106827877</v>
      </c>
      <c r="W97" s="162">
        <f>IF(H97=0,0,IF(OPFOKLEGHEN!$H$11="geen droogtunnel",IF(OPFOKLEGHEN!$H$15="geen warmtewisselaar",Q97-(K97-R97)))+IF(OPFOKLEGHEN!$H$12&gt;0,IF(OPFOKLEGHEN!$H$13="serie geschakeld met warmtewisselaar",(O97*80%-(K97-S97)),(Q97-(K97-S97)-(K97-T97))),(N97-(K97-S97))))</f>
        <v>17.312746221365575</v>
      </c>
      <c r="X97" s="162">
        <f>IF(H97=0,0,IF(OPFOKLEGHEN!$H$11="geen droogtunnel",IF(OPFOKLEGHEN!$H$15="geen warmtewisselaar",Q97-(K97-R97)))+IF(OPFOKLEGHEN!$H$12&gt;0,IF(OPFOKLEGHEN!$H$13="serie geschakeld met warmtewisselaar",3*(O97*80%-(K97-S97)),(Q97-(K97-S97)-(K97-N97))),(N97-(K97-S97))))</f>
        <v>17.312746221365575</v>
      </c>
      <c r="Y97" s="162">
        <f>IF(H97=0,0,IF(OPFOKLEGHEN!$H$11="geen droogtunnel",IF(OPFOKLEGHEN!$H$15="geen warmtewisselaar",Q97-(K97-R97)))+IF(OPFOKLEGHEN!$H$12&gt;0,IF(OPFOKLEGHEN!$H$13="serie geschakeld met warmtewisselaar",(O97-(K97-S97)),IF(OPFOKLEGHEN!$H$13="parallel geschakeld met warmtewisselaar",IF(OPFOKLEGHEN!$L$9="ja",IF(OPFOKLEGHEN!$J$18="nee",(N97-(K97-Q97)-(K97-S97)),(Q97-(K97-N97/80%)))))),(O97-(K97-S97))))</f>
        <v>17.312746221365575</v>
      </c>
      <c r="Z97" s="130">
        <f t="shared" si="56"/>
        <v>1</v>
      </c>
      <c r="AA97" s="130"/>
      <c r="AB97" s="130"/>
      <c r="AC97" s="167">
        <f>IF(H97=0,0,IF(OPFOKLEGHEN!$H$11="geen droogtunnel",IF(OPFOKLEGHEN!$H$15="geen warmtewisselaar",(P97-(K97-R97)/R$13),K97-(K97-O97)/I$6-(K97-R97)/95%)+IF(OPFOKLEGHEN!$J$18="ja",(K97-O97)*(1-I$6)),IF(OPFOKLEGHEN!$H$12&gt;=0,IF(OPFOKLEGHEN!$L$9="ja",IF(OPFOKLEGHEN!$J$18="ja",IF(OPFOKLEGHEN!$H$20="ja",O97-(K97-S97),IF(OPFOKLEGHEN!$H$20="nee",(O97-(K97-S97)),(O97-(K97-S97)))),IF(OPFOKLEGHEN!$J$18="nee",IF(OPFOKLEGHEN!$H$20="nee",O97*80%-(K97-S97),0+O97-(K97-S97)))),IF(OPFOKLEGHEN!$L$9="nee",IF(OPFOKLEGHEN!$J$18="nee",IF(OPFOKLEGHEN!$H$20="nee",(O97*80%-(K97-S97)),O97*93%-(K97-S97)),IF(OPFOKLEGHEN!$H$20="nee",IF(OPFOKLEGHEN!$J$18="ja",IF(OPFOKLEGHEN!$L$9="nee",O97-(K97-S97))),O97-(K97-S97))))))))</f>
        <v>8.6563731106827877</v>
      </c>
      <c r="AD97" s="167" t="e">
        <f>IF(H97=0,0,IF(OPFOKLEGHEN!$H$11="geen droogtunnel",IF(OPFOKLEGHEN!$H$15="geen warmtewisselaar",(Q97-(K97-R97)/S$13),N97-(K97-R97)),IF(OPFOKLEGHEN!$H$12&gt;=0,IF(OPFOKLEGHEN!$L$9="ja",IF(OPFOKLEGHEN!$J$18="ja",IF(OPFOKLEGHEN!$H$20="ja",Q97-(K97-N97)-(K97-S97),IF(OPFOKLEGHEN!$H$20="nee",(Q97-(K97-N97)-(K97-S97)),(O97-(K97-S97)))),IF(OPFOKLEGHEN!$J$18="nee",IF(OPFOKLEGHEN!$H$20="nee",1*Q97*$N$135-(K97-N97)-(K97-S97),(Q97-(K97-N97)-(K97-S97))*N$135))),IF(OPFOKLEGHEN!$L$9="nee",IF(OPFOKLEGHEN!$J$18="nee",IF(OPFOKLEGHEN!$H$20="nee",(N97*95%-(K97-Q97)/I$4-(K97-S97)),N97-(K97-Q97)/I$4-(K97-S97)),IF(OPFOKLEGHEN!$H$20="nee",IF(OPFOKLEGHEN!$J$18="ja",IF(OPFOKLEGHEN!$L$9="nee",N97-(K97-Q97)/I$4-(K97-S97))),N97-(K97-Q97)/I$4-(K97-S97))))))))</f>
        <v>#DIV/0!</v>
      </c>
      <c r="AE97" s="4"/>
      <c r="AF97" s="6"/>
      <c r="AG97" s="6"/>
      <c r="AH97" s="4"/>
      <c r="AI97" s="6"/>
      <c r="AJ97" s="6"/>
      <c r="AK97" s="4"/>
      <c r="AL97" s="6"/>
      <c r="AM97" s="1">
        <v>12</v>
      </c>
      <c r="AN97" s="1">
        <v>82</v>
      </c>
      <c r="AO97" s="5">
        <f t="shared" si="66"/>
        <v>946.99999999999989</v>
      </c>
      <c r="AP97" s="5">
        <f t="shared" si="67"/>
        <v>858.50000000000023</v>
      </c>
      <c r="AQ97" s="5">
        <f t="shared" si="62"/>
        <v>902.75</v>
      </c>
      <c r="AR97" s="100"/>
    </row>
    <row r="98" spans="1:44" ht="13" x14ac:dyDescent="0.3">
      <c r="A98" s="1">
        <v>12</v>
      </c>
      <c r="B98" s="1">
        <v>83</v>
      </c>
      <c r="C98" s="4">
        <f t="shared" si="68"/>
        <v>1.0651120013406881</v>
      </c>
      <c r="D98" s="7">
        <f t="shared" si="48"/>
        <v>0</v>
      </c>
      <c r="E98" s="7">
        <f>IF(I$3=0,0,IF(OPFOKLEGHEN!$H$13="parallel geschakeld met warmtewisselaar",0,MIN(I$3,C98)))</f>
        <v>0</v>
      </c>
      <c r="F98" s="7">
        <f>IF(I$3=0,0,IF(OPFOKLEGHEN!$H$13="serie geschakeld met warmtewisselaar",0,IF(C98&lt;$I$3,C98-D98,MIN($I$3,C98-D98))))</f>
        <v>0</v>
      </c>
      <c r="G98" s="137">
        <f>IF(C98&lt;$I$7,MAX(0,C98-D98-E98-F98,IF(OPFOKLEGHEN!$H$15="warmtewisselaar",IF(OPFOKLEGHEN!$H$13="serie geschakeld met warmtewisselaar",MIN(I$7,MAX(0,C98-D98-F98)),MIN(I$7,MAX(0,C98-D98-E98-F98))))),IF(OPFOKLEGHEN!$H$13="parallel geschakeld met warmtewisselaar",MIN(I$7,C98-D98-E98-F98,MIN(I$7,C98-E98-F98)),MIN(I$7,MAX(0,C98-D98-F98))))</f>
        <v>0</v>
      </c>
      <c r="H98" s="7">
        <f>IF(OPFOKLEGHEN!$H$13="parallel geschakeld met warmtewisselaar",IF(OPFOKLEGHEN!$L$9="nee",IF(OPFOKLEGHEN!$J$18="ja",C98-F98-G98,C98-D98-F98-G98),IF(OPFOKLEGHEN!$L$9="ja",IF(OPFOKLEGHEN!$J$18="ja",C98-G98,IF(OPFOKLEGHEN!$J$18="nee",C98-D98-G98)))),IF(OPFOKLEGHEN!$H$13="serie geschakeld met warmtewisselaar",IF(OPFOKLEGHEN!$J$18="ja",C98-G98,C98-D98-F98-G98),C98-D98-F98-G98))</f>
        <v>1.0651120013406881</v>
      </c>
      <c r="I98" s="98">
        <f t="shared" si="49"/>
        <v>1.0651120013406881</v>
      </c>
      <c r="J98" s="99">
        <v>0.95881596762442789</v>
      </c>
      <c r="K98" s="6">
        <f t="shared" si="59"/>
        <v>8.9461184131382385</v>
      </c>
      <c r="L98" s="130">
        <f>SUM(K$16:K98)/$K$137</f>
        <v>0.27907754965791931</v>
      </c>
      <c r="M98" s="6">
        <f t="shared" si="60"/>
        <v>8.4763450718090605E-2</v>
      </c>
      <c r="N98" s="6">
        <f t="shared" si="53"/>
        <v>8.9461184131382385</v>
      </c>
      <c r="O98" s="6">
        <f>IF(E98&lt;I$3,P98*(1-I$6*D98/C98),IF(OPFOKLEGHEN!$H$11="droogtunnel (platen) 55%",P98*(1-$I$6)+(C98-D98)/C98*(K98-P98*(1-I$6)),P98*(1-$I$6)+(C98-D98)/C98*(K98-P98*(1-I$6))))</f>
        <v>8.9461184131382385</v>
      </c>
      <c r="P98" s="129">
        <f t="shared" si="54"/>
        <v>8.9461184131382385</v>
      </c>
      <c r="Q98" s="134">
        <f t="shared" si="55"/>
        <v>8.9461184131382385</v>
      </c>
      <c r="R98" s="134">
        <f t="shared" si="61"/>
        <v>8.9461184131382385</v>
      </c>
      <c r="S98" s="199">
        <f>IF(G98&lt;0.1,K98,IF(C98=F98,S98/(1-I$4),IF(I$3=0,K98-(G98/C98)*K98*S$13,IF(OPFOKLEGHEN!$H$13="Parallel geschakeld met warmtewisselaar",K98-(K98-(K98-Q98)/I$4)*(G98/(C98-F98))*S$13,IF(OPFOKLEGHEN!$H$20="ja",K98-(K98-(K98-P98)/I$4)*(G98/(C98-MIN(D98,I$5)))*S$13,K98-(K98-(K98-P98)/I$4)*(G98/(C98-MIN(D98,I$5)))*S$13)))))</f>
        <v>8.9461184131382385</v>
      </c>
      <c r="T98" s="17">
        <f t="shared" si="63"/>
        <v>8.9461184131382385</v>
      </c>
      <c r="U98" s="6">
        <f t="shared" si="50"/>
        <v>0</v>
      </c>
      <c r="V98" s="129">
        <f>IF(OPFOKLEGHEN!$J$18="nee",H98/C98*K98,IF(OPFOKLEGHEN!$H$20="ja",O98-(K98-Q98)-(K98-S98),Q98-(K98-O98)-(K98-S98)))</f>
        <v>8.9461184131382385</v>
      </c>
      <c r="W98" s="162">
        <f>IF(H98=0,0,IF(OPFOKLEGHEN!$H$11="geen droogtunnel",IF(OPFOKLEGHEN!$H$15="geen warmtewisselaar",Q98-(K98-R98)))+IF(OPFOKLEGHEN!$H$12&gt;0,IF(OPFOKLEGHEN!$H$13="serie geschakeld met warmtewisselaar",(O98*80%-(K98-S98)),(Q98-(K98-S98)-(K98-T98))),(N98-(K98-S98))))</f>
        <v>17.892236826276477</v>
      </c>
      <c r="X98" s="162">
        <f>IF(H98=0,0,IF(OPFOKLEGHEN!$H$11="geen droogtunnel",IF(OPFOKLEGHEN!$H$15="geen warmtewisselaar",Q98-(K98-R98)))+IF(OPFOKLEGHEN!$H$12&gt;0,IF(OPFOKLEGHEN!$H$13="serie geschakeld met warmtewisselaar",3*(O98*80%-(K98-S98)),(Q98-(K98-S98)-(K98-N98))),(N98-(K98-S98))))</f>
        <v>17.892236826276477</v>
      </c>
      <c r="Y98" s="162">
        <f>IF(H98=0,0,IF(OPFOKLEGHEN!$H$11="geen droogtunnel",IF(OPFOKLEGHEN!$H$15="geen warmtewisselaar",Q98-(K98-R98)))+IF(OPFOKLEGHEN!$H$12&gt;0,IF(OPFOKLEGHEN!$H$13="serie geschakeld met warmtewisselaar",(O98-(K98-S98)),IF(OPFOKLEGHEN!$H$13="parallel geschakeld met warmtewisselaar",IF(OPFOKLEGHEN!$L$9="ja",IF(OPFOKLEGHEN!$J$18="nee",(N98-(K98-Q98)-(K98-S98)),(Q98-(K98-N98/80%)))))),(O98-(K98-S98))))</f>
        <v>17.892236826276477</v>
      </c>
      <c r="Z98" s="130">
        <f t="shared" si="56"/>
        <v>1</v>
      </c>
      <c r="AA98" s="130"/>
      <c r="AB98" s="130"/>
      <c r="AC98" s="167">
        <f>IF(H98=0,0,IF(OPFOKLEGHEN!$H$11="geen droogtunnel",IF(OPFOKLEGHEN!$H$15="geen warmtewisselaar",(P98-(K98-R98)/R$13),K98-(K98-O98)/I$6-(K98-R98)/95%)+IF(OPFOKLEGHEN!$J$18="ja",(K98-O98)*(1-I$6)),IF(OPFOKLEGHEN!$H$12&gt;=0,IF(OPFOKLEGHEN!$L$9="ja",IF(OPFOKLEGHEN!$J$18="ja",IF(OPFOKLEGHEN!$H$20="ja",O98-(K98-S98),IF(OPFOKLEGHEN!$H$20="nee",(O98-(K98-S98)),(O98-(K98-S98)))),IF(OPFOKLEGHEN!$J$18="nee",IF(OPFOKLEGHEN!$H$20="nee",O98*80%-(K98-S98),0+O98-(K98-S98)))),IF(OPFOKLEGHEN!$L$9="nee",IF(OPFOKLEGHEN!$J$18="nee",IF(OPFOKLEGHEN!$H$20="nee",(O98*80%-(K98-S98)),O98*93%-(K98-S98)),IF(OPFOKLEGHEN!$H$20="nee",IF(OPFOKLEGHEN!$J$18="ja",IF(OPFOKLEGHEN!$L$9="nee",O98-(K98-S98))),O98-(K98-S98))))))))</f>
        <v>8.9461184131382385</v>
      </c>
      <c r="AD98" s="167" t="e">
        <f>IF(H98=0,0,IF(OPFOKLEGHEN!$H$11="geen droogtunnel",IF(OPFOKLEGHEN!$H$15="geen warmtewisselaar",(Q98-(K98-R98)/S$13),N98-(K98-R98)),IF(OPFOKLEGHEN!$H$12&gt;=0,IF(OPFOKLEGHEN!$L$9="ja",IF(OPFOKLEGHEN!$J$18="ja",IF(OPFOKLEGHEN!$H$20="ja",Q98-(K98-N98)-(K98-S98),IF(OPFOKLEGHEN!$H$20="nee",(Q98-(K98-N98)-(K98-S98)),(O98-(K98-S98)))),IF(OPFOKLEGHEN!$J$18="nee",IF(OPFOKLEGHEN!$H$20="nee",1*Q98*$N$135-(K98-N98)-(K98-S98),(Q98-(K98-N98)-(K98-S98))*N$135))),IF(OPFOKLEGHEN!$L$9="nee",IF(OPFOKLEGHEN!$J$18="nee",IF(OPFOKLEGHEN!$H$20="nee",(N98*95%-(K98-Q98)/I$4-(K98-S98)),N98-(K98-Q98)/I$4-(K98-S98)),IF(OPFOKLEGHEN!$H$20="nee",IF(OPFOKLEGHEN!$J$18="ja",IF(OPFOKLEGHEN!$L$9="nee",N98-(K98-Q98)/I$4-(K98-S98))),N98-(K98-Q98)/I$4-(K98-S98))))))))</f>
        <v>#DIV/0!</v>
      </c>
      <c r="AE98" s="4"/>
      <c r="AF98" s="6"/>
      <c r="AG98" s="6"/>
      <c r="AH98" s="4"/>
      <c r="AI98" s="6"/>
      <c r="AJ98" s="6"/>
      <c r="AK98" s="4"/>
      <c r="AL98" s="6"/>
      <c r="AM98" s="1">
        <v>12</v>
      </c>
      <c r="AN98" s="1">
        <v>83</v>
      </c>
      <c r="AO98" s="5">
        <f t="shared" si="66"/>
        <v>958.39999999999986</v>
      </c>
      <c r="AP98" s="5">
        <f t="shared" si="67"/>
        <v>869.20000000000027</v>
      </c>
      <c r="AQ98" s="5">
        <f t="shared" si="62"/>
        <v>913.80000000000007</v>
      </c>
      <c r="AR98" s="100"/>
    </row>
    <row r="99" spans="1:44" ht="13" x14ac:dyDescent="0.3">
      <c r="A99" s="1">
        <v>12</v>
      </c>
      <c r="B99" s="1">
        <v>84</v>
      </c>
      <c r="C99" s="4">
        <f t="shared" si="68"/>
        <v>1.08085538197</v>
      </c>
      <c r="D99" s="7">
        <f t="shared" si="48"/>
        <v>0</v>
      </c>
      <c r="E99" s="7">
        <f>IF(I$3=0,0,IF(OPFOKLEGHEN!$H$13="parallel geschakeld met warmtewisselaar",0,MIN(I$3,C99)))</f>
        <v>0</v>
      </c>
      <c r="F99" s="7">
        <f>IF(I$3=0,0,IF(OPFOKLEGHEN!$H$13="serie geschakeld met warmtewisselaar",0,IF(C99&lt;$I$3,C99-D99,MIN($I$3,C99-D99))))</f>
        <v>0</v>
      </c>
      <c r="G99" s="137">
        <f>IF(C99&lt;$I$7,MAX(0,C99-D99-E99-F99,IF(OPFOKLEGHEN!$H$15="warmtewisselaar",IF(OPFOKLEGHEN!$H$13="serie geschakeld met warmtewisselaar",MIN(I$7,MAX(0,C99-D99-F99)),MIN(I$7,MAX(0,C99-D99-E99-F99))))),IF(OPFOKLEGHEN!$H$13="parallel geschakeld met warmtewisselaar",MIN(I$7,C99-D99-E99-F99,MIN(I$7,C99-E99-F99)),MIN(I$7,MAX(0,C99-D99-F99))))</f>
        <v>0</v>
      </c>
      <c r="H99" s="7">
        <f>IF(OPFOKLEGHEN!$H$13="parallel geschakeld met warmtewisselaar",IF(OPFOKLEGHEN!$L$9="nee",IF(OPFOKLEGHEN!$J$18="ja",C99-F99-G99,C99-D99-F99-G99),IF(OPFOKLEGHEN!$L$9="ja",IF(OPFOKLEGHEN!$J$18="ja",C99-G99,IF(OPFOKLEGHEN!$J$18="nee",C99-D99-G99)))),IF(OPFOKLEGHEN!$H$13="serie geschakeld met warmtewisselaar",IF(OPFOKLEGHEN!$J$18="ja",C99-G99,C99-D99-F99-G99),C99-D99-F99-G99))</f>
        <v>1.08085538197</v>
      </c>
      <c r="I99" s="98">
        <f t="shared" si="49"/>
        <v>1.08085538197</v>
      </c>
      <c r="J99" s="99">
        <v>0.97662148988319786</v>
      </c>
      <c r="K99" s="6">
        <f t="shared" si="59"/>
        <v>9.2469385589532536</v>
      </c>
      <c r="L99" s="130">
        <f>SUM(K$16:K99)/$K$137</f>
        <v>0.28990608568298298</v>
      </c>
      <c r="M99" s="6">
        <f t="shared" si="60"/>
        <v>8.8669273852976391E-2</v>
      </c>
      <c r="N99" s="6">
        <f t="shared" si="53"/>
        <v>9.2469385589532536</v>
      </c>
      <c r="O99" s="6">
        <f>IF(E99&lt;I$3,P99*(1-I$6*D99/C99),IF(OPFOKLEGHEN!$H$11="droogtunnel (platen) 55%",P99*(1-$I$6)+(C99-D99)/C99*(K99-P99*(1-I$6)),P99*(1-$I$6)+(C99-D99)/C99*(K99-P99*(1-I$6))))</f>
        <v>9.2469385589532536</v>
      </c>
      <c r="P99" s="129">
        <f t="shared" si="54"/>
        <v>9.2469385589532536</v>
      </c>
      <c r="Q99" s="134">
        <f t="shared" si="55"/>
        <v>9.2469385589532536</v>
      </c>
      <c r="R99" s="134">
        <f t="shared" si="61"/>
        <v>9.2469385589532536</v>
      </c>
      <c r="S99" s="199">
        <f>IF(G99&lt;0.1,K99,IF(C99=F99,S99/(1-I$4),IF(I$3=0,K99-(G99/C99)*K99*S$13,IF(OPFOKLEGHEN!$H$13="Parallel geschakeld met warmtewisselaar",K99-(K99-(K99-Q99)/I$4)*(G99/(C99-F99))*S$13,IF(OPFOKLEGHEN!$H$20="ja",K99-(K99-(K99-P99)/I$4)*(G99/(C99-MIN(D99,I$5)))*S$13,K99-(K99-(K99-P99)/I$4)*(G99/(C99-MIN(D99,I$5)))*S$13)))))</f>
        <v>9.2469385589532536</v>
      </c>
      <c r="T99" s="17">
        <f t="shared" si="63"/>
        <v>9.2469385589532536</v>
      </c>
      <c r="U99" s="6">
        <f t="shared" si="50"/>
        <v>0</v>
      </c>
      <c r="V99" s="129">
        <f>IF(OPFOKLEGHEN!$J$18="nee",H99/C99*K99,IF(OPFOKLEGHEN!$H$20="ja",O99-(K99-Q99)-(K99-S99),Q99-(K99-O99)-(K99-S99)))</f>
        <v>9.2469385589532536</v>
      </c>
      <c r="W99" s="162">
        <f>IF(H99=0,0,IF(OPFOKLEGHEN!$H$11="geen droogtunnel",IF(OPFOKLEGHEN!$H$15="geen warmtewisselaar",Q99-(K99-R99)))+IF(OPFOKLEGHEN!$H$12&gt;0,IF(OPFOKLEGHEN!$H$13="serie geschakeld met warmtewisselaar",(O99*80%-(K99-S99)),(Q99-(K99-S99)-(K99-T99))),(N99-(K99-S99))))</f>
        <v>18.493877117906507</v>
      </c>
      <c r="X99" s="162">
        <f>IF(H99=0,0,IF(OPFOKLEGHEN!$H$11="geen droogtunnel",IF(OPFOKLEGHEN!$H$15="geen warmtewisselaar",Q99-(K99-R99)))+IF(OPFOKLEGHEN!$H$12&gt;0,IF(OPFOKLEGHEN!$H$13="serie geschakeld met warmtewisselaar",3*(O99*80%-(K99-S99)),(Q99-(K99-S99)-(K99-N99))),(N99-(K99-S99))))</f>
        <v>18.493877117906507</v>
      </c>
      <c r="Y99" s="162">
        <f>IF(H99=0,0,IF(OPFOKLEGHEN!$H$11="geen droogtunnel",IF(OPFOKLEGHEN!$H$15="geen warmtewisselaar",Q99-(K99-R99)))+IF(OPFOKLEGHEN!$H$12&gt;0,IF(OPFOKLEGHEN!$H$13="serie geschakeld met warmtewisselaar",(O99-(K99-S99)),IF(OPFOKLEGHEN!$H$13="parallel geschakeld met warmtewisselaar",IF(OPFOKLEGHEN!$L$9="ja",IF(OPFOKLEGHEN!$J$18="nee",(N99-(K99-Q99)-(K99-S99)),(Q99-(K99-N99/80%)))))),(O99-(K99-S99))))</f>
        <v>18.493877117906507</v>
      </c>
      <c r="Z99" s="130">
        <f t="shared" si="56"/>
        <v>1</v>
      </c>
      <c r="AA99" s="130"/>
      <c r="AB99" s="130"/>
      <c r="AC99" s="167">
        <f>IF(H99=0,0,IF(OPFOKLEGHEN!$H$11="geen droogtunnel",IF(OPFOKLEGHEN!$H$15="geen warmtewisselaar",(P99-(K99-R99)/R$13),K99-(K99-O99)/I$6-(K99-R99)/95%)+IF(OPFOKLEGHEN!$J$18="ja",(K99-O99)*(1-I$6)),IF(OPFOKLEGHEN!$H$12&gt;=0,IF(OPFOKLEGHEN!$L$9="ja",IF(OPFOKLEGHEN!$J$18="ja",IF(OPFOKLEGHEN!$H$20="ja",O99-(K99-S99),IF(OPFOKLEGHEN!$H$20="nee",(O99-(K99-S99)),(O99-(K99-S99)))),IF(OPFOKLEGHEN!$J$18="nee",IF(OPFOKLEGHEN!$H$20="nee",O99*80%-(K99-S99),0+O99-(K99-S99)))),IF(OPFOKLEGHEN!$L$9="nee",IF(OPFOKLEGHEN!$J$18="nee",IF(OPFOKLEGHEN!$H$20="nee",(O99*80%-(K99-S99)),O99*93%-(K99-S99)),IF(OPFOKLEGHEN!$H$20="nee",IF(OPFOKLEGHEN!$J$18="ja",IF(OPFOKLEGHEN!$L$9="nee",O99-(K99-S99))),O99-(K99-S99))))))))</f>
        <v>9.2469385589532536</v>
      </c>
      <c r="AD99" s="167" t="e">
        <f>IF(H99=0,0,IF(OPFOKLEGHEN!$H$11="geen droogtunnel",IF(OPFOKLEGHEN!$H$15="geen warmtewisselaar",(Q99-(K99-R99)/S$13),N99-(K99-R99)),IF(OPFOKLEGHEN!$H$12&gt;=0,IF(OPFOKLEGHEN!$L$9="ja",IF(OPFOKLEGHEN!$J$18="ja",IF(OPFOKLEGHEN!$H$20="ja",Q99-(K99-N99)-(K99-S99),IF(OPFOKLEGHEN!$H$20="nee",(Q99-(K99-N99)-(K99-S99)),(O99-(K99-S99)))),IF(OPFOKLEGHEN!$J$18="nee",IF(OPFOKLEGHEN!$H$20="nee",1*Q99*$N$135-(K99-N99)-(K99-S99),(Q99-(K99-N99)-(K99-S99))*N$135))),IF(OPFOKLEGHEN!$L$9="nee",IF(OPFOKLEGHEN!$J$18="nee",IF(OPFOKLEGHEN!$H$20="nee",(N99*95%-(K99-Q99)/I$4-(K99-S99)),N99-(K99-Q99)/I$4-(K99-S99)),IF(OPFOKLEGHEN!$H$20="nee",IF(OPFOKLEGHEN!$J$18="ja",IF(OPFOKLEGHEN!$L$9="nee",N99-(K99-Q99)/I$4-(K99-S99))),N99-(K99-Q99)/I$4-(K99-S99))))))))</f>
        <v>#DIV/0!</v>
      </c>
      <c r="AE99" s="4"/>
      <c r="AF99" s="6"/>
      <c r="AG99" s="6"/>
      <c r="AH99" s="4"/>
      <c r="AI99" s="6"/>
      <c r="AJ99" s="6"/>
      <c r="AK99" s="4"/>
      <c r="AL99" s="6"/>
      <c r="AM99" s="1">
        <v>12</v>
      </c>
      <c r="AN99" s="1">
        <v>84</v>
      </c>
      <c r="AO99" s="5">
        <v>970</v>
      </c>
      <c r="AP99" s="5">
        <v>880</v>
      </c>
      <c r="AQ99" s="5">
        <f t="shared" si="62"/>
        <v>925</v>
      </c>
      <c r="AR99" s="100"/>
    </row>
    <row r="100" spans="1:44" ht="13" x14ac:dyDescent="0.3">
      <c r="A100" s="1">
        <v>13</v>
      </c>
      <c r="B100" s="1">
        <v>85</v>
      </c>
      <c r="C100" s="4">
        <f t="shared" si="68"/>
        <v>1.0971378458774621</v>
      </c>
      <c r="D100" s="7">
        <f t="shared" si="48"/>
        <v>0</v>
      </c>
      <c r="E100" s="7">
        <f>IF(I$3=0,0,IF(OPFOKLEGHEN!$H$13="parallel geschakeld met warmtewisselaar",0,MIN(I$3,C100)))</f>
        <v>0</v>
      </c>
      <c r="F100" s="7">
        <f>IF(I$3=0,0,IF(OPFOKLEGHEN!$H$13="serie geschakeld met warmtewisselaar",0,IF(C100&lt;$I$3,C100-D100,MIN($I$3,C100-D100))))</f>
        <v>0</v>
      </c>
      <c r="G100" s="137">
        <f>IF(C100&lt;$I$7,MAX(0,C100-D100-E100-F100,IF(OPFOKLEGHEN!$H$15="warmtewisselaar",IF(OPFOKLEGHEN!$H$13="serie geschakeld met warmtewisselaar",MIN(I$7,MAX(0,C100-D100-F100)),MIN(I$7,MAX(0,C100-D100-E100-F100))))),IF(OPFOKLEGHEN!$H$13="parallel geschakeld met warmtewisselaar",MIN(I$7,C100-D100-E100-F100,MIN(I$7,C100-E100-F100)),MIN(I$7,MAX(0,C100-D100-F100))))</f>
        <v>0</v>
      </c>
      <c r="H100" s="7">
        <f>IF(OPFOKLEGHEN!$H$13="parallel geschakeld met warmtewisselaar",IF(OPFOKLEGHEN!$L$9="nee",IF(OPFOKLEGHEN!$J$18="ja",C100-F100-G100,C100-D100-F100-G100),IF(OPFOKLEGHEN!$L$9="ja",IF(OPFOKLEGHEN!$J$18="ja",C100-G100,IF(OPFOKLEGHEN!$J$18="nee",C100-D100-G100)))),IF(OPFOKLEGHEN!$H$13="serie geschakeld met warmtewisselaar",IF(OPFOKLEGHEN!$J$18="ja",C100-G100,C100-D100-F100-G100),C100-D100-F100-G100))</f>
        <v>1.0971378458774621</v>
      </c>
      <c r="I100" s="98">
        <f t="shared" si="49"/>
        <v>1.0971378458774621</v>
      </c>
      <c r="J100" s="99">
        <v>0.99475766644228514</v>
      </c>
      <c r="K100" s="6">
        <f t="shared" si="59"/>
        <v>9.5605438419758784</v>
      </c>
      <c r="L100" s="130">
        <f>SUM(K$16:K100)/$K$137</f>
        <v>0.30110186607581341</v>
      </c>
      <c r="M100" s="6">
        <f t="shared" si="60"/>
        <v>9.2767834083099285E-2</v>
      </c>
      <c r="N100" s="6">
        <f t="shared" si="53"/>
        <v>9.5605438419758784</v>
      </c>
      <c r="O100" s="6">
        <f>IF(E100&lt;I$3,P100*(1-I$6*D100/C100),IF(OPFOKLEGHEN!$H$11="droogtunnel (platen) 55%",P100*(1-$I$6)+(C100-D100)/C100*(K100-P100*(1-I$6)),P100*(1-$I$6)+(C100-D100)/C100*(K100-P100*(1-I$6))))</f>
        <v>9.5605438419758784</v>
      </c>
      <c r="P100" s="129">
        <f t="shared" si="54"/>
        <v>9.5605438419758784</v>
      </c>
      <c r="Q100" s="134">
        <f t="shared" si="55"/>
        <v>9.5605438419758784</v>
      </c>
      <c r="R100" s="134">
        <f t="shared" si="61"/>
        <v>9.5605438419758784</v>
      </c>
      <c r="S100" s="199">
        <f>IF(G100&lt;0.1,K100,IF(C100=F100,S100/(1-I$4),IF(I$3=0,K100-(G100/C100)*K100*S$13,IF(OPFOKLEGHEN!$H$13="Parallel geschakeld met warmtewisselaar",K100-(K100-(K100-Q100)/I$4)*(G100/(C100-F100))*S$13,IF(OPFOKLEGHEN!$H$20="ja",K100-(K100-(K100-P100)/I$4)*(G100/(C100-MIN(D100,I$5)))*S$13,K100-(K100-(K100-P100)/I$4)*(G100/(C100-MIN(D100,I$5)))*S$13)))))</f>
        <v>9.5605438419758784</v>
      </c>
      <c r="T100" s="17">
        <f t="shared" si="63"/>
        <v>9.5605438419758784</v>
      </c>
      <c r="U100" s="6">
        <f t="shared" si="50"/>
        <v>0</v>
      </c>
      <c r="V100" s="129">
        <f>IF(OPFOKLEGHEN!$J$18="nee",H100/C100*K100,IF(OPFOKLEGHEN!$H$20="ja",O100-(K100-Q100)-(K100-S100),Q100-(K100-O100)-(K100-S100)))</f>
        <v>9.5605438419758784</v>
      </c>
      <c r="W100" s="162">
        <f>IF(H100=0,0,IF(OPFOKLEGHEN!$H$11="geen droogtunnel",IF(OPFOKLEGHEN!$H$15="geen warmtewisselaar",Q100-(K100-R100)))+IF(OPFOKLEGHEN!$H$12&gt;0,IF(OPFOKLEGHEN!$H$13="serie geschakeld met warmtewisselaar",(O100*80%-(K100-S100)),(Q100-(K100-S100)-(K100-T100))),(N100-(K100-S100))))</f>
        <v>19.121087683951757</v>
      </c>
      <c r="X100" s="162">
        <f>IF(H100=0,0,IF(OPFOKLEGHEN!$H$11="geen droogtunnel",IF(OPFOKLEGHEN!$H$15="geen warmtewisselaar",Q100-(K100-R100)))+IF(OPFOKLEGHEN!$H$12&gt;0,IF(OPFOKLEGHEN!$H$13="serie geschakeld met warmtewisselaar",3*(O100*80%-(K100-S100)),(Q100-(K100-S100)-(K100-N100))),(N100-(K100-S100))))</f>
        <v>19.121087683951757</v>
      </c>
      <c r="Y100" s="162">
        <f>IF(H100=0,0,IF(OPFOKLEGHEN!$H$11="geen droogtunnel",IF(OPFOKLEGHEN!$H$15="geen warmtewisselaar",Q100-(K100-R100)))+IF(OPFOKLEGHEN!$H$12&gt;0,IF(OPFOKLEGHEN!$H$13="serie geschakeld met warmtewisselaar",(O100-(K100-S100)),IF(OPFOKLEGHEN!$H$13="parallel geschakeld met warmtewisselaar",IF(OPFOKLEGHEN!$L$9="ja",IF(OPFOKLEGHEN!$J$18="nee",(N100-(K100-Q100)-(K100-S100)),(Q100-(K100-N100/80%)))))),(O100-(K100-S100))))</f>
        <v>19.121087683951757</v>
      </c>
      <c r="Z100" s="130">
        <f t="shared" si="56"/>
        <v>1</v>
      </c>
      <c r="AA100" s="130"/>
      <c r="AB100" s="130"/>
      <c r="AC100" s="167">
        <f>IF(H100=0,0,IF(OPFOKLEGHEN!$H$11="geen droogtunnel",IF(OPFOKLEGHEN!$H$15="geen warmtewisselaar",(P100-(K100-R100)/R$13),K100-(K100-O100)/I$6-(K100-R100)/95%)+IF(OPFOKLEGHEN!$J$18="ja",(K100-O100)*(1-I$6)),IF(OPFOKLEGHEN!$H$12&gt;=0,IF(OPFOKLEGHEN!$L$9="ja",IF(OPFOKLEGHEN!$J$18="ja",IF(OPFOKLEGHEN!$H$20="ja",O100-(K100-S100),IF(OPFOKLEGHEN!$H$20="nee",(O100-(K100-S100)),(O100-(K100-S100)))),IF(OPFOKLEGHEN!$J$18="nee",IF(OPFOKLEGHEN!$H$20="nee",O100*80%-(K100-S100),0+O100-(K100-S100)))),IF(OPFOKLEGHEN!$L$9="nee",IF(OPFOKLEGHEN!$J$18="nee",IF(OPFOKLEGHEN!$H$20="nee",(O100*80%-(K100-S100)),O100*93%-(K100-S100)),IF(OPFOKLEGHEN!$H$20="nee",IF(OPFOKLEGHEN!$J$18="ja",IF(OPFOKLEGHEN!$L$9="nee",O100-(K100-S100))),O100-(K100-S100))))))))</f>
        <v>9.5605438419758784</v>
      </c>
      <c r="AD100" s="167" t="e">
        <f>IF(H100=0,0,IF(OPFOKLEGHEN!$H$11="geen droogtunnel",IF(OPFOKLEGHEN!$H$15="geen warmtewisselaar",(Q100-(K100-R100)/S$13),N100-(K100-R100)),IF(OPFOKLEGHEN!$H$12&gt;=0,IF(OPFOKLEGHEN!$L$9="ja",IF(OPFOKLEGHEN!$J$18="ja",IF(OPFOKLEGHEN!$H$20="ja",Q100-(K100-N100)-(K100-S100),IF(OPFOKLEGHEN!$H$20="nee",(Q100-(K100-N100)-(K100-S100)),(O100-(K100-S100)))),IF(OPFOKLEGHEN!$J$18="nee",IF(OPFOKLEGHEN!$H$20="nee",1*Q100*$N$135-(K100-N100)-(K100-S100),(Q100-(K100-N100)-(K100-S100))*N$135))),IF(OPFOKLEGHEN!$L$9="nee",IF(OPFOKLEGHEN!$J$18="nee",IF(OPFOKLEGHEN!$H$20="nee",(N100*95%-(K100-Q100)/I$4-(K100-S100)),N100-(K100-Q100)/I$4-(K100-S100)),IF(OPFOKLEGHEN!$H$20="nee",IF(OPFOKLEGHEN!$J$18="ja",IF(OPFOKLEGHEN!$L$9="nee",N100-(K100-Q100)/I$4-(K100-S100))),N100-(K100-Q100)/I$4-(K100-S100))))))))</f>
        <v>#DIV/0!</v>
      </c>
      <c r="AE100" s="4"/>
      <c r="AF100" s="6"/>
      <c r="AG100" s="6"/>
      <c r="AH100" s="4"/>
      <c r="AI100" s="6"/>
      <c r="AJ100" s="6"/>
      <c r="AK100" s="4"/>
      <c r="AL100" s="6"/>
      <c r="AM100" s="1">
        <v>13</v>
      </c>
      <c r="AN100" s="1">
        <v>85</v>
      </c>
      <c r="AO100" s="5">
        <f t="shared" ref="AO100:AO105" si="69">AO99+12.9</f>
        <v>982.9</v>
      </c>
      <c r="AP100" s="5">
        <f t="shared" ref="AP100:AP105" si="70">AP99+10</f>
        <v>890</v>
      </c>
      <c r="AQ100" s="5">
        <f t="shared" si="62"/>
        <v>936.45</v>
      </c>
      <c r="AR100" s="100"/>
    </row>
    <row r="101" spans="1:44" ht="13" x14ac:dyDescent="0.3">
      <c r="A101" s="1">
        <v>13</v>
      </c>
      <c r="B101" s="1">
        <v>86</v>
      </c>
      <c r="C101" s="4">
        <f t="shared" si="68"/>
        <v>1.1136134831306359</v>
      </c>
      <c r="D101" s="7">
        <f t="shared" si="48"/>
        <v>0</v>
      </c>
      <c r="E101" s="7">
        <f>IF(I$3=0,0,IF(OPFOKLEGHEN!$H$13="parallel geschakeld met warmtewisselaar",0,MIN(I$3,C101)))</f>
        <v>0</v>
      </c>
      <c r="F101" s="7">
        <f>IF(I$3=0,0,IF(OPFOKLEGHEN!$H$13="serie geschakeld met warmtewisselaar",0,IF(C101&lt;$I$3,C101-D101,MIN($I$3,C101-D101))))</f>
        <v>0</v>
      </c>
      <c r="G101" s="137">
        <f>IF(C101&lt;$I$7,MAX(0,C101-D101-E101-F101,IF(OPFOKLEGHEN!$H$15="warmtewisselaar",IF(OPFOKLEGHEN!$H$13="serie geschakeld met warmtewisselaar",MIN(I$7,MAX(0,C101-D101-F101)),MIN(I$7,MAX(0,C101-D101-E101-F101))))),IF(OPFOKLEGHEN!$H$13="parallel geschakeld met warmtewisselaar",MIN(I$7,C101-D101-E101-F101,MIN(I$7,C101-E101-F101)),MIN(I$7,MAX(0,C101-D101-F101))))</f>
        <v>0</v>
      </c>
      <c r="H101" s="7">
        <f>IF(OPFOKLEGHEN!$H$13="parallel geschakeld met warmtewisselaar",IF(OPFOKLEGHEN!$L$9="nee",IF(OPFOKLEGHEN!$J$18="ja",C101-F101-G101,C101-D101-F101-G101),IF(OPFOKLEGHEN!$L$9="ja",IF(OPFOKLEGHEN!$J$18="ja",C101-G101,IF(OPFOKLEGHEN!$J$18="nee",C101-D101-G101)))),IF(OPFOKLEGHEN!$H$13="serie geschakeld met warmtewisselaar",IF(OPFOKLEGHEN!$J$18="ja",C101-G101,C101-D101-F101-G101),C101-D101-F101-G101))</f>
        <v>1.1136134831306359</v>
      </c>
      <c r="I101" s="98">
        <f t="shared" si="49"/>
        <v>1.1136134831306359</v>
      </c>
      <c r="J101" s="99">
        <v>1.0132306376588618</v>
      </c>
      <c r="K101" s="6">
        <f t="shared" si="59"/>
        <v>9.8843223446533326</v>
      </c>
      <c r="L101" s="130">
        <f>SUM(K$16:K101)/$K$137</f>
        <v>0.3126768040847599</v>
      </c>
      <c r="M101" s="6">
        <f t="shared" si="60"/>
        <v>9.7037867767144598E-2</v>
      </c>
      <c r="N101" s="6">
        <f t="shared" si="53"/>
        <v>9.8843223446533326</v>
      </c>
      <c r="O101" s="6">
        <f>IF(E101&lt;I$3,P101*(1-I$6*D101/C101),IF(OPFOKLEGHEN!$H$11="droogtunnel (platen) 55%",P101*(1-$I$6)+(C101-D101)/C101*(K101-P101*(1-I$6)),P101*(1-$I$6)+(C101-D101)/C101*(K101-P101*(1-I$6))))</f>
        <v>9.8843223446533326</v>
      </c>
      <c r="P101" s="129">
        <f t="shared" si="54"/>
        <v>9.8843223446533326</v>
      </c>
      <c r="Q101" s="134">
        <f t="shared" si="55"/>
        <v>9.8843223446533326</v>
      </c>
      <c r="R101" s="134">
        <f t="shared" si="61"/>
        <v>9.8843223446533326</v>
      </c>
      <c r="S101" s="199">
        <f>IF(G101&lt;0.1,K101,IF(C101=F101,S101/(1-I$4),IF(I$3=0,K101-(G101/C101)*K101*S$13,IF(OPFOKLEGHEN!$H$13="Parallel geschakeld met warmtewisselaar",K101-(K101-(K101-Q101)/I$4)*(G101/(C101-F101))*S$13,IF(OPFOKLEGHEN!$H$20="ja",K101-(K101-(K101-P101)/I$4)*(G101/(C101-MIN(D101,I$5)))*S$13,K101-(K101-(K101-P101)/I$4)*(G101/(C101-MIN(D101,I$5)))*S$13)))))</f>
        <v>9.8843223446533326</v>
      </c>
      <c r="T101" s="17">
        <f t="shared" si="63"/>
        <v>9.8843223446533326</v>
      </c>
      <c r="U101" s="6">
        <f t="shared" si="50"/>
        <v>0</v>
      </c>
      <c r="V101" s="129">
        <f>IF(OPFOKLEGHEN!$J$18="nee",H101/C101*K101,IF(OPFOKLEGHEN!$H$20="ja",O101-(K101-Q101)-(K101-S101),Q101-(K101-O101)-(K101-S101)))</f>
        <v>9.8843223446533326</v>
      </c>
      <c r="W101" s="162">
        <f>IF(H101=0,0,IF(OPFOKLEGHEN!$H$11="geen droogtunnel",IF(OPFOKLEGHEN!$H$15="geen warmtewisselaar",Q101-(K101-R101)))+IF(OPFOKLEGHEN!$H$12&gt;0,IF(OPFOKLEGHEN!$H$13="serie geschakeld met warmtewisselaar",(O101*80%-(K101-S101)),(Q101-(K101-S101)-(K101-T101))),(N101-(K101-S101))))</f>
        <v>19.768644689306665</v>
      </c>
      <c r="X101" s="162">
        <f>IF(H101=0,0,IF(OPFOKLEGHEN!$H$11="geen droogtunnel",IF(OPFOKLEGHEN!$H$15="geen warmtewisselaar",Q101-(K101-R101)))+IF(OPFOKLEGHEN!$H$12&gt;0,IF(OPFOKLEGHEN!$H$13="serie geschakeld met warmtewisselaar",3*(O101*80%-(K101-S101)),(Q101-(K101-S101)-(K101-N101))),(N101-(K101-S101))))</f>
        <v>19.768644689306665</v>
      </c>
      <c r="Y101" s="162">
        <f>IF(H101=0,0,IF(OPFOKLEGHEN!$H$11="geen droogtunnel",IF(OPFOKLEGHEN!$H$15="geen warmtewisselaar",Q101-(K101-R101)))+IF(OPFOKLEGHEN!$H$12&gt;0,IF(OPFOKLEGHEN!$H$13="serie geschakeld met warmtewisselaar",(O101-(K101-S101)),IF(OPFOKLEGHEN!$H$13="parallel geschakeld met warmtewisselaar",IF(OPFOKLEGHEN!$L$9="ja",IF(OPFOKLEGHEN!$J$18="nee",(N101-(K101-Q101)-(K101-S101)),(Q101-(K101-N101/80%)))))),(O101-(K101-S101))))</f>
        <v>19.768644689306665</v>
      </c>
      <c r="Z101" s="130">
        <f t="shared" si="56"/>
        <v>1</v>
      </c>
      <c r="AA101" s="130"/>
      <c r="AB101" s="130"/>
      <c r="AC101" s="167">
        <f>IF(H101=0,0,IF(OPFOKLEGHEN!$H$11="geen droogtunnel",IF(OPFOKLEGHEN!$H$15="geen warmtewisselaar",(P101-(K101-R101)/R$13),K101-(K101-O101)/I$6-(K101-R101)/95%)+IF(OPFOKLEGHEN!$J$18="ja",(K101-O101)*(1-I$6)),IF(OPFOKLEGHEN!$H$12&gt;=0,IF(OPFOKLEGHEN!$L$9="ja",IF(OPFOKLEGHEN!$J$18="ja",IF(OPFOKLEGHEN!$H$20="ja",O101-(K101-S101),IF(OPFOKLEGHEN!$H$20="nee",(O101-(K101-S101)),(O101-(K101-S101)))),IF(OPFOKLEGHEN!$J$18="nee",IF(OPFOKLEGHEN!$H$20="nee",O101*80%-(K101-S101),0+O101-(K101-S101)))),IF(OPFOKLEGHEN!$L$9="nee",IF(OPFOKLEGHEN!$J$18="nee",IF(OPFOKLEGHEN!$H$20="nee",(O101*80%-(K101-S101)),O101*93%-(K101-S101)),IF(OPFOKLEGHEN!$H$20="nee",IF(OPFOKLEGHEN!$J$18="ja",IF(OPFOKLEGHEN!$L$9="nee",O101-(K101-S101))),O101-(K101-S101))))))))</f>
        <v>9.8843223446533326</v>
      </c>
      <c r="AD101" s="167" t="e">
        <f>IF(H101=0,0,IF(OPFOKLEGHEN!$H$11="geen droogtunnel",IF(OPFOKLEGHEN!$H$15="geen warmtewisselaar",(Q101-(K101-R101)/S$13),N101-(K101-R101)),IF(OPFOKLEGHEN!$H$12&gt;=0,IF(OPFOKLEGHEN!$L$9="ja",IF(OPFOKLEGHEN!$J$18="ja",IF(OPFOKLEGHEN!$H$20="ja",Q101-(K101-N101)-(K101-S101),IF(OPFOKLEGHEN!$H$20="nee",(Q101-(K101-N101)-(K101-S101)),(O101-(K101-S101)))),IF(OPFOKLEGHEN!$J$18="nee",IF(OPFOKLEGHEN!$H$20="nee",1*Q101*$N$135-(K101-N101)-(K101-S101),(Q101-(K101-N101)-(K101-S101))*N$135))),IF(OPFOKLEGHEN!$L$9="nee",IF(OPFOKLEGHEN!$J$18="nee",IF(OPFOKLEGHEN!$H$20="nee",(N101*95%-(K101-Q101)/I$4-(K101-S101)),N101-(K101-Q101)/I$4-(K101-S101)),IF(OPFOKLEGHEN!$H$20="nee",IF(OPFOKLEGHEN!$J$18="ja",IF(OPFOKLEGHEN!$L$9="nee",N101-(K101-Q101)/I$4-(K101-S101))),N101-(K101-Q101)/I$4-(K101-S101))))))))</f>
        <v>#DIV/0!</v>
      </c>
      <c r="AE101" s="4"/>
      <c r="AF101" s="6"/>
      <c r="AG101" s="6"/>
      <c r="AH101" s="4"/>
      <c r="AI101" s="6"/>
      <c r="AJ101" s="6"/>
      <c r="AK101" s="4"/>
      <c r="AL101" s="6"/>
      <c r="AM101" s="1">
        <v>13</v>
      </c>
      <c r="AN101" s="1">
        <v>86</v>
      </c>
      <c r="AO101" s="5">
        <f t="shared" si="69"/>
        <v>995.8</v>
      </c>
      <c r="AP101" s="5">
        <f t="shared" si="70"/>
        <v>900</v>
      </c>
      <c r="AQ101" s="5">
        <f t="shared" si="62"/>
        <v>947.9</v>
      </c>
      <c r="AR101" s="100"/>
    </row>
    <row r="102" spans="1:44" ht="13" x14ac:dyDescent="0.3">
      <c r="A102" s="1">
        <v>13</v>
      </c>
      <c r="B102" s="1">
        <v>87</v>
      </c>
      <c r="C102" s="4">
        <f t="shared" si="68"/>
        <v>1.1302857523183538</v>
      </c>
      <c r="D102" s="7">
        <f t="shared" si="48"/>
        <v>0</v>
      </c>
      <c r="E102" s="7">
        <f>IF(I$3=0,0,IF(OPFOKLEGHEN!$H$13="parallel geschakeld met warmtewisselaar",0,MIN(I$3,C102)))</f>
        <v>0</v>
      </c>
      <c r="F102" s="7">
        <f>IF(I$3=0,0,IF(OPFOKLEGHEN!$H$13="serie geschakeld met warmtewisselaar",0,IF(C102&lt;$I$3,C102-D102,MIN($I$3,C102-D102))))</f>
        <v>0</v>
      </c>
      <c r="G102" s="137">
        <f>IF(C102&lt;$I$7,MAX(0,C102-D102-E102-F102,IF(OPFOKLEGHEN!$H$15="warmtewisselaar",IF(OPFOKLEGHEN!$H$13="serie geschakeld met warmtewisselaar",MIN(I$7,MAX(0,C102-D102-F102)),MIN(I$7,MAX(0,C102-D102-E102-F102))))),IF(OPFOKLEGHEN!$H$13="parallel geschakeld met warmtewisselaar",MIN(I$7,C102-D102-E102-F102,MIN(I$7,C102-E102-F102)),MIN(I$7,MAX(0,C102-D102-F102))))</f>
        <v>0</v>
      </c>
      <c r="H102" s="7">
        <f>IF(OPFOKLEGHEN!$H$13="parallel geschakeld met warmtewisselaar",IF(OPFOKLEGHEN!$L$9="nee",IF(OPFOKLEGHEN!$J$18="ja",C102-F102-G102,C102-D102-F102-G102),IF(OPFOKLEGHEN!$L$9="ja",IF(OPFOKLEGHEN!$J$18="ja",C102-G102,IF(OPFOKLEGHEN!$J$18="nee",C102-D102-G102)))),IF(OPFOKLEGHEN!$H$13="serie geschakeld met warmtewisselaar",IF(OPFOKLEGHEN!$J$18="ja",C102-G102,C102-D102-F102-G102),C102-D102-F102-G102))</f>
        <v>1.1302857523183538</v>
      </c>
      <c r="I102" s="98">
        <f t="shared" si="49"/>
        <v>1.1302857523183538</v>
      </c>
      <c r="J102" s="99">
        <v>1.0320466579185175</v>
      </c>
      <c r="K102" s="6">
        <f t="shared" si="59"/>
        <v>10.218606866596131</v>
      </c>
      <c r="L102" s="130">
        <f>SUM(K$16:K102)/$K$137</f>
        <v>0.32464320267986696</v>
      </c>
      <c r="M102" s="6">
        <f t="shared" si="60"/>
        <v>0.10148616408605746</v>
      </c>
      <c r="N102" s="6">
        <f t="shared" si="53"/>
        <v>10.218606866596131</v>
      </c>
      <c r="O102" s="6">
        <f>IF(E102&lt;I$3,P102*(1-I$6*D102/C102),IF(OPFOKLEGHEN!$H$11="droogtunnel (platen) 55%",P102*(1-$I$6)+(C102-D102)/C102*(K102-P102*(1-I$6)),P102*(1-$I$6)+(C102-D102)/C102*(K102-P102*(1-I$6))))</f>
        <v>10.218606866596131</v>
      </c>
      <c r="P102" s="129">
        <f t="shared" si="54"/>
        <v>10.218606866596131</v>
      </c>
      <c r="Q102" s="134">
        <f t="shared" si="55"/>
        <v>10.218606866596131</v>
      </c>
      <c r="R102" s="134">
        <f t="shared" si="61"/>
        <v>10.218606866596131</v>
      </c>
      <c r="S102" s="199">
        <f>IF(G102&lt;0.1,K102,IF(C102=F102,S102/(1-I$4),IF(I$3=0,K102-(G102/C102)*K102*S$13,IF(OPFOKLEGHEN!$H$13="Parallel geschakeld met warmtewisselaar",K102-(K102-(K102-Q102)/I$4)*(G102/(C102-F102))*S$13,IF(OPFOKLEGHEN!$H$20="ja",K102-(K102-(K102-P102)/I$4)*(G102/(C102-MIN(D102,I$5)))*S$13,K102-(K102-(K102-P102)/I$4)*(G102/(C102-MIN(D102,I$5)))*S$13)))))</f>
        <v>10.218606866596131</v>
      </c>
      <c r="T102" s="17">
        <f t="shared" si="63"/>
        <v>10.218606866596131</v>
      </c>
      <c r="U102" s="6">
        <f t="shared" si="50"/>
        <v>0</v>
      </c>
      <c r="V102" s="129">
        <f>IF(OPFOKLEGHEN!$J$18="nee",H102/C102*K102,IF(OPFOKLEGHEN!$H$20="ja",O102-(K102-Q102)-(K102-S102),Q102-(K102-O102)-(K102-S102)))</f>
        <v>10.218606866596131</v>
      </c>
      <c r="W102" s="162">
        <f>IF(H102=0,0,IF(OPFOKLEGHEN!$H$11="geen droogtunnel",IF(OPFOKLEGHEN!$H$15="geen warmtewisselaar",Q102-(K102-R102)))+IF(OPFOKLEGHEN!$H$12&gt;0,IF(OPFOKLEGHEN!$H$13="serie geschakeld met warmtewisselaar",(O102*80%-(K102-S102)),(Q102-(K102-S102)-(K102-T102))),(N102-(K102-S102))))</f>
        <v>20.437213733192262</v>
      </c>
      <c r="X102" s="162">
        <f>IF(H102=0,0,IF(OPFOKLEGHEN!$H$11="geen droogtunnel",IF(OPFOKLEGHEN!$H$15="geen warmtewisselaar",Q102-(K102-R102)))+IF(OPFOKLEGHEN!$H$12&gt;0,IF(OPFOKLEGHEN!$H$13="serie geschakeld met warmtewisselaar",3*(O102*80%-(K102-S102)),(Q102-(K102-S102)-(K102-N102))),(N102-(K102-S102))))</f>
        <v>20.437213733192262</v>
      </c>
      <c r="Y102" s="162">
        <f>IF(H102=0,0,IF(OPFOKLEGHEN!$H$11="geen droogtunnel",IF(OPFOKLEGHEN!$H$15="geen warmtewisselaar",Q102-(K102-R102)))+IF(OPFOKLEGHEN!$H$12&gt;0,IF(OPFOKLEGHEN!$H$13="serie geschakeld met warmtewisselaar",(O102-(K102-S102)),IF(OPFOKLEGHEN!$H$13="parallel geschakeld met warmtewisselaar",IF(OPFOKLEGHEN!$L$9="ja",IF(OPFOKLEGHEN!$J$18="nee",(N102-(K102-Q102)-(K102-S102)),(Q102-(K102-N102/80%)))))),(O102-(K102-S102))))</f>
        <v>20.437213733192262</v>
      </c>
      <c r="Z102" s="130">
        <f t="shared" si="56"/>
        <v>1</v>
      </c>
      <c r="AA102" s="130"/>
      <c r="AB102" s="130"/>
      <c r="AC102" s="167">
        <f>IF(H102=0,0,IF(OPFOKLEGHEN!$H$11="geen droogtunnel",IF(OPFOKLEGHEN!$H$15="geen warmtewisselaar",(P102-(K102-R102)/R$13),K102-(K102-O102)/I$6-(K102-R102)/95%)+IF(OPFOKLEGHEN!$J$18="ja",(K102-O102)*(1-I$6)),IF(OPFOKLEGHEN!$H$12&gt;=0,IF(OPFOKLEGHEN!$L$9="ja",IF(OPFOKLEGHEN!$J$18="ja",IF(OPFOKLEGHEN!$H$20="ja",O102-(K102-S102),IF(OPFOKLEGHEN!$H$20="nee",(O102-(K102-S102)),(O102-(K102-S102)))),IF(OPFOKLEGHEN!$J$18="nee",IF(OPFOKLEGHEN!$H$20="nee",O102*80%-(K102-S102),0+O102-(K102-S102)))),IF(OPFOKLEGHEN!$L$9="nee",IF(OPFOKLEGHEN!$J$18="nee",IF(OPFOKLEGHEN!$H$20="nee",(O102*80%-(K102-S102)),O102*93%-(K102-S102)),IF(OPFOKLEGHEN!$H$20="nee",IF(OPFOKLEGHEN!$J$18="ja",IF(OPFOKLEGHEN!$L$9="nee",O102-(K102-S102))),O102-(K102-S102))))))))</f>
        <v>10.218606866596131</v>
      </c>
      <c r="AD102" s="167" t="e">
        <f>IF(H102=0,0,IF(OPFOKLEGHEN!$H$11="geen droogtunnel",IF(OPFOKLEGHEN!$H$15="geen warmtewisselaar",(Q102-(K102-R102)/S$13),N102-(K102-R102)),IF(OPFOKLEGHEN!$H$12&gt;=0,IF(OPFOKLEGHEN!$L$9="ja",IF(OPFOKLEGHEN!$J$18="ja",IF(OPFOKLEGHEN!$H$20="ja",Q102-(K102-N102)-(K102-S102),IF(OPFOKLEGHEN!$H$20="nee",(Q102-(K102-N102)-(K102-S102)),(O102-(K102-S102)))),IF(OPFOKLEGHEN!$J$18="nee",IF(OPFOKLEGHEN!$H$20="nee",1*Q102*$N$135-(K102-N102)-(K102-S102),(Q102-(K102-N102)-(K102-S102))*N$135))),IF(OPFOKLEGHEN!$L$9="nee",IF(OPFOKLEGHEN!$J$18="nee",IF(OPFOKLEGHEN!$H$20="nee",(N102*95%-(K102-Q102)/I$4-(K102-S102)),N102-(K102-Q102)/I$4-(K102-S102)),IF(OPFOKLEGHEN!$H$20="nee",IF(OPFOKLEGHEN!$J$18="ja",IF(OPFOKLEGHEN!$L$9="nee",N102-(K102-Q102)/I$4-(K102-S102))),N102-(K102-Q102)/I$4-(K102-S102))))))))</f>
        <v>#DIV/0!</v>
      </c>
      <c r="AE102" s="4"/>
      <c r="AF102" s="6"/>
      <c r="AG102" s="6"/>
      <c r="AH102" s="4"/>
      <c r="AI102" s="6"/>
      <c r="AJ102" s="6"/>
      <c r="AK102" s="4"/>
      <c r="AL102" s="6"/>
      <c r="AM102" s="1">
        <v>13</v>
      </c>
      <c r="AN102" s="1">
        <v>87</v>
      </c>
      <c r="AO102" s="5">
        <f t="shared" si="69"/>
        <v>1008.6999999999999</v>
      </c>
      <c r="AP102" s="5">
        <f t="shared" si="70"/>
        <v>910</v>
      </c>
      <c r="AQ102" s="5">
        <f t="shared" si="62"/>
        <v>959.34999999999991</v>
      </c>
      <c r="AR102" s="100"/>
    </row>
    <row r="103" spans="1:44" ht="13" x14ac:dyDescent="0.3">
      <c r="A103" s="1">
        <v>13</v>
      </c>
      <c r="B103" s="1">
        <v>88</v>
      </c>
      <c r="C103" s="4">
        <f t="shared" si="68"/>
        <v>1.1471581120294478</v>
      </c>
      <c r="D103" s="7">
        <f t="shared" si="48"/>
        <v>0</v>
      </c>
      <c r="E103" s="7">
        <f>IF(I$3=0,0,IF(OPFOKLEGHEN!$H$13="parallel geschakeld met warmtewisselaar",0,MIN(I$3,C103)))</f>
        <v>0</v>
      </c>
      <c r="F103" s="7">
        <f>IF(I$3=0,0,IF(OPFOKLEGHEN!$H$13="serie geschakeld met warmtewisselaar",0,IF(C103&lt;$I$3,C103-D103,MIN($I$3,C103-D103))))</f>
        <v>0</v>
      </c>
      <c r="G103" s="137">
        <f>IF(C103&lt;$I$7,MAX(0,C103-D103-E103-F103,IF(OPFOKLEGHEN!$H$15="warmtewisselaar",IF(OPFOKLEGHEN!$H$13="serie geschakeld met warmtewisselaar",MIN(I$7,MAX(0,C103-D103-F103)),MIN(I$7,MAX(0,C103-D103-E103-F103))))),IF(OPFOKLEGHEN!$H$13="parallel geschakeld met warmtewisselaar",MIN(I$7,C103-D103-E103-F103,MIN(I$7,C103-E103-F103)),MIN(I$7,MAX(0,C103-D103-F103))))</f>
        <v>0</v>
      </c>
      <c r="H103" s="7">
        <f>IF(OPFOKLEGHEN!$H$13="parallel geschakeld met warmtewisselaar",IF(OPFOKLEGHEN!$L$9="nee",IF(OPFOKLEGHEN!$J$18="ja",C103-F103-G103,C103-D103-F103-G103),IF(OPFOKLEGHEN!$L$9="ja",IF(OPFOKLEGHEN!$J$18="ja",C103-G103,IF(OPFOKLEGHEN!$J$18="nee",C103-D103-G103)))),IF(OPFOKLEGHEN!$H$13="serie geschakeld met warmtewisselaar",IF(OPFOKLEGHEN!$J$18="ja",C103-G103,C103-D103-F103-G103),C103-D103-F103-G103))</f>
        <v>1.1471581120294478</v>
      </c>
      <c r="I103" s="98">
        <f t="shared" si="49"/>
        <v>1.1471581120294478</v>
      </c>
      <c r="J103" s="99">
        <v>1.0512120977528023</v>
      </c>
      <c r="K103" s="6">
        <f t="shared" si="59"/>
        <v>10.563740812109431</v>
      </c>
      <c r="L103" s="130">
        <f>SUM(K$16:K103)/$K$137</f>
        <v>0.33701376697139734</v>
      </c>
      <c r="M103" s="6">
        <f t="shared" si="60"/>
        <v>0.10611977071525457</v>
      </c>
      <c r="N103" s="6">
        <f t="shared" si="53"/>
        <v>10.563740812109431</v>
      </c>
      <c r="O103" s="6">
        <f>IF(E103&lt;I$3,P103*(1-I$6*D103/C103),IF(OPFOKLEGHEN!$H$11="droogtunnel (platen) 55%",P103*(1-$I$6)+(C103-D103)/C103*(K103-P103*(1-I$6)),P103*(1-$I$6)+(C103-D103)/C103*(K103-P103*(1-I$6))))</f>
        <v>10.563740812109431</v>
      </c>
      <c r="P103" s="129">
        <f t="shared" si="54"/>
        <v>10.563740812109431</v>
      </c>
      <c r="Q103" s="134">
        <f t="shared" si="55"/>
        <v>10.563740812109431</v>
      </c>
      <c r="R103" s="134">
        <f t="shared" si="61"/>
        <v>10.563740812109431</v>
      </c>
      <c r="S103" s="199">
        <f>IF(G103&lt;0.1,K103,IF(C103=F103,S103/(1-I$4),IF(I$3=0,K103-(G103/C103)*K103*S$13,IF(OPFOKLEGHEN!$H$13="Parallel geschakeld met warmtewisselaar",K103-(K103-(K103-Q103)/I$4)*(G103/(C103-F103))*S$13,IF(OPFOKLEGHEN!$H$20="ja",K103-(K103-(K103-P103)/I$4)*(G103/(C103-MIN(D103,I$5)))*S$13,K103-(K103-(K103-P103)/I$4)*(G103/(C103-MIN(D103,I$5)))*S$13)))))</f>
        <v>10.563740812109431</v>
      </c>
      <c r="T103" s="17">
        <f t="shared" si="63"/>
        <v>10.563740812109431</v>
      </c>
      <c r="U103" s="6">
        <f t="shared" si="50"/>
        <v>0</v>
      </c>
      <c r="V103" s="129">
        <f>IF(OPFOKLEGHEN!$J$18="nee",H103/C103*K103,IF(OPFOKLEGHEN!$H$20="ja",O103-(K103-Q103)-(K103-S103),Q103-(K103-O103)-(K103-S103)))</f>
        <v>10.563740812109431</v>
      </c>
      <c r="W103" s="162">
        <f>IF(H103=0,0,IF(OPFOKLEGHEN!$H$11="geen droogtunnel",IF(OPFOKLEGHEN!$H$15="geen warmtewisselaar",Q103-(K103-R103)))+IF(OPFOKLEGHEN!$H$12&gt;0,IF(OPFOKLEGHEN!$H$13="serie geschakeld met warmtewisselaar",(O103*80%-(K103-S103)),(Q103-(K103-S103)-(K103-T103))),(N103-(K103-S103))))</f>
        <v>21.127481624218863</v>
      </c>
      <c r="X103" s="162">
        <f>IF(H103=0,0,IF(OPFOKLEGHEN!$H$11="geen droogtunnel",IF(OPFOKLEGHEN!$H$15="geen warmtewisselaar",Q103-(K103-R103)))+IF(OPFOKLEGHEN!$H$12&gt;0,IF(OPFOKLEGHEN!$H$13="serie geschakeld met warmtewisselaar",3*(O103*80%-(K103-S103)),(Q103-(K103-S103)-(K103-N103))),(N103-(K103-S103))))</f>
        <v>21.127481624218863</v>
      </c>
      <c r="Y103" s="162">
        <f>IF(H103=0,0,IF(OPFOKLEGHEN!$H$11="geen droogtunnel",IF(OPFOKLEGHEN!$H$15="geen warmtewisselaar",Q103-(K103-R103)))+IF(OPFOKLEGHEN!$H$12&gt;0,IF(OPFOKLEGHEN!$H$13="serie geschakeld met warmtewisselaar",(O103-(K103-S103)),IF(OPFOKLEGHEN!$H$13="parallel geschakeld met warmtewisselaar",IF(OPFOKLEGHEN!$L$9="ja",IF(OPFOKLEGHEN!$J$18="nee",(N103-(K103-Q103)-(K103-S103)),(Q103-(K103-N103/80%)))))),(O103-(K103-S103))))</f>
        <v>21.127481624218863</v>
      </c>
      <c r="Z103" s="130">
        <f t="shared" si="56"/>
        <v>1</v>
      </c>
      <c r="AA103" s="130"/>
      <c r="AB103" s="130"/>
      <c r="AC103" s="167">
        <f>IF(H103=0,0,IF(OPFOKLEGHEN!$H$11="geen droogtunnel",IF(OPFOKLEGHEN!$H$15="geen warmtewisselaar",(P103-(K103-R103)/R$13),K103-(K103-O103)/I$6-(K103-R103)/95%)+IF(OPFOKLEGHEN!$J$18="ja",(K103-O103)*(1-I$6)),IF(OPFOKLEGHEN!$H$12&gt;=0,IF(OPFOKLEGHEN!$L$9="ja",IF(OPFOKLEGHEN!$J$18="ja",IF(OPFOKLEGHEN!$H$20="ja",O103-(K103-S103),IF(OPFOKLEGHEN!$H$20="nee",(O103-(K103-S103)),(O103-(K103-S103)))),IF(OPFOKLEGHEN!$J$18="nee",IF(OPFOKLEGHEN!$H$20="nee",O103*80%-(K103-S103),0+O103-(K103-S103)))),IF(OPFOKLEGHEN!$L$9="nee",IF(OPFOKLEGHEN!$J$18="nee",IF(OPFOKLEGHEN!$H$20="nee",(O103*80%-(K103-S103)),O103*93%-(K103-S103)),IF(OPFOKLEGHEN!$H$20="nee",IF(OPFOKLEGHEN!$J$18="ja",IF(OPFOKLEGHEN!$L$9="nee",O103-(K103-S103))),O103-(K103-S103))))))))</f>
        <v>10.563740812109431</v>
      </c>
      <c r="AD103" s="167" t="e">
        <f>IF(H103=0,0,IF(OPFOKLEGHEN!$H$11="geen droogtunnel",IF(OPFOKLEGHEN!$H$15="geen warmtewisselaar",(Q103-(K103-R103)/S$13),N103-(K103-R103)),IF(OPFOKLEGHEN!$H$12&gt;=0,IF(OPFOKLEGHEN!$L$9="ja",IF(OPFOKLEGHEN!$J$18="ja",IF(OPFOKLEGHEN!$H$20="ja",Q103-(K103-N103)-(K103-S103),IF(OPFOKLEGHEN!$H$20="nee",(Q103-(K103-N103)-(K103-S103)),(O103-(K103-S103)))),IF(OPFOKLEGHEN!$J$18="nee",IF(OPFOKLEGHEN!$H$20="nee",1*Q103*$N$135-(K103-N103)-(K103-S103),(Q103-(K103-N103)-(K103-S103))*N$135))),IF(OPFOKLEGHEN!$L$9="nee",IF(OPFOKLEGHEN!$J$18="nee",IF(OPFOKLEGHEN!$H$20="nee",(N103*95%-(K103-Q103)/I$4-(K103-S103)),N103-(K103-Q103)/I$4-(K103-S103)),IF(OPFOKLEGHEN!$H$20="nee",IF(OPFOKLEGHEN!$J$18="ja",IF(OPFOKLEGHEN!$L$9="nee",N103-(K103-Q103)/I$4-(K103-S103))),N103-(K103-Q103)/I$4-(K103-S103))))))))</f>
        <v>#DIV/0!</v>
      </c>
      <c r="AE103" s="4"/>
      <c r="AF103" s="6"/>
      <c r="AG103" s="6"/>
      <c r="AH103" s="4"/>
      <c r="AI103" s="6"/>
      <c r="AJ103" s="6"/>
      <c r="AK103" s="4"/>
      <c r="AL103" s="6"/>
      <c r="AM103" s="1">
        <v>13</v>
      </c>
      <c r="AN103" s="1">
        <v>88</v>
      </c>
      <c r="AO103" s="5">
        <f t="shared" si="69"/>
        <v>1021.5999999999999</v>
      </c>
      <c r="AP103" s="5">
        <f t="shared" si="70"/>
        <v>920</v>
      </c>
      <c r="AQ103" s="5">
        <f t="shared" si="62"/>
        <v>970.8</v>
      </c>
      <c r="AR103" s="100"/>
    </row>
    <row r="104" spans="1:44" ht="13" x14ac:dyDescent="0.3">
      <c r="A104" s="1">
        <v>13</v>
      </c>
      <c r="B104" s="1">
        <v>89</v>
      </c>
      <c r="C104" s="4">
        <f t="shared" si="68"/>
        <v>1.16423402085275</v>
      </c>
      <c r="D104" s="7">
        <f t="shared" si="48"/>
        <v>0</v>
      </c>
      <c r="E104" s="7">
        <f>IF(I$3=0,0,IF(OPFOKLEGHEN!$H$13="parallel geschakeld met warmtewisselaar",0,MIN(I$3,C104)))</f>
        <v>0</v>
      </c>
      <c r="F104" s="7">
        <f>IF(I$3=0,0,IF(OPFOKLEGHEN!$H$13="serie geschakeld met warmtewisselaar",0,IF(C104&lt;$I$3,C104-D104,MIN($I$3,C104-D104))))</f>
        <v>0</v>
      </c>
      <c r="G104" s="137">
        <f>IF(C104&lt;$I$7,MAX(0,C104-D104-E104-F104,IF(OPFOKLEGHEN!$H$15="warmtewisselaar",IF(OPFOKLEGHEN!$H$13="serie geschakeld met warmtewisselaar",MIN(I$7,MAX(0,C104-D104-F104)),MIN(I$7,MAX(0,C104-D104-E104-F104))))),IF(OPFOKLEGHEN!$H$13="parallel geschakeld met warmtewisselaar",MIN(I$7,C104-D104-E104-F104,MIN(I$7,C104-E104-F104)),MIN(I$7,MAX(0,C104-D104-F104))))</f>
        <v>0</v>
      </c>
      <c r="H104" s="7">
        <f>IF(OPFOKLEGHEN!$H$13="parallel geschakeld met warmtewisselaar",IF(OPFOKLEGHEN!$L$9="nee",IF(OPFOKLEGHEN!$J$18="ja",C104-F104-G104,C104-D104-F104-G104),IF(OPFOKLEGHEN!$L$9="ja",IF(OPFOKLEGHEN!$J$18="ja",C104-G104,IF(OPFOKLEGHEN!$J$18="nee",C104-D104-G104)))),IF(OPFOKLEGHEN!$H$13="serie geschakeld met warmtewisselaar",IF(OPFOKLEGHEN!$J$18="ja",C104-G104,C104-D104-F104-G104),C104-D104-F104-G104))</f>
        <v>1.16423402085275</v>
      </c>
      <c r="I104" s="98">
        <f t="shared" si="49"/>
        <v>1.16423402085275</v>
      </c>
      <c r="J104" s="99">
        <v>1.0707334459960947</v>
      </c>
      <c r="K104" s="6">
        <f t="shared" si="59"/>
        <v>10.920078512619533</v>
      </c>
      <c r="L104" s="130">
        <f>SUM(K$16:K104)/$K$137</f>
        <v>0.34980161700592921</v>
      </c>
      <c r="M104" s="6">
        <f t="shared" si="60"/>
        <v>0.1109460031533263</v>
      </c>
      <c r="N104" s="6">
        <f t="shared" si="53"/>
        <v>10.920078512619533</v>
      </c>
      <c r="O104" s="6">
        <f>IF(E104&lt;I$3,P104*(1-I$6*D104/C104),IF(OPFOKLEGHEN!$H$11="droogtunnel (platen) 55%",P104*(1-$I$6)+(C104-D104)/C104*(K104-P104*(1-I$6)),P104*(1-$I$6)+(C104-D104)/C104*(K104-P104*(1-I$6))))</f>
        <v>10.920078512619533</v>
      </c>
      <c r="P104" s="129">
        <f t="shared" si="54"/>
        <v>10.920078512619533</v>
      </c>
      <c r="Q104" s="134">
        <f t="shared" si="55"/>
        <v>10.920078512619533</v>
      </c>
      <c r="R104" s="134">
        <f t="shared" si="61"/>
        <v>10.920078512619533</v>
      </c>
      <c r="S104" s="199">
        <f>IF(G104&lt;0.1,K104,IF(C104=F104,S104/(1-I$4),IF(I$3=0,K104-(G104/C104)*K104*S$13,IF(OPFOKLEGHEN!$H$13="Parallel geschakeld met warmtewisselaar",K104-(K104-(K104-Q104)/I$4)*(G104/(C104-F104))*S$13,IF(OPFOKLEGHEN!$H$20="ja",K104-(K104-(K104-P104)/I$4)*(G104/(C104-MIN(D104,I$5)))*S$13,K104-(K104-(K104-P104)/I$4)*(G104/(C104-MIN(D104,I$5)))*S$13)))))</f>
        <v>10.920078512619533</v>
      </c>
      <c r="T104" s="17">
        <f t="shared" si="63"/>
        <v>10.920078512619533</v>
      </c>
      <c r="U104" s="6">
        <f t="shared" si="50"/>
        <v>0</v>
      </c>
      <c r="V104" s="129">
        <f>IF(OPFOKLEGHEN!$J$18="nee",H104/C104*K104,IF(OPFOKLEGHEN!$H$20="ja",O104-(K104-Q104)-(K104-S104),Q104-(K104-O104)-(K104-S104)))</f>
        <v>10.920078512619533</v>
      </c>
      <c r="W104" s="162">
        <f>IF(H104=0,0,IF(OPFOKLEGHEN!$H$11="geen droogtunnel",IF(OPFOKLEGHEN!$H$15="geen warmtewisselaar",Q104-(K104-R104)))+IF(OPFOKLEGHEN!$H$12&gt;0,IF(OPFOKLEGHEN!$H$13="serie geschakeld met warmtewisselaar",(O104*80%-(K104-S104)),(Q104-(K104-S104)-(K104-T104))),(N104-(K104-S104))))</f>
        <v>21.840157025239066</v>
      </c>
      <c r="X104" s="162">
        <f>IF(H104=0,0,IF(OPFOKLEGHEN!$H$11="geen droogtunnel",IF(OPFOKLEGHEN!$H$15="geen warmtewisselaar",Q104-(K104-R104)))+IF(OPFOKLEGHEN!$H$12&gt;0,IF(OPFOKLEGHEN!$H$13="serie geschakeld met warmtewisselaar",3*(O104*80%-(K104-S104)),(Q104-(K104-S104)-(K104-N104))),(N104-(K104-S104))))</f>
        <v>21.840157025239066</v>
      </c>
      <c r="Y104" s="162">
        <f>IF(H104=0,0,IF(OPFOKLEGHEN!$H$11="geen droogtunnel",IF(OPFOKLEGHEN!$H$15="geen warmtewisselaar",Q104-(K104-R104)))+IF(OPFOKLEGHEN!$H$12&gt;0,IF(OPFOKLEGHEN!$H$13="serie geschakeld met warmtewisselaar",(O104-(K104-S104)),IF(OPFOKLEGHEN!$H$13="parallel geschakeld met warmtewisselaar",IF(OPFOKLEGHEN!$L$9="ja",IF(OPFOKLEGHEN!$J$18="nee",(N104-(K104-Q104)-(K104-S104)),(Q104-(K104-N104/80%)))))),(O104-(K104-S104))))</f>
        <v>21.840157025239066</v>
      </c>
      <c r="Z104" s="130">
        <f t="shared" si="56"/>
        <v>1</v>
      </c>
      <c r="AA104" s="130"/>
      <c r="AB104" s="130"/>
      <c r="AC104" s="167">
        <f>IF(H104=0,0,IF(OPFOKLEGHEN!$H$11="geen droogtunnel",IF(OPFOKLEGHEN!$H$15="geen warmtewisselaar",(P104-(K104-R104)/R$13),K104-(K104-O104)/I$6-(K104-R104)/95%)+IF(OPFOKLEGHEN!$J$18="ja",(K104-O104)*(1-I$6)),IF(OPFOKLEGHEN!$H$12&gt;=0,IF(OPFOKLEGHEN!$L$9="ja",IF(OPFOKLEGHEN!$J$18="ja",IF(OPFOKLEGHEN!$H$20="ja",O104-(K104-S104),IF(OPFOKLEGHEN!$H$20="nee",(O104-(K104-S104)),(O104-(K104-S104)))),IF(OPFOKLEGHEN!$J$18="nee",IF(OPFOKLEGHEN!$H$20="nee",O104*80%-(K104-S104),0+O104-(K104-S104)))),IF(OPFOKLEGHEN!$L$9="nee",IF(OPFOKLEGHEN!$J$18="nee",IF(OPFOKLEGHEN!$H$20="nee",(O104*80%-(K104-S104)),O104*93%-(K104-S104)),IF(OPFOKLEGHEN!$H$20="nee",IF(OPFOKLEGHEN!$J$18="ja",IF(OPFOKLEGHEN!$L$9="nee",O104-(K104-S104))),O104-(K104-S104))))))))</f>
        <v>10.920078512619533</v>
      </c>
      <c r="AD104" s="167" t="e">
        <f>IF(H104=0,0,IF(OPFOKLEGHEN!$H$11="geen droogtunnel",IF(OPFOKLEGHEN!$H$15="geen warmtewisselaar",(Q104-(K104-R104)/S$13),N104-(K104-R104)),IF(OPFOKLEGHEN!$H$12&gt;=0,IF(OPFOKLEGHEN!$L$9="ja",IF(OPFOKLEGHEN!$J$18="ja",IF(OPFOKLEGHEN!$H$20="ja",Q104-(K104-N104)-(K104-S104),IF(OPFOKLEGHEN!$H$20="nee",(Q104-(K104-N104)-(K104-S104)),(O104-(K104-S104)))),IF(OPFOKLEGHEN!$J$18="nee",IF(OPFOKLEGHEN!$H$20="nee",1*Q104*$N$135-(K104-N104)-(K104-S104),(Q104-(K104-N104)-(K104-S104))*N$135))),IF(OPFOKLEGHEN!$L$9="nee",IF(OPFOKLEGHEN!$J$18="nee",IF(OPFOKLEGHEN!$H$20="nee",(N104*95%-(K104-Q104)/I$4-(K104-S104)),N104-(K104-Q104)/I$4-(K104-S104)),IF(OPFOKLEGHEN!$H$20="nee",IF(OPFOKLEGHEN!$J$18="ja",IF(OPFOKLEGHEN!$L$9="nee",N104-(K104-Q104)/I$4-(K104-S104))),N104-(K104-Q104)/I$4-(K104-S104))))))))</f>
        <v>#DIV/0!</v>
      </c>
      <c r="AE104" s="4"/>
      <c r="AF104" s="6"/>
      <c r="AG104" s="6"/>
      <c r="AH104" s="4"/>
      <c r="AI104" s="6"/>
      <c r="AJ104" s="6"/>
      <c r="AK104" s="4"/>
      <c r="AL104" s="6"/>
      <c r="AM104" s="1">
        <v>13</v>
      </c>
      <c r="AN104" s="1">
        <v>89</v>
      </c>
      <c r="AO104" s="5">
        <f t="shared" si="69"/>
        <v>1034.5</v>
      </c>
      <c r="AP104" s="5">
        <f t="shared" si="70"/>
        <v>930</v>
      </c>
      <c r="AQ104" s="5">
        <f t="shared" si="62"/>
        <v>982.25</v>
      </c>
      <c r="AR104" s="100"/>
    </row>
    <row r="105" spans="1:44" ht="13" x14ac:dyDescent="0.3">
      <c r="A105" s="1">
        <v>13</v>
      </c>
      <c r="B105" s="1">
        <v>90</v>
      </c>
      <c r="C105" s="4">
        <f t="shared" si="68"/>
        <v>1.181516937377092</v>
      </c>
      <c r="D105" s="7">
        <f t="shared" si="48"/>
        <v>0</v>
      </c>
      <c r="E105" s="7">
        <f>IF(I$3=0,0,IF(OPFOKLEGHEN!$H$13="parallel geschakeld met warmtewisselaar",0,MIN(I$3,C105)))</f>
        <v>0</v>
      </c>
      <c r="F105" s="7">
        <f>IF(I$3=0,0,IF(OPFOKLEGHEN!$H$13="serie geschakeld met warmtewisselaar",0,IF(C105&lt;$I$3,C105-D105,MIN($I$3,C105-D105))))</f>
        <v>0</v>
      </c>
      <c r="G105" s="137">
        <f>IF(C105&lt;$I$7,MAX(0,C105-D105-E105-F105,IF(OPFOKLEGHEN!$H$15="warmtewisselaar",IF(OPFOKLEGHEN!$H$13="serie geschakeld met warmtewisselaar",MIN(I$7,MAX(0,C105-D105-F105)),MIN(I$7,MAX(0,C105-D105-E105-F105))))),IF(OPFOKLEGHEN!$H$13="parallel geschakeld met warmtewisselaar",MIN(I$7,C105-D105-E105-F105,MIN(I$7,C105-E105-F105)),MIN(I$7,MAX(0,C105-D105-F105))))</f>
        <v>0</v>
      </c>
      <c r="H105" s="7">
        <f>IF(OPFOKLEGHEN!$H$13="parallel geschakeld met warmtewisselaar",IF(OPFOKLEGHEN!$L$9="nee",IF(OPFOKLEGHEN!$J$18="ja",C105-F105-G105,C105-D105-F105-G105),IF(OPFOKLEGHEN!$L$9="ja",IF(OPFOKLEGHEN!$J$18="ja",C105-G105,IF(OPFOKLEGHEN!$J$18="nee",C105-D105-G105)))),IF(OPFOKLEGHEN!$H$13="serie geschakeld met warmtewisselaar",IF(OPFOKLEGHEN!$J$18="ja",C105-G105,C105-D105-F105-G105),C105-D105-F105-G105))</f>
        <v>1.181516937377092</v>
      </c>
      <c r="I105" s="98">
        <f t="shared" si="49"/>
        <v>1.181516937377092</v>
      </c>
      <c r="J105" s="99">
        <v>1.0906173119825242</v>
      </c>
      <c r="K105" s="6">
        <f t="shared" si="59"/>
        <v>11.287985558423287</v>
      </c>
      <c r="L105" s="130">
        <f>SUM(K$16:K105)/$K$137</f>
        <v>0.36302030095094528</v>
      </c>
      <c r="M105" s="6">
        <f t="shared" si="60"/>
        <v>0.11597245436736255</v>
      </c>
      <c r="N105" s="6">
        <f t="shared" si="53"/>
        <v>11.287985558423287</v>
      </c>
      <c r="O105" s="6">
        <f>IF(E105&lt;I$3,P105*(1-I$6*D105/C105),IF(OPFOKLEGHEN!$H$11="droogtunnel (platen) 55%",P105*(1-$I$6)+(C105-D105)/C105*(K105-P105*(1-I$6)),P105*(1-$I$6)+(C105-D105)/C105*(K105-P105*(1-I$6))))</f>
        <v>11.287985558423287</v>
      </c>
      <c r="P105" s="129">
        <f t="shared" si="54"/>
        <v>11.287985558423287</v>
      </c>
      <c r="Q105" s="134">
        <f t="shared" si="55"/>
        <v>11.287985558423287</v>
      </c>
      <c r="R105" s="134">
        <f t="shared" si="61"/>
        <v>11.287985558423287</v>
      </c>
      <c r="S105" s="199">
        <f>IF(G105&lt;0.1,K105,IF(C105=F105,S105/(1-I$4),IF(I$3=0,K105-(G105/C105)*K105*S$13,IF(OPFOKLEGHEN!$H$13="Parallel geschakeld met warmtewisselaar",K105-(K105-(K105-Q105)/I$4)*(G105/(C105-F105))*S$13,IF(OPFOKLEGHEN!$H$20="ja",K105-(K105-(K105-P105)/I$4)*(G105/(C105-MIN(D105,I$5)))*S$13,K105-(K105-(K105-P105)/I$4)*(G105/(C105-MIN(D105,I$5)))*S$13)))))</f>
        <v>11.287985558423287</v>
      </c>
      <c r="T105" s="17">
        <f t="shared" si="63"/>
        <v>11.287985558423287</v>
      </c>
      <c r="U105" s="6">
        <f t="shared" si="50"/>
        <v>0</v>
      </c>
      <c r="V105" s="129">
        <f>IF(OPFOKLEGHEN!$J$18="nee",H105/C105*K105,IF(OPFOKLEGHEN!$H$20="ja",O105-(K105-Q105)-(K105-S105),Q105-(K105-O105)-(K105-S105)))</f>
        <v>11.287985558423287</v>
      </c>
      <c r="W105" s="162">
        <f>IF(H105=0,0,IF(OPFOKLEGHEN!$H$11="geen droogtunnel",IF(OPFOKLEGHEN!$H$15="geen warmtewisselaar",Q105-(K105-R105)))+IF(OPFOKLEGHEN!$H$12&gt;0,IF(OPFOKLEGHEN!$H$13="serie geschakeld met warmtewisselaar",(O105*80%-(K105-S105)),(Q105-(K105-S105)-(K105-T105))),(N105-(K105-S105))))</f>
        <v>22.575971116846574</v>
      </c>
      <c r="X105" s="162">
        <f>IF(H105=0,0,IF(OPFOKLEGHEN!$H$11="geen droogtunnel",IF(OPFOKLEGHEN!$H$15="geen warmtewisselaar",Q105-(K105-R105)))+IF(OPFOKLEGHEN!$H$12&gt;0,IF(OPFOKLEGHEN!$H$13="serie geschakeld met warmtewisselaar",3*(O105*80%-(K105-S105)),(Q105-(K105-S105)-(K105-N105))),(N105-(K105-S105))))</f>
        <v>22.575971116846574</v>
      </c>
      <c r="Y105" s="162">
        <f>IF(H105=0,0,IF(OPFOKLEGHEN!$H$11="geen droogtunnel",IF(OPFOKLEGHEN!$H$15="geen warmtewisselaar",Q105-(K105-R105)))+IF(OPFOKLEGHEN!$H$12&gt;0,IF(OPFOKLEGHEN!$H$13="serie geschakeld met warmtewisselaar",(O105-(K105-S105)),IF(OPFOKLEGHEN!$H$13="parallel geschakeld met warmtewisselaar",IF(OPFOKLEGHEN!$L$9="ja",IF(OPFOKLEGHEN!$J$18="nee",(N105-(K105-Q105)-(K105-S105)),(Q105-(K105-N105/80%)))))),(O105-(K105-S105))))</f>
        <v>22.575971116846574</v>
      </c>
      <c r="Z105" s="130">
        <f t="shared" si="56"/>
        <v>1</v>
      </c>
      <c r="AA105" s="130"/>
      <c r="AB105" s="130"/>
      <c r="AC105" s="167">
        <f>IF(H105=0,0,IF(OPFOKLEGHEN!$H$11="geen droogtunnel",IF(OPFOKLEGHEN!$H$15="geen warmtewisselaar",(P105-(K105-R105)/R$13),K105-(K105-O105)/I$6-(K105-R105)/95%)+IF(OPFOKLEGHEN!$J$18="ja",(K105-O105)*(1-I$6)),IF(OPFOKLEGHEN!$H$12&gt;=0,IF(OPFOKLEGHEN!$L$9="ja",IF(OPFOKLEGHEN!$J$18="ja",IF(OPFOKLEGHEN!$H$20="ja",O105-(K105-S105),IF(OPFOKLEGHEN!$H$20="nee",(O105-(K105-S105)),(O105-(K105-S105)))),IF(OPFOKLEGHEN!$J$18="nee",IF(OPFOKLEGHEN!$H$20="nee",O105*80%-(K105-S105),0+O105-(K105-S105)))),IF(OPFOKLEGHEN!$L$9="nee",IF(OPFOKLEGHEN!$J$18="nee",IF(OPFOKLEGHEN!$H$20="nee",(O105*80%-(K105-S105)),O105*93%-(K105-S105)),IF(OPFOKLEGHEN!$H$20="nee",IF(OPFOKLEGHEN!$J$18="ja",IF(OPFOKLEGHEN!$L$9="nee",O105-(K105-S105))),O105-(K105-S105))))))))</f>
        <v>11.287985558423287</v>
      </c>
      <c r="AD105" s="167" t="e">
        <f>IF(H105=0,0,IF(OPFOKLEGHEN!$H$11="geen droogtunnel",IF(OPFOKLEGHEN!$H$15="geen warmtewisselaar",(Q105-(K105-R105)/S$13),N105-(K105-R105)),IF(OPFOKLEGHEN!$H$12&gt;=0,IF(OPFOKLEGHEN!$L$9="ja",IF(OPFOKLEGHEN!$J$18="ja",IF(OPFOKLEGHEN!$H$20="ja",Q105-(K105-N105)-(K105-S105),IF(OPFOKLEGHEN!$H$20="nee",(Q105-(K105-N105)-(K105-S105)),(O105-(K105-S105)))),IF(OPFOKLEGHEN!$J$18="nee",IF(OPFOKLEGHEN!$H$20="nee",1*Q105*$N$135-(K105-N105)-(K105-S105),(Q105-(K105-N105)-(K105-S105))*N$135))),IF(OPFOKLEGHEN!$L$9="nee",IF(OPFOKLEGHEN!$J$18="nee",IF(OPFOKLEGHEN!$H$20="nee",(N105*95%-(K105-Q105)/I$4-(K105-S105)),N105-(K105-Q105)/I$4-(K105-S105)),IF(OPFOKLEGHEN!$H$20="nee",IF(OPFOKLEGHEN!$J$18="ja",IF(OPFOKLEGHEN!$L$9="nee",N105-(K105-Q105)/I$4-(K105-S105))),N105-(K105-Q105)/I$4-(K105-S105))))))))</f>
        <v>#DIV/0!</v>
      </c>
      <c r="AE105" s="4"/>
      <c r="AF105" s="6"/>
      <c r="AG105" s="6"/>
      <c r="AH105" s="4"/>
      <c r="AI105" s="6"/>
      <c r="AJ105" s="6"/>
      <c r="AK105" s="4"/>
      <c r="AL105" s="6"/>
      <c r="AM105" s="1">
        <v>13</v>
      </c>
      <c r="AN105" s="1">
        <v>90</v>
      </c>
      <c r="AO105" s="5">
        <f t="shared" si="69"/>
        <v>1047.4000000000001</v>
      </c>
      <c r="AP105" s="5">
        <f t="shared" si="70"/>
        <v>940</v>
      </c>
      <c r="AQ105" s="5">
        <f t="shared" si="62"/>
        <v>993.7</v>
      </c>
      <c r="AR105" s="100"/>
    </row>
    <row r="106" spans="1:44" ht="13" x14ac:dyDescent="0.3">
      <c r="A106" s="1">
        <v>13</v>
      </c>
      <c r="B106" s="1">
        <v>91</v>
      </c>
      <c r="C106" s="4">
        <f t="shared" si="68"/>
        <v>1.1987797738900001</v>
      </c>
      <c r="D106" s="7">
        <f t="shared" si="48"/>
        <v>0</v>
      </c>
      <c r="E106" s="7">
        <f>IF(I$3=0,0,IF(OPFOKLEGHEN!$H$13="parallel geschakeld met warmtewisselaar",0,MIN(I$3,C106)))</f>
        <v>0</v>
      </c>
      <c r="F106" s="7">
        <f>IF(I$3=0,0,IF(OPFOKLEGHEN!$H$13="serie geschakeld met warmtewisselaar",0,IF(C106&lt;$I$3,C106-D106,MIN($I$3,C106-D106))))</f>
        <v>0</v>
      </c>
      <c r="G106" s="137">
        <f>IF(C106&lt;$I$7,MAX(0,C106-D106-E106-F106,IF(OPFOKLEGHEN!$H$15="warmtewisselaar",IF(OPFOKLEGHEN!$H$13="serie geschakeld met warmtewisselaar",MIN(I$7,MAX(0,C106-D106-F106)),MIN(I$7,MAX(0,C106-D106-E106-F106))))),IF(OPFOKLEGHEN!$H$13="parallel geschakeld met warmtewisselaar",MIN(I$7,C106-D106-E106-F106,MIN(I$7,C106-E106-F106)),MIN(I$7,MAX(0,C106-D106-F106))))</f>
        <v>0</v>
      </c>
      <c r="H106" s="7">
        <f>IF(OPFOKLEGHEN!$H$13="parallel geschakeld met warmtewisselaar",IF(OPFOKLEGHEN!$L$9="nee",IF(OPFOKLEGHEN!$J$18="ja",C106-F106-G106,C106-D106-F106-G106),IF(OPFOKLEGHEN!$L$9="ja",IF(OPFOKLEGHEN!$J$18="ja",C106-G106,IF(OPFOKLEGHEN!$J$18="nee",C106-D106-G106)))),IF(OPFOKLEGHEN!$H$13="serie geschakeld met warmtewisselaar",IF(OPFOKLEGHEN!$J$18="ja",C106-G106,C106-D106-F106-G106),C106-D106-F106-G106))</f>
        <v>1.1987797738900001</v>
      </c>
      <c r="I106" s="98">
        <f t="shared" si="49"/>
        <v>1.1987797738900001</v>
      </c>
      <c r="J106" s="99">
        <v>1.1108704277836907</v>
      </c>
      <c r="K106" s="6">
        <f t="shared" si="59"/>
        <v>11.665595642099076</v>
      </c>
      <c r="L106" s="130">
        <f>SUM(K$16:K106)/$K$137</f>
        <v>0.37668118145306412</v>
      </c>
      <c r="M106" s="6">
        <f t="shared" si="60"/>
        <v>0.12118369902180547</v>
      </c>
      <c r="N106" s="6">
        <f t="shared" si="53"/>
        <v>11.665595642099076</v>
      </c>
      <c r="O106" s="6">
        <f>IF(E106&lt;I$3,P106*(1-I$6*D106/C106),IF(OPFOKLEGHEN!$H$11="droogtunnel (platen) 55%",P106*(1-$I$6)+(C106-D106)/C106*(K106-P106*(1-I$6)),P106*(1-$I$6)+(C106-D106)/C106*(K106-P106*(1-I$6))))</f>
        <v>11.665595642099076</v>
      </c>
      <c r="P106" s="129">
        <f t="shared" si="54"/>
        <v>11.665595642099076</v>
      </c>
      <c r="Q106" s="134">
        <f t="shared" si="55"/>
        <v>11.665595642099076</v>
      </c>
      <c r="R106" s="134">
        <f t="shared" si="61"/>
        <v>11.665595642099076</v>
      </c>
      <c r="S106" s="199">
        <f>IF(G106&lt;0.1,K106,IF(C106=F106,S106/(1-I$4),IF(I$3=0,K106-(G106/C106)*K106*S$13,IF(OPFOKLEGHEN!$H$13="Parallel geschakeld met warmtewisselaar",K106-(K106-(K106-Q106)/I$4)*(G106/(C106-F106))*S$13,IF(OPFOKLEGHEN!$H$20="ja",K106-(K106-(K106-P106)/I$4)*(G106/(C106-MIN(D106,I$5)))*S$13,K106-(K106-(K106-P106)/I$4)*(G106/(C106-MIN(D106,I$5)))*S$13)))))</f>
        <v>11.665595642099076</v>
      </c>
      <c r="T106" s="17">
        <f t="shared" si="63"/>
        <v>11.665595642099076</v>
      </c>
      <c r="U106" s="6">
        <f t="shared" si="50"/>
        <v>0</v>
      </c>
      <c r="V106" s="129">
        <f>IF(OPFOKLEGHEN!$J$18="nee",H106/C106*K106,IF(OPFOKLEGHEN!$H$20="ja",O106-(K106-Q106)-(K106-S106),Q106-(K106-O106)-(K106-S106)))</f>
        <v>11.665595642099076</v>
      </c>
      <c r="W106" s="162">
        <f>IF(H106=0,0,IF(OPFOKLEGHEN!$H$11="geen droogtunnel",IF(OPFOKLEGHEN!$H$15="geen warmtewisselaar",Q106-(K106-R106)))+IF(OPFOKLEGHEN!$H$12&gt;0,IF(OPFOKLEGHEN!$H$13="serie geschakeld met warmtewisselaar",(O106*80%-(K106-S106)),(Q106-(K106-S106)-(K106-T106))),(N106-(K106-S106))))</f>
        <v>23.331191284198152</v>
      </c>
      <c r="X106" s="162">
        <f>IF(H106=0,0,IF(OPFOKLEGHEN!$H$11="geen droogtunnel",IF(OPFOKLEGHEN!$H$15="geen warmtewisselaar",Q106-(K106-R106)))+IF(OPFOKLEGHEN!$H$12&gt;0,IF(OPFOKLEGHEN!$H$13="serie geschakeld met warmtewisselaar",3*(O106*80%-(K106-S106)),(Q106-(K106-S106)-(K106-N106))),(N106-(K106-S106))))</f>
        <v>23.331191284198152</v>
      </c>
      <c r="Y106" s="162">
        <f>IF(H106=0,0,IF(OPFOKLEGHEN!$H$11="geen droogtunnel",IF(OPFOKLEGHEN!$H$15="geen warmtewisselaar",Q106-(K106-R106)))+IF(OPFOKLEGHEN!$H$12&gt;0,IF(OPFOKLEGHEN!$H$13="serie geschakeld met warmtewisselaar",(O106-(K106-S106)),IF(OPFOKLEGHEN!$H$13="parallel geschakeld met warmtewisselaar",IF(OPFOKLEGHEN!$L$9="ja",IF(OPFOKLEGHEN!$J$18="nee",(N106-(K106-Q106)-(K106-S106)),(Q106-(K106-N106/80%)))))),(O106-(K106-S106))))</f>
        <v>23.331191284198152</v>
      </c>
      <c r="Z106" s="130">
        <f t="shared" si="56"/>
        <v>1</v>
      </c>
      <c r="AA106" s="130"/>
      <c r="AB106" s="130"/>
      <c r="AC106" s="167">
        <f>IF(H106=0,0,IF(OPFOKLEGHEN!$H$11="geen droogtunnel",IF(OPFOKLEGHEN!$H$15="geen warmtewisselaar",(P106-(K106-R106)/R$13),K106-(K106-O106)/I$6-(K106-R106)/95%)+IF(OPFOKLEGHEN!$J$18="ja",(K106-O106)*(1-I$6)),IF(OPFOKLEGHEN!$H$12&gt;=0,IF(OPFOKLEGHEN!$L$9="ja",IF(OPFOKLEGHEN!$J$18="ja",IF(OPFOKLEGHEN!$H$20="ja",O106-(K106-S106),IF(OPFOKLEGHEN!$H$20="nee",(O106-(K106-S106)),(O106-(K106-S106)))),IF(OPFOKLEGHEN!$J$18="nee",IF(OPFOKLEGHEN!$H$20="nee",O106*80%-(K106-S106),0+O106-(K106-S106)))),IF(OPFOKLEGHEN!$L$9="nee",IF(OPFOKLEGHEN!$J$18="nee",IF(OPFOKLEGHEN!$H$20="nee",(O106*80%-(K106-S106)),O106*93%-(K106-S106)),IF(OPFOKLEGHEN!$H$20="nee",IF(OPFOKLEGHEN!$J$18="ja",IF(OPFOKLEGHEN!$L$9="nee",O106-(K106-S106))),O106-(K106-S106))))))))</f>
        <v>11.665595642099076</v>
      </c>
      <c r="AD106" s="167" t="e">
        <f>IF(H106=0,0,IF(OPFOKLEGHEN!$H$11="geen droogtunnel",IF(OPFOKLEGHEN!$H$15="geen warmtewisselaar",(Q106-(K106-R106)/S$13),N106-(K106-R106)),IF(OPFOKLEGHEN!$H$12&gt;=0,IF(OPFOKLEGHEN!$L$9="ja",IF(OPFOKLEGHEN!$J$18="ja",IF(OPFOKLEGHEN!$H$20="ja",Q106-(K106-N106)-(K106-S106),IF(OPFOKLEGHEN!$H$20="nee",(Q106-(K106-N106)-(K106-S106)),(O106-(K106-S106)))),IF(OPFOKLEGHEN!$J$18="nee",IF(OPFOKLEGHEN!$H$20="nee",1*Q106*$N$135-(K106-N106)-(K106-S106),(Q106-(K106-N106)-(K106-S106))*N$135))),IF(OPFOKLEGHEN!$L$9="nee",IF(OPFOKLEGHEN!$J$18="nee",IF(OPFOKLEGHEN!$H$20="nee",(N106*95%-(K106-Q106)/I$4-(K106-S106)),N106-(K106-Q106)/I$4-(K106-S106)),IF(OPFOKLEGHEN!$H$20="nee",IF(OPFOKLEGHEN!$J$18="ja",IF(OPFOKLEGHEN!$L$9="nee",N106-(K106-Q106)/I$4-(K106-S106))),N106-(K106-Q106)/I$4-(K106-S106))))))))</f>
        <v>#DIV/0!</v>
      </c>
      <c r="AE106" s="4"/>
      <c r="AF106" s="6"/>
      <c r="AG106" s="6"/>
      <c r="AH106" s="4"/>
      <c r="AI106" s="6"/>
      <c r="AJ106" s="6"/>
      <c r="AK106" s="4"/>
      <c r="AL106" s="6"/>
      <c r="AM106" s="1">
        <v>13</v>
      </c>
      <c r="AN106" s="1">
        <v>91</v>
      </c>
      <c r="AO106" s="5">
        <v>1060</v>
      </c>
      <c r="AP106" s="5">
        <v>950</v>
      </c>
      <c r="AQ106" s="5">
        <f t="shared" si="62"/>
        <v>1005</v>
      </c>
      <c r="AR106" s="100"/>
    </row>
    <row r="107" spans="1:44" ht="13" x14ac:dyDescent="0.3">
      <c r="A107" s="1">
        <v>14</v>
      </c>
      <c r="B107" s="1">
        <v>92</v>
      </c>
      <c r="C107" s="4">
        <f t="shared" si="68"/>
        <v>1.2147740073650739</v>
      </c>
      <c r="D107" s="7">
        <f t="shared" si="48"/>
        <v>0</v>
      </c>
      <c r="E107" s="7">
        <f>IF(I$3=0,0,IF(OPFOKLEGHEN!$H$13="parallel geschakeld met warmtewisselaar",0,MIN(I$3,C107)))</f>
        <v>0</v>
      </c>
      <c r="F107" s="7">
        <f>IF(I$3=0,0,IF(OPFOKLEGHEN!$H$13="serie geschakeld met warmtewisselaar",0,IF(C107&lt;$I$3,C107-D107,MIN($I$3,C107-D107))))</f>
        <v>0</v>
      </c>
      <c r="G107" s="137">
        <f>IF(C107&lt;$I$7,MAX(0,C107-D107-E107-F107,IF(OPFOKLEGHEN!$H$15="warmtewisselaar",IF(OPFOKLEGHEN!$H$13="serie geschakeld met warmtewisselaar",MIN(I$7,MAX(0,C107-D107-F107)),MIN(I$7,MAX(0,C107-D107-E107-F107))))),IF(OPFOKLEGHEN!$H$13="parallel geschakeld met warmtewisselaar",MIN(I$7,C107-D107-E107-F107,MIN(I$7,C107-E107-F107)),MIN(I$7,MAX(0,C107-D107-F107))))</f>
        <v>0</v>
      </c>
      <c r="H107" s="7">
        <f>IF(OPFOKLEGHEN!$H$13="parallel geschakeld met warmtewisselaar",IF(OPFOKLEGHEN!$L$9="nee",IF(OPFOKLEGHEN!$J$18="ja",C107-F107-G107,C107-D107-F107-G107),IF(OPFOKLEGHEN!$L$9="ja",IF(OPFOKLEGHEN!$J$18="ja",C107-G107,IF(OPFOKLEGHEN!$J$18="nee",C107-D107-G107)))),IF(OPFOKLEGHEN!$H$13="serie geschakeld met warmtewisselaar",IF(OPFOKLEGHEN!$J$18="ja",C107-G107,C107-D107-F107-G107),C107-D107-F107-G107))</f>
        <v>1.2147740073650739</v>
      </c>
      <c r="I107" s="98">
        <f t="shared" si="49"/>
        <v>1.2147740073650739</v>
      </c>
      <c r="J107" s="99">
        <v>1.1314996504879373</v>
      </c>
      <c r="K107" s="6">
        <f t="shared" si="59"/>
        <v>12.040763355257409</v>
      </c>
      <c r="L107" s="130">
        <f>SUM(K$16:K107)/$K$137</f>
        <v>0.39078139839842591</v>
      </c>
      <c r="M107" s="6">
        <f t="shared" si="60"/>
        <v>0.12645550555749793</v>
      </c>
      <c r="N107" s="6">
        <f t="shared" si="53"/>
        <v>12.040763355257409</v>
      </c>
      <c r="O107" s="6">
        <f>IF(E107&lt;I$3,P107*(1-I$6*D107/C107),IF(OPFOKLEGHEN!$H$11="droogtunnel (platen) 55%",P107*(1-$I$6)+(C107-D107)/C107*(K107-P107*(1-I$6)),P107*(1-$I$6)+(C107-D107)/C107*(K107-P107*(1-I$6))))</f>
        <v>12.040763355257409</v>
      </c>
      <c r="P107" s="129">
        <f t="shared" si="54"/>
        <v>12.040763355257409</v>
      </c>
      <c r="Q107" s="134">
        <f t="shared" si="55"/>
        <v>12.040763355257409</v>
      </c>
      <c r="R107" s="134">
        <f t="shared" si="61"/>
        <v>12.040763355257409</v>
      </c>
      <c r="S107" s="199">
        <f>IF(G107&lt;0.1,K107,IF(C107=F107,S107/(1-I$4),IF(I$3=0,K107-(G107/C107)*K107*S$13,IF(OPFOKLEGHEN!$H$13="Parallel geschakeld met warmtewisselaar",K107-(K107-(K107-Q107)/I$4)*(G107/(C107-F107))*S$13,IF(OPFOKLEGHEN!$H$20="ja",K107-(K107-(K107-P107)/I$4)*(G107/(C107-MIN(D107,I$5)))*S$13,K107-(K107-(K107-P107)/I$4)*(G107/(C107-MIN(D107,I$5)))*S$13)))))</f>
        <v>12.040763355257409</v>
      </c>
      <c r="T107" s="17">
        <f t="shared" si="63"/>
        <v>12.040763355257409</v>
      </c>
      <c r="U107" s="6">
        <f t="shared" si="50"/>
        <v>0</v>
      </c>
      <c r="V107" s="129">
        <f>IF(OPFOKLEGHEN!$J$18="nee",H107/C107*K107,IF(OPFOKLEGHEN!$H$20="ja",O107-(K107-Q107)-(K107-S107),Q107-(K107-O107)-(K107-S107)))</f>
        <v>12.040763355257409</v>
      </c>
      <c r="W107" s="162">
        <f>IF(H107=0,0,IF(OPFOKLEGHEN!$H$11="geen droogtunnel",IF(OPFOKLEGHEN!$H$15="geen warmtewisselaar",Q107-(K107-R107)))+IF(OPFOKLEGHEN!$H$12&gt;0,IF(OPFOKLEGHEN!$H$13="serie geschakeld met warmtewisselaar",(O107*80%-(K107-S107)),(Q107-(K107-S107)-(K107-T107))),(N107-(K107-S107))))</f>
        <v>24.081526710514819</v>
      </c>
      <c r="X107" s="162">
        <f>IF(H107=0,0,IF(OPFOKLEGHEN!$H$11="geen droogtunnel",IF(OPFOKLEGHEN!$H$15="geen warmtewisselaar",Q107-(K107-R107)))+IF(OPFOKLEGHEN!$H$12&gt;0,IF(OPFOKLEGHEN!$H$13="serie geschakeld met warmtewisselaar",3*(O107*80%-(K107-S107)),(Q107-(K107-S107)-(K107-N107))),(N107-(K107-S107))))</f>
        <v>24.081526710514819</v>
      </c>
      <c r="Y107" s="162">
        <f>IF(H107=0,0,IF(OPFOKLEGHEN!$H$11="geen droogtunnel",IF(OPFOKLEGHEN!$H$15="geen warmtewisselaar",Q107-(K107-R107)))+IF(OPFOKLEGHEN!$H$12&gt;0,IF(OPFOKLEGHEN!$H$13="serie geschakeld met warmtewisselaar",(O107-(K107-S107)),IF(OPFOKLEGHEN!$H$13="parallel geschakeld met warmtewisselaar",IF(OPFOKLEGHEN!$L$9="ja",IF(OPFOKLEGHEN!$J$18="nee",(N107-(K107-Q107)-(K107-S107)),(Q107-(K107-N107/80%)))))),(O107-(K107-S107))))</f>
        <v>24.081526710514819</v>
      </c>
      <c r="Z107" s="130">
        <f t="shared" si="56"/>
        <v>1</v>
      </c>
      <c r="AA107" s="130"/>
      <c r="AB107" s="130"/>
      <c r="AC107" s="167">
        <f>IF(H107=0,0,IF(OPFOKLEGHEN!$H$11="geen droogtunnel",IF(OPFOKLEGHEN!$H$15="geen warmtewisselaar",(P107-(K107-R107)/R$13),K107-(K107-O107)/I$6-(K107-R107)/95%)+IF(OPFOKLEGHEN!$J$18="ja",(K107-O107)*(1-I$6)),IF(OPFOKLEGHEN!$H$12&gt;=0,IF(OPFOKLEGHEN!$L$9="ja",IF(OPFOKLEGHEN!$J$18="ja",IF(OPFOKLEGHEN!$H$20="ja",O107-(K107-S107),IF(OPFOKLEGHEN!$H$20="nee",(O107-(K107-S107)),(O107-(K107-S107)))),IF(OPFOKLEGHEN!$J$18="nee",IF(OPFOKLEGHEN!$H$20="nee",O107*80%-(K107-S107),0+O107-(K107-S107)))),IF(OPFOKLEGHEN!$L$9="nee",IF(OPFOKLEGHEN!$J$18="nee",IF(OPFOKLEGHEN!$H$20="nee",(O107*80%-(K107-S107)),O107*93%-(K107-S107)),IF(OPFOKLEGHEN!$H$20="nee",IF(OPFOKLEGHEN!$J$18="ja",IF(OPFOKLEGHEN!$L$9="nee",O107-(K107-S107))),O107-(K107-S107))))))))</f>
        <v>12.040763355257409</v>
      </c>
      <c r="AD107" s="167" t="e">
        <f>IF(H107=0,0,IF(OPFOKLEGHEN!$H$11="geen droogtunnel",IF(OPFOKLEGHEN!$H$15="geen warmtewisselaar",(Q107-(K107-R107)/S$13),N107-(K107-R107)),IF(OPFOKLEGHEN!$H$12&gt;=0,IF(OPFOKLEGHEN!$L$9="ja",IF(OPFOKLEGHEN!$J$18="ja",IF(OPFOKLEGHEN!$H$20="ja",Q107-(K107-N107)-(K107-S107),IF(OPFOKLEGHEN!$H$20="nee",(Q107-(K107-N107)-(K107-S107)),(O107-(K107-S107)))),IF(OPFOKLEGHEN!$J$18="nee",IF(OPFOKLEGHEN!$H$20="nee",1*Q107*$N$135-(K107-N107)-(K107-S107),(Q107-(K107-N107)-(K107-S107))*N$135))),IF(OPFOKLEGHEN!$L$9="nee",IF(OPFOKLEGHEN!$J$18="nee",IF(OPFOKLEGHEN!$H$20="nee",(N107*95%-(K107-Q107)/I$4-(K107-S107)),N107-(K107-Q107)/I$4-(K107-S107)),IF(OPFOKLEGHEN!$H$20="nee",IF(OPFOKLEGHEN!$J$18="ja",IF(OPFOKLEGHEN!$L$9="nee",N107-(K107-Q107)/I$4-(K107-S107))),N107-(K107-Q107)/I$4-(K107-S107))))))))</f>
        <v>#DIV/0!</v>
      </c>
      <c r="AE107" s="4"/>
      <c r="AF107" s="6"/>
      <c r="AG107" s="6"/>
      <c r="AH107" s="4"/>
      <c r="AI107" s="6"/>
      <c r="AJ107" s="6"/>
      <c r="AK107" s="4"/>
      <c r="AL107" s="6"/>
      <c r="AM107" s="1">
        <v>14</v>
      </c>
      <c r="AN107" s="1">
        <v>92</v>
      </c>
      <c r="AO107" s="5">
        <f t="shared" ref="AO107:AO112" si="71">AO106+11.4</f>
        <v>1071.4000000000001</v>
      </c>
      <c r="AP107" s="5">
        <f t="shared" ref="AP107:AP112" si="72">AP106+9.3</f>
        <v>959.3</v>
      </c>
      <c r="AQ107" s="5">
        <f t="shared" si="62"/>
        <v>1015.35</v>
      </c>
      <c r="AR107" s="100"/>
    </row>
    <row r="108" spans="1:44" ht="13" x14ac:dyDescent="0.3">
      <c r="A108" s="1">
        <v>14</v>
      </c>
      <c r="B108" s="1">
        <v>93</v>
      </c>
      <c r="C108" s="4">
        <f t="shared" si="68"/>
        <v>1.230945554115652</v>
      </c>
      <c r="D108" s="7">
        <f t="shared" si="48"/>
        <v>0</v>
      </c>
      <c r="E108" s="7">
        <f>IF(I$3=0,0,IF(OPFOKLEGHEN!$H$13="parallel geschakeld met warmtewisselaar",0,MIN(I$3,C108)))</f>
        <v>0</v>
      </c>
      <c r="F108" s="7">
        <f>IF(I$3=0,0,IF(OPFOKLEGHEN!$H$13="serie geschakeld met warmtewisselaar",0,IF(C108&lt;$I$3,C108-D108,MIN($I$3,C108-D108))))</f>
        <v>0</v>
      </c>
      <c r="G108" s="137">
        <f>IF(C108&lt;$I$7,MAX(0,C108-D108-E108-F108,IF(OPFOKLEGHEN!$H$15="warmtewisselaar",IF(OPFOKLEGHEN!$H$13="serie geschakeld met warmtewisselaar",MIN(I$7,MAX(0,C108-D108-F108)),MIN(I$7,MAX(0,C108-D108-E108-F108))))),IF(OPFOKLEGHEN!$H$13="parallel geschakeld met warmtewisselaar",MIN(I$7,C108-D108-E108-F108,MIN(I$7,C108-E108-F108)),MIN(I$7,MAX(0,C108-D108-F108))))</f>
        <v>0</v>
      </c>
      <c r="H108" s="7">
        <f>IF(OPFOKLEGHEN!$H$13="parallel geschakeld met warmtewisselaar",IF(OPFOKLEGHEN!$L$9="nee",IF(OPFOKLEGHEN!$J$18="ja",C108-F108-G108,C108-D108-F108-G108),IF(OPFOKLEGHEN!$L$9="ja",IF(OPFOKLEGHEN!$J$18="ja",C108-G108,IF(OPFOKLEGHEN!$J$18="nee",C108-D108-G108)))),IF(OPFOKLEGHEN!$H$13="serie geschakeld met warmtewisselaar",IF(OPFOKLEGHEN!$J$18="ja",C108-G108,C108-D108-F108-G108),C108-D108-F108-G108))</f>
        <v>1.230945554115652</v>
      </c>
      <c r="I108" s="98">
        <f t="shared" si="49"/>
        <v>1.230945554115652</v>
      </c>
      <c r="J108" s="99">
        <v>1.1525119645219535</v>
      </c>
      <c r="K108" s="6">
        <f t="shared" si="59"/>
        <v>12.42763223423014</v>
      </c>
      <c r="L108" s="130">
        <f>SUM(K$16:K108)/$K$137</f>
        <v>0.4053346543216314</v>
      </c>
      <c r="M108" s="6">
        <f t="shared" si="60"/>
        <v>0.13193719152778571</v>
      </c>
      <c r="N108" s="6">
        <f t="shared" si="53"/>
        <v>12.42763223423014</v>
      </c>
      <c r="O108" s="6">
        <f>IF(E108&lt;I$3,P108*(1-I$6*D108/C108),IF(OPFOKLEGHEN!$H$11="droogtunnel (platen) 55%",P108*(1-$I$6)+(C108-D108)/C108*(K108-P108*(1-I$6)),P108*(1-$I$6)+(C108-D108)/C108*(K108-P108*(1-I$6))))</f>
        <v>12.42763223423014</v>
      </c>
      <c r="P108" s="129">
        <f t="shared" si="54"/>
        <v>12.42763223423014</v>
      </c>
      <c r="Q108" s="134">
        <f t="shared" si="55"/>
        <v>12.42763223423014</v>
      </c>
      <c r="R108" s="134">
        <f t="shared" si="61"/>
        <v>12.42763223423014</v>
      </c>
      <c r="S108" s="199">
        <f>IF(G108&lt;0.1,K108,IF(C108=F108,S108/(1-I$4),IF(I$3=0,K108-(G108/C108)*K108*S$13,IF(OPFOKLEGHEN!$H$13="Parallel geschakeld met warmtewisselaar",K108-(K108-(K108-Q108)/I$4)*(G108/(C108-F108))*S$13,IF(OPFOKLEGHEN!$H$20="ja",K108-(K108-(K108-P108)/I$4)*(G108/(C108-MIN(D108,I$5)))*S$13,K108-(K108-(K108-P108)/I$4)*(G108/(C108-MIN(D108,I$5)))*S$13)))))</f>
        <v>12.42763223423014</v>
      </c>
      <c r="T108" s="17">
        <f t="shared" si="63"/>
        <v>12.42763223423014</v>
      </c>
      <c r="U108" s="6">
        <f t="shared" si="50"/>
        <v>0</v>
      </c>
      <c r="V108" s="129">
        <f>IF(OPFOKLEGHEN!$J$18="nee",H108/C108*K108,IF(OPFOKLEGHEN!$H$20="ja",O108-(K108-Q108)-(K108-S108),Q108-(K108-O108)-(K108-S108)))</f>
        <v>12.42763223423014</v>
      </c>
      <c r="W108" s="162">
        <f>IF(H108=0,0,IF(OPFOKLEGHEN!$H$11="geen droogtunnel",IF(OPFOKLEGHEN!$H$15="geen warmtewisselaar",Q108-(K108-R108)))+IF(OPFOKLEGHEN!$H$12&gt;0,IF(OPFOKLEGHEN!$H$13="serie geschakeld met warmtewisselaar",(O108*80%-(K108-S108)),(Q108-(K108-S108)-(K108-T108))),(N108-(K108-S108))))</f>
        <v>24.85526446846028</v>
      </c>
      <c r="X108" s="162">
        <f>IF(H108=0,0,IF(OPFOKLEGHEN!$H$11="geen droogtunnel",IF(OPFOKLEGHEN!$H$15="geen warmtewisselaar",Q108-(K108-R108)))+IF(OPFOKLEGHEN!$H$12&gt;0,IF(OPFOKLEGHEN!$H$13="serie geschakeld met warmtewisselaar",3*(O108*80%-(K108-S108)),(Q108-(K108-S108)-(K108-N108))),(N108-(K108-S108))))</f>
        <v>24.85526446846028</v>
      </c>
      <c r="Y108" s="162">
        <f>IF(H108=0,0,IF(OPFOKLEGHEN!$H$11="geen droogtunnel",IF(OPFOKLEGHEN!$H$15="geen warmtewisselaar",Q108-(K108-R108)))+IF(OPFOKLEGHEN!$H$12&gt;0,IF(OPFOKLEGHEN!$H$13="serie geschakeld met warmtewisselaar",(O108-(K108-S108)),IF(OPFOKLEGHEN!$H$13="parallel geschakeld met warmtewisselaar",IF(OPFOKLEGHEN!$L$9="ja",IF(OPFOKLEGHEN!$J$18="nee",(N108-(K108-Q108)-(K108-S108)),(Q108-(K108-N108/80%)))))),(O108-(K108-S108))))</f>
        <v>24.85526446846028</v>
      </c>
      <c r="Z108" s="130">
        <f t="shared" si="56"/>
        <v>1</v>
      </c>
      <c r="AA108" s="130"/>
      <c r="AB108" s="130"/>
      <c r="AC108" s="167">
        <f>IF(H108=0,0,IF(OPFOKLEGHEN!$H$11="geen droogtunnel",IF(OPFOKLEGHEN!$H$15="geen warmtewisselaar",(P108-(K108-R108)/R$13),K108-(K108-O108)/I$6-(K108-R108)/95%)+IF(OPFOKLEGHEN!$J$18="ja",(K108-O108)*(1-I$6)),IF(OPFOKLEGHEN!$H$12&gt;=0,IF(OPFOKLEGHEN!$L$9="ja",IF(OPFOKLEGHEN!$J$18="ja",IF(OPFOKLEGHEN!$H$20="ja",O108-(K108-S108),IF(OPFOKLEGHEN!$H$20="nee",(O108-(K108-S108)),(O108-(K108-S108)))),IF(OPFOKLEGHEN!$J$18="nee",IF(OPFOKLEGHEN!$H$20="nee",O108*80%-(K108-S108),0+O108-(K108-S108)))),IF(OPFOKLEGHEN!$L$9="nee",IF(OPFOKLEGHEN!$J$18="nee",IF(OPFOKLEGHEN!$H$20="nee",(O108*80%-(K108-S108)),O108*93%-(K108-S108)),IF(OPFOKLEGHEN!$H$20="nee",IF(OPFOKLEGHEN!$J$18="ja",IF(OPFOKLEGHEN!$L$9="nee",O108-(K108-S108))),O108-(K108-S108))))))))</f>
        <v>12.42763223423014</v>
      </c>
      <c r="AD108" s="167" t="e">
        <f>IF(H108=0,0,IF(OPFOKLEGHEN!$H$11="geen droogtunnel",IF(OPFOKLEGHEN!$H$15="geen warmtewisselaar",(Q108-(K108-R108)/S$13),N108-(K108-R108)),IF(OPFOKLEGHEN!$H$12&gt;=0,IF(OPFOKLEGHEN!$L$9="ja",IF(OPFOKLEGHEN!$J$18="ja",IF(OPFOKLEGHEN!$H$20="ja",Q108-(K108-N108)-(K108-S108),IF(OPFOKLEGHEN!$H$20="nee",(Q108-(K108-N108)-(K108-S108)),(O108-(K108-S108)))),IF(OPFOKLEGHEN!$J$18="nee",IF(OPFOKLEGHEN!$H$20="nee",1*Q108*$N$135-(K108-N108)-(K108-S108),(Q108-(K108-N108)-(K108-S108))*N$135))),IF(OPFOKLEGHEN!$L$9="nee",IF(OPFOKLEGHEN!$J$18="nee",IF(OPFOKLEGHEN!$H$20="nee",(N108*95%-(K108-Q108)/I$4-(K108-S108)),N108-(K108-Q108)/I$4-(K108-S108)),IF(OPFOKLEGHEN!$H$20="nee",IF(OPFOKLEGHEN!$J$18="ja",IF(OPFOKLEGHEN!$L$9="nee",N108-(K108-Q108)/I$4-(K108-S108))),N108-(K108-Q108)/I$4-(K108-S108))))))))</f>
        <v>#DIV/0!</v>
      </c>
      <c r="AE108" s="4"/>
      <c r="AF108" s="6"/>
      <c r="AG108" s="6"/>
      <c r="AH108" s="4"/>
      <c r="AI108" s="6"/>
      <c r="AJ108" s="6"/>
      <c r="AK108" s="4"/>
      <c r="AL108" s="6"/>
      <c r="AM108" s="1">
        <v>14</v>
      </c>
      <c r="AN108" s="1">
        <v>93</v>
      </c>
      <c r="AO108" s="5">
        <f t="shared" si="71"/>
        <v>1082.8000000000002</v>
      </c>
      <c r="AP108" s="5">
        <f t="shared" si="72"/>
        <v>968.59999999999991</v>
      </c>
      <c r="AQ108" s="5">
        <f t="shared" si="62"/>
        <v>1025.7</v>
      </c>
      <c r="AR108" s="100"/>
    </row>
    <row r="109" spans="1:44" ht="13" x14ac:dyDescent="0.3">
      <c r="A109" s="1">
        <v>14</v>
      </c>
      <c r="B109" s="1">
        <v>94</v>
      </c>
      <c r="C109" s="4">
        <f t="shared" si="68"/>
        <v>1.2472969686277182</v>
      </c>
      <c r="D109" s="7">
        <f t="shared" si="48"/>
        <v>0</v>
      </c>
      <c r="E109" s="7">
        <f>IF(I$3=0,0,IF(OPFOKLEGHEN!$H$13="parallel geschakeld met warmtewisselaar",0,MIN(I$3,C109)))</f>
        <v>0</v>
      </c>
      <c r="F109" s="7">
        <f>IF(I$3=0,0,IF(OPFOKLEGHEN!$H$13="serie geschakeld met warmtewisselaar",0,IF(C109&lt;$I$3,C109-D109,MIN($I$3,C109-D109))))</f>
        <v>0</v>
      </c>
      <c r="G109" s="137">
        <f>IF(C109&lt;$I$7,MAX(0,C109-D109-E109-F109,IF(OPFOKLEGHEN!$H$15="warmtewisselaar",IF(OPFOKLEGHEN!$H$13="serie geschakeld met warmtewisselaar",MIN(I$7,MAX(0,C109-D109-F109)),MIN(I$7,MAX(0,C109-D109-E109-F109))))),IF(OPFOKLEGHEN!$H$13="parallel geschakeld met warmtewisselaar",MIN(I$7,C109-D109-E109-F109,MIN(I$7,C109-E109-F109)),MIN(I$7,MAX(0,C109-D109-F109))))</f>
        <v>0</v>
      </c>
      <c r="H109" s="7">
        <f>IF(OPFOKLEGHEN!$H$13="parallel geschakeld met warmtewisselaar",IF(OPFOKLEGHEN!$L$9="nee",IF(OPFOKLEGHEN!$J$18="ja",C109-F109-G109,C109-D109-F109-G109),IF(OPFOKLEGHEN!$L$9="ja",IF(OPFOKLEGHEN!$J$18="ja",C109-G109,IF(OPFOKLEGHEN!$J$18="nee",C109-D109-G109)))),IF(OPFOKLEGHEN!$H$13="serie geschakeld met warmtewisselaar",IF(OPFOKLEGHEN!$J$18="ja",C109-G109,C109-D109-F109-G109),C109-D109-F109-G109))</f>
        <v>1.2472969686277182</v>
      </c>
      <c r="I109" s="98">
        <f t="shared" si="49"/>
        <v>1.2472969686277182</v>
      </c>
      <c r="J109" s="99">
        <v>1.1739144840154885</v>
      </c>
      <c r="K109" s="6">
        <f t="shared" si="59"/>
        <v>12.826567001504452</v>
      </c>
      <c r="L109" s="130">
        <f>SUM(K$16:K109)/$K$137</f>
        <v>0.42035507886194612</v>
      </c>
      <c r="M109" s="6">
        <f t="shared" si="60"/>
        <v>0.13763667787002495</v>
      </c>
      <c r="N109" s="6">
        <f t="shared" si="53"/>
        <v>12.826567001504452</v>
      </c>
      <c r="O109" s="6">
        <f>IF(E109&lt;I$3,P109*(1-I$6*D109/C109),IF(OPFOKLEGHEN!$H$11="droogtunnel (platen) 55%",P109*(1-$I$6)+(C109-D109)/C109*(K109-P109*(1-I$6)),P109*(1-$I$6)+(C109-D109)/C109*(K109-P109*(1-I$6))))</f>
        <v>12.826567001504452</v>
      </c>
      <c r="P109" s="129">
        <f t="shared" si="54"/>
        <v>12.826567001504452</v>
      </c>
      <c r="Q109" s="134">
        <f t="shared" si="55"/>
        <v>12.826567001504452</v>
      </c>
      <c r="R109" s="134">
        <f t="shared" si="61"/>
        <v>12.826567001504452</v>
      </c>
      <c r="S109" s="199">
        <f>IF(G109&lt;0.1,K109,IF(C109=F109,S109/(1-I$4),IF(I$3=0,K109-(G109/C109)*K109*S$13,IF(OPFOKLEGHEN!$H$13="Parallel geschakeld met warmtewisselaar",K109-(K109-(K109-Q109)/I$4)*(G109/(C109-F109))*S$13,IF(OPFOKLEGHEN!$H$20="ja",K109-(K109-(K109-P109)/I$4)*(G109/(C109-MIN(D109,I$5)))*S$13,K109-(K109-(K109-P109)/I$4)*(G109/(C109-MIN(D109,I$5)))*S$13)))))</f>
        <v>12.826567001504452</v>
      </c>
      <c r="T109" s="17">
        <f t="shared" si="63"/>
        <v>12.826567001504452</v>
      </c>
      <c r="U109" s="6">
        <f t="shared" si="50"/>
        <v>0</v>
      </c>
      <c r="V109" s="129">
        <f>IF(OPFOKLEGHEN!$J$18="nee",H109/C109*K109,IF(OPFOKLEGHEN!$H$20="ja",O109-(K109-Q109)-(K109-S109),Q109-(K109-O109)-(K109-S109)))</f>
        <v>12.826567001504452</v>
      </c>
      <c r="W109" s="162">
        <f>IF(H109=0,0,IF(OPFOKLEGHEN!$H$11="geen droogtunnel",IF(OPFOKLEGHEN!$H$15="geen warmtewisselaar",Q109-(K109-R109)))+IF(OPFOKLEGHEN!$H$12&gt;0,IF(OPFOKLEGHEN!$H$13="serie geschakeld met warmtewisselaar",(O109*80%-(K109-S109)),(Q109-(K109-S109)-(K109-T109))),(N109-(K109-S109))))</f>
        <v>25.653134003008905</v>
      </c>
      <c r="X109" s="162">
        <f>IF(H109=0,0,IF(OPFOKLEGHEN!$H$11="geen droogtunnel",IF(OPFOKLEGHEN!$H$15="geen warmtewisselaar",Q109-(K109-R109)))+IF(OPFOKLEGHEN!$H$12&gt;0,IF(OPFOKLEGHEN!$H$13="serie geschakeld met warmtewisselaar",3*(O109*80%-(K109-S109)),(Q109-(K109-S109)-(K109-N109))),(N109-(K109-S109))))</f>
        <v>25.653134003008905</v>
      </c>
      <c r="Y109" s="162">
        <f>IF(H109=0,0,IF(OPFOKLEGHEN!$H$11="geen droogtunnel",IF(OPFOKLEGHEN!$H$15="geen warmtewisselaar",Q109-(K109-R109)))+IF(OPFOKLEGHEN!$H$12&gt;0,IF(OPFOKLEGHEN!$H$13="serie geschakeld met warmtewisselaar",(O109-(K109-S109)),IF(OPFOKLEGHEN!$H$13="parallel geschakeld met warmtewisselaar",IF(OPFOKLEGHEN!$L$9="ja",IF(OPFOKLEGHEN!$J$18="nee",(N109-(K109-Q109)-(K109-S109)),(Q109-(K109-N109/80%)))))),(O109-(K109-S109))))</f>
        <v>25.653134003008905</v>
      </c>
      <c r="Z109" s="130">
        <f t="shared" si="56"/>
        <v>1</v>
      </c>
      <c r="AA109" s="130"/>
      <c r="AB109" s="130"/>
      <c r="AC109" s="167">
        <f>IF(H109=0,0,IF(OPFOKLEGHEN!$H$11="geen droogtunnel",IF(OPFOKLEGHEN!$H$15="geen warmtewisselaar",(P109-(K109-R109)/R$13),K109-(K109-O109)/I$6-(K109-R109)/95%)+IF(OPFOKLEGHEN!$J$18="ja",(K109-O109)*(1-I$6)),IF(OPFOKLEGHEN!$H$12&gt;=0,IF(OPFOKLEGHEN!$L$9="ja",IF(OPFOKLEGHEN!$J$18="ja",IF(OPFOKLEGHEN!$H$20="ja",O109-(K109-S109),IF(OPFOKLEGHEN!$H$20="nee",(O109-(K109-S109)),(O109-(K109-S109)))),IF(OPFOKLEGHEN!$J$18="nee",IF(OPFOKLEGHEN!$H$20="nee",O109*80%-(K109-S109),0+O109-(K109-S109)))),IF(OPFOKLEGHEN!$L$9="nee",IF(OPFOKLEGHEN!$J$18="nee",IF(OPFOKLEGHEN!$H$20="nee",(O109*80%-(K109-S109)),O109*93%-(K109-S109)),IF(OPFOKLEGHEN!$H$20="nee",IF(OPFOKLEGHEN!$J$18="ja",IF(OPFOKLEGHEN!$L$9="nee",O109-(K109-S109))),O109-(K109-S109))))))))</f>
        <v>12.826567001504452</v>
      </c>
      <c r="AD109" s="167" t="e">
        <f>IF(H109=0,0,IF(OPFOKLEGHEN!$H$11="geen droogtunnel",IF(OPFOKLEGHEN!$H$15="geen warmtewisselaar",(Q109-(K109-R109)/S$13),N109-(K109-R109)),IF(OPFOKLEGHEN!$H$12&gt;=0,IF(OPFOKLEGHEN!$L$9="ja",IF(OPFOKLEGHEN!$J$18="ja",IF(OPFOKLEGHEN!$H$20="ja",Q109-(K109-N109)-(K109-S109),IF(OPFOKLEGHEN!$H$20="nee",(Q109-(K109-N109)-(K109-S109)),(O109-(K109-S109)))),IF(OPFOKLEGHEN!$J$18="nee",IF(OPFOKLEGHEN!$H$20="nee",1*Q109*$N$135-(K109-N109)-(K109-S109),(Q109-(K109-N109)-(K109-S109))*N$135))),IF(OPFOKLEGHEN!$L$9="nee",IF(OPFOKLEGHEN!$J$18="nee",IF(OPFOKLEGHEN!$H$20="nee",(N109*95%-(K109-Q109)/I$4-(K109-S109)),N109-(K109-Q109)/I$4-(K109-S109)),IF(OPFOKLEGHEN!$H$20="nee",IF(OPFOKLEGHEN!$J$18="ja",IF(OPFOKLEGHEN!$L$9="nee",N109-(K109-Q109)/I$4-(K109-S109))),N109-(K109-Q109)/I$4-(K109-S109))))))))</f>
        <v>#DIV/0!</v>
      </c>
      <c r="AE109" s="4"/>
      <c r="AF109" s="6"/>
      <c r="AG109" s="6"/>
      <c r="AH109" s="4"/>
      <c r="AI109" s="6"/>
      <c r="AJ109" s="6"/>
      <c r="AK109" s="4"/>
      <c r="AL109" s="6"/>
      <c r="AM109" s="1">
        <v>14</v>
      </c>
      <c r="AN109" s="1">
        <v>94</v>
      </c>
      <c r="AO109" s="5">
        <f t="shared" si="71"/>
        <v>1094.2000000000003</v>
      </c>
      <c r="AP109" s="5">
        <f t="shared" si="72"/>
        <v>977.89999999999986</v>
      </c>
      <c r="AQ109" s="5">
        <f t="shared" si="62"/>
        <v>1036.0500000000002</v>
      </c>
      <c r="AR109" s="100"/>
    </row>
    <row r="110" spans="1:44" ht="13" x14ac:dyDescent="0.3">
      <c r="A110" s="1">
        <v>14</v>
      </c>
      <c r="B110" s="1">
        <v>95</v>
      </c>
      <c r="C110" s="4">
        <f t="shared" si="68"/>
        <v>1.263830805387256</v>
      </c>
      <c r="D110" s="7">
        <f t="shared" si="48"/>
        <v>0</v>
      </c>
      <c r="E110" s="7">
        <f>IF(I$3=0,0,IF(OPFOKLEGHEN!$H$13="parallel geschakeld met warmtewisselaar",0,MIN(I$3,C110)))</f>
        <v>0</v>
      </c>
      <c r="F110" s="7">
        <f>IF(I$3=0,0,IF(OPFOKLEGHEN!$H$13="serie geschakeld met warmtewisselaar",0,IF(C110&lt;$I$3,C110-D110,MIN($I$3,C110-D110))))</f>
        <v>0</v>
      </c>
      <c r="G110" s="137">
        <f>IF(C110&lt;$I$7,MAX(0,C110-D110-E110-F110,IF(OPFOKLEGHEN!$H$15="warmtewisselaar",IF(OPFOKLEGHEN!$H$13="serie geschakeld met warmtewisselaar",MIN(I$7,MAX(0,C110-D110-F110)),MIN(I$7,MAX(0,C110-D110-E110-F110))))),IF(OPFOKLEGHEN!$H$13="parallel geschakeld met warmtewisselaar",MIN(I$7,C110-D110-E110-F110,MIN(I$7,C110-E110-F110)),MIN(I$7,MAX(0,C110-D110-F110))))</f>
        <v>0</v>
      </c>
      <c r="H110" s="7">
        <f>IF(OPFOKLEGHEN!$H$13="parallel geschakeld met warmtewisselaar",IF(OPFOKLEGHEN!$L$9="nee",IF(OPFOKLEGHEN!$J$18="ja",C110-F110-G110,C110-D110-F110-G110),IF(OPFOKLEGHEN!$L$9="ja",IF(OPFOKLEGHEN!$J$18="ja",C110-G110,IF(OPFOKLEGHEN!$J$18="nee",C110-D110-G110)))),IF(OPFOKLEGHEN!$H$13="serie geschakeld met warmtewisselaar",IF(OPFOKLEGHEN!$J$18="ja",C110-G110,C110-D110-F110-G110),C110-D110-F110-G110))</f>
        <v>1.263830805387256</v>
      </c>
      <c r="I110" s="98">
        <f t="shared" si="49"/>
        <v>1.263830805387256</v>
      </c>
      <c r="J110" s="99">
        <v>1.1957144552099792</v>
      </c>
      <c r="K110" s="6">
        <f t="shared" si="59"/>
        <v>13.237943483365017</v>
      </c>
      <c r="L110" s="130">
        <f>SUM(K$16:K110)/$K$137</f>
        <v>0.43585724176629254</v>
      </c>
      <c r="M110" s="6">
        <f t="shared" si="60"/>
        <v>0.14356217247941513</v>
      </c>
      <c r="N110" s="6">
        <f t="shared" si="53"/>
        <v>13.237943483365017</v>
      </c>
      <c r="O110" s="6">
        <f>IF(E110&lt;I$3,P110*(1-I$6*D110/C110),IF(OPFOKLEGHEN!$H$11="droogtunnel (platen) 55%",P110*(1-$I$6)+(C110-D110)/C110*(K110-P110*(1-I$6)),P110*(1-$I$6)+(C110-D110)/C110*(K110-P110*(1-I$6))))</f>
        <v>13.237943483365017</v>
      </c>
      <c r="P110" s="129">
        <f t="shared" si="54"/>
        <v>13.237943483365017</v>
      </c>
      <c r="Q110" s="134">
        <f t="shared" si="55"/>
        <v>13.237943483365017</v>
      </c>
      <c r="R110" s="134">
        <f t="shared" si="61"/>
        <v>13.237943483365017</v>
      </c>
      <c r="S110" s="199">
        <f>IF(G110&lt;0.1,K110,IF(C110=F110,S110/(1-I$4),IF(I$3=0,K110-(G110/C110)*K110*S$13,IF(OPFOKLEGHEN!$H$13="Parallel geschakeld met warmtewisselaar",K110-(K110-(K110-Q110)/I$4)*(G110/(C110-F110))*S$13,IF(OPFOKLEGHEN!$H$20="ja",K110-(K110-(K110-P110)/I$4)*(G110/(C110-MIN(D110,I$5)))*S$13,K110-(K110-(K110-P110)/I$4)*(G110/(C110-MIN(D110,I$5)))*S$13)))))</f>
        <v>13.237943483365017</v>
      </c>
      <c r="T110" s="17">
        <f t="shared" si="63"/>
        <v>13.237943483365017</v>
      </c>
      <c r="U110" s="6">
        <f t="shared" si="50"/>
        <v>0</v>
      </c>
      <c r="V110" s="129">
        <f>IF(OPFOKLEGHEN!$J$18="nee",H110/C110*K110,IF(OPFOKLEGHEN!$H$20="ja",O110-(K110-Q110)-(K110-S110),Q110-(K110-O110)-(K110-S110)))</f>
        <v>13.237943483365017</v>
      </c>
      <c r="W110" s="162">
        <f>IF(H110=0,0,IF(OPFOKLEGHEN!$H$11="geen droogtunnel",IF(OPFOKLEGHEN!$H$15="geen warmtewisselaar",Q110-(K110-R110)))+IF(OPFOKLEGHEN!$H$12&gt;0,IF(OPFOKLEGHEN!$H$13="serie geschakeld met warmtewisselaar",(O110*80%-(K110-S110)),(Q110-(K110-S110)-(K110-T110))),(N110-(K110-S110))))</f>
        <v>26.475886966730034</v>
      </c>
      <c r="X110" s="162">
        <f>IF(H110=0,0,IF(OPFOKLEGHEN!$H$11="geen droogtunnel",IF(OPFOKLEGHEN!$H$15="geen warmtewisselaar",Q110-(K110-R110)))+IF(OPFOKLEGHEN!$H$12&gt;0,IF(OPFOKLEGHEN!$H$13="serie geschakeld met warmtewisselaar",3*(O110*80%-(K110-S110)),(Q110-(K110-S110)-(K110-N110))),(N110-(K110-S110))))</f>
        <v>26.475886966730034</v>
      </c>
      <c r="Y110" s="162">
        <f>IF(H110=0,0,IF(OPFOKLEGHEN!$H$11="geen droogtunnel",IF(OPFOKLEGHEN!$H$15="geen warmtewisselaar",Q110-(K110-R110)))+IF(OPFOKLEGHEN!$H$12&gt;0,IF(OPFOKLEGHEN!$H$13="serie geschakeld met warmtewisselaar",(O110-(K110-S110)),IF(OPFOKLEGHEN!$H$13="parallel geschakeld met warmtewisselaar",IF(OPFOKLEGHEN!$L$9="ja",IF(OPFOKLEGHEN!$J$18="nee",(N110-(K110-Q110)-(K110-S110)),(Q110-(K110-N110/80%)))))),(O110-(K110-S110))))</f>
        <v>26.475886966730034</v>
      </c>
      <c r="Z110" s="130">
        <f t="shared" si="56"/>
        <v>1</v>
      </c>
      <c r="AA110" s="130"/>
      <c r="AB110" s="130"/>
      <c r="AC110" s="167">
        <f>IF(H110=0,0,IF(OPFOKLEGHEN!$H$11="geen droogtunnel",IF(OPFOKLEGHEN!$H$15="geen warmtewisselaar",(P110-(K110-R110)/R$13),K110-(K110-O110)/I$6-(K110-R110)/95%)+IF(OPFOKLEGHEN!$J$18="ja",(K110-O110)*(1-I$6)),IF(OPFOKLEGHEN!$H$12&gt;=0,IF(OPFOKLEGHEN!$L$9="ja",IF(OPFOKLEGHEN!$J$18="ja",IF(OPFOKLEGHEN!$H$20="ja",O110-(K110-S110),IF(OPFOKLEGHEN!$H$20="nee",(O110-(K110-S110)),(O110-(K110-S110)))),IF(OPFOKLEGHEN!$J$18="nee",IF(OPFOKLEGHEN!$H$20="nee",O110*80%-(K110-S110),0+O110-(K110-S110)))),IF(OPFOKLEGHEN!$L$9="nee",IF(OPFOKLEGHEN!$J$18="nee",IF(OPFOKLEGHEN!$H$20="nee",(O110*80%-(K110-S110)),O110*93%-(K110-S110)),IF(OPFOKLEGHEN!$H$20="nee",IF(OPFOKLEGHEN!$J$18="ja",IF(OPFOKLEGHEN!$L$9="nee",O110-(K110-S110))),O110-(K110-S110))))))))</f>
        <v>13.237943483365017</v>
      </c>
      <c r="AD110" s="167" t="e">
        <f>IF(H110=0,0,IF(OPFOKLEGHEN!$H$11="geen droogtunnel",IF(OPFOKLEGHEN!$H$15="geen warmtewisselaar",(Q110-(K110-R110)/S$13),N110-(K110-R110)),IF(OPFOKLEGHEN!$H$12&gt;=0,IF(OPFOKLEGHEN!$L$9="ja",IF(OPFOKLEGHEN!$J$18="ja",IF(OPFOKLEGHEN!$H$20="ja",Q110-(K110-N110)-(K110-S110),IF(OPFOKLEGHEN!$H$20="nee",(Q110-(K110-N110)-(K110-S110)),(O110-(K110-S110)))),IF(OPFOKLEGHEN!$J$18="nee",IF(OPFOKLEGHEN!$H$20="nee",1*Q110*$N$135-(K110-N110)-(K110-S110),(Q110-(K110-N110)-(K110-S110))*N$135))),IF(OPFOKLEGHEN!$L$9="nee",IF(OPFOKLEGHEN!$J$18="nee",IF(OPFOKLEGHEN!$H$20="nee",(N110*95%-(K110-Q110)/I$4-(K110-S110)),N110-(K110-Q110)/I$4-(K110-S110)),IF(OPFOKLEGHEN!$H$20="nee",IF(OPFOKLEGHEN!$J$18="ja",IF(OPFOKLEGHEN!$L$9="nee",N110-(K110-Q110)/I$4-(K110-S110))),N110-(K110-Q110)/I$4-(K110-S110))))))))</f>
        <v>#DIV/0!</v>
      </c>
      <c r="AE110" s="4"/>
      <c r="AF110" s="6"/>
      <c r="AG110" s="6"/>
      <c r="AH110" s="4"/>
      <c r="AI110" s="6"/>
      <c r="AJ110" s="6"/>
      <c r="AK110" s="4"/>
      <c r="AL110" s="6"/>
      <c r="AM110" s="1">
        <v>14</v>
      </c>
      <c r="AN110" s="1">
        <v>95</v>
      </c>
      <c r="AO110" s="5">
        <f t="shared" si="71"/>
        <v>1105.6000000000004</v>
      </c>
      <c r="AP110" s="5">
        <f t="shared" si="72"/>
        <v>987.19999999999982</v>
      </c>
      <c r="AQ110" s="5">
        <f t="shared" si="62"/>
        <v>1046.4000000000001</v>
      </c>
      <c r="AR110" s="100"/>
    </row>
    <row r="111" spans="1:44" ht="13" x14ac:dyDescent="0.3">
      <c r="A111" s="1">
        <v>14</v>
      </c>
      <c r="B111" s="1">
        <v>96</v>
      </c>
      <c r="C111" s="4">
        <f t="shared" si="68"/>
        <v>1.2805496188802499</v>
      </c>
      <c r="D111" s="7">
        <f t="shared" si="48"/>
        <v>0</v>
      </c>
      <c r="E111" s="7">
        <f>IF(I$3=0,0,IF(OPFOKLEGHEN!$H$13="parallel geschakeld met warmtewisselaar",0,MIN(I$3,C111)))</f>
        <v>0</v>
      </c>
      <c r="F111" s="7">
        <f>IF(I$3=0,0,IF(OPFOKLEGHEN!$H$13="serie geschakeld met warmtewisselaar",0,IF(C111&lt;$I$3,C111-D111,MIN($I$3,C111-D111))))</f>
        <v>0</v>
      </c>
      <c r="G111" s="137">
        <f>IF(C111&lt;$I$7,MAX(0,C111-D111-E111-F111,IF(OPFOKLEGHEN!$H$15="warmtewisselaar",IF(OPFOKLEGHEN!$H$13="serie geschakeld met warmtewisselaar",MIN(I$7,MAX(0,C111-D111-F111)),MIN(I$7,MAX(0,C111-D111-E111-F111))))),IF(OPFOKLEGHEN!$H$13="parallel geschakeld met warmtewisselaar",MIN(I$7,C111-D111-E111-F111,MIN(I$7,C111-E111-F111)),MIN(I$7,MAX(0,C111-D111-F111))))</f>
        <v>0</v>
      </c>
      <c r="H111" s="7">
        <f>IF(OPFOKLEGHEN!$H$13="parallel geschakeld met warmtewisselaar",IF(OPFOKLEGHEN!$L$9="nee",IF(OPFOKLEGHEN!$J$18="ja",C111-F111-G111,C111-D111-F111-G111),IF(OPFOKLEGHEN!$L$9="ja",IF(OPFOKLEGHEN!$J$18="ja",C111-G111,IF(OPFOKLEGHEN!$J$18="nee",C111-D111-G111)))),IF(OPFOKLEGHEN!$H$13="serie geschakeld met warmtewisselaar",IF(OPFOKLEGHEN!$J$18="ja",C111-G111,C111-D111-F111-G111),C111-D111-F111-G111))</f>
        <v>1.2805496188802499</v>
      </c>
      <c r="I111" s="98">
        <f t="shared" si="49"/>
        <v>1.2805496188802499</v>
      </c>
      <c r="J111" s="99">
        <v>1.2179192589119072</v>
      </c>
      <c r="K111" s="6">
        <f t="shared" si="59"/>
        <v>13.662148935160657</v>
      </c>
      <c r="L111" s="130">
        <f>SUM(K$16:K111)/$K$137</f>
        <v>0.45185616627314246</v>
      </c>
      <c r="M111" s="6">
        <f t="shared" si="60"/>
        <v>0.14972218011134966</v>
      </c>
      <c r="N111" s="6">
        <f t="shared" si="53"/>
        <v>13.662148935160657</v>
      </c>
      <c r="O111" s="6">
        <f>IF(E111&lt;I$3,P111*(1-I$6*D111/C111),IF(OPFOKLEGHEN!$H$11="droogtunnel (platen) 55%",P111*(1-$I$6)+(C111-D111)/C111*(K111-P111*(1-I$6)),P111*(1-$I$6)+(C111-D111)/C111*(K111-P111*(1-I$6))))</f>
        <v>13.662148935160657</v>
      </c>
      <c r="P111" s="129">
        <f t="shared" si="54"/>
        <v>13.662148935160657</v>
      </c>
      <c r="Q111" s="134">
        <f t="shared" si="55"/>
        <v>13.662148935160657</v>
      </c>
      <c r="R111" s="134">
        <f t="shared" si="61"/>
        <v>13.662148935160657</v>
      </c>
      <c r="S111" s="199">
        <f>IF(G111&lt;0.1,K111,IF(C111=F111,S111/(1-I$4),IF(I$3=0,K111-(G111/C111)*K111*S$13,IF(OPFOKLEGHEN!$H$13="Parallel geschakeld met warmtewisselaar",K111-(K111-(K111-Q111)/I$4)*(G111/(C111-F111))*S$13,IF(OPFOKLEGHEN!$H$20="ja",K111-(K111-(K111-P111)/I$4)*(G111/(C111-MIN(D111,I$5)))*S$13,K111-(K111-(K111-P111)/I$4)*(G111/(C111-MIN(D111,I$5)))*S$13)))))</f>
        <v>13.662148935160657</v>
      </c>
      <c r="T111" s="17">
        <f t="shared" si="63"/>
        <v>13.662148935160657</v>
      </c>
      <c r="U111" s="6">
        <f t="shared" si="50"/>
        <v>0</v>
      </c>
      <c r="V111" s="129">
        <f>IF(OPFOKLEGHEN!$J$18="nee",H111/C111*K111,IF(OPFOKLEGHEN!$H$20="ja",O111-(K111-Q111)-(K111-S111),Q111-(K111-O111)-(K111-S111)))</f>
        <v>13.662148935160657</v>
      </c>
      <c r="W111" s="162">
        <f>IF(H111=0,0,IF(OPFOKLEGHEN!$H$11="geen droogtunnel",IF(OPFOKLEGHEN!$H$15="geen warmtewisselaar",Q111-(K111-R111)))+IF(OPFOKLEGHEN!$H$12&gt;0,IF(OPFOKLEGHEN!$H$13="serie geschakeld met warmtewisselaar",(O111*80%-(K111-S111)),(Q111-(K111-S111)-(K111-T111))),(N111-(K111-S111))))</f>
        <v>27.324297870321313</v>
      </c>
      <c r="X111" s="162">
        <f>IF(H111=0,0,IF(OPFOKLEGHEN!$H$11="geen droogtunnel",IF(OPFOKLEGHEN!$H$15="geen warmtewisselaar",Q111-(K111-R111)))+IF(OPFOKLEGHEN!$H$12&gt;0,IF(OPFOKLEGHEN!$H$13="serie geschakeld met warmtewisselaar",3*(O111*80%-(K111-S111)),(Q111-(K111-S111)-(K111-N111))),(N111-(K111-S111))))</f>
        <v>27.324297870321313</v>
      </c>
      <c r="Y111" s="162">
        <f>IF(H111=0,0,IF(OPFOKLEGHEN!$H$11="geen droogtunnel",IF(OPFOKLEGHEN!$H$15="geen warmtewisselaar",Q111-(K111-R111)))+IF(OPFOKLEGHEN!$H$12&gt;0,IF(OPFOKLEGHEN!$H$13="serie geschakeld met warmtewisselaar",(O111-(K111-S111)),IF(OPFOKLEGHEN!$H$13="parallel geschakeld met warmtewisselaar",IF(OPFOKLEGHEN!$L$9="ja",IF(OPFOKLEGHEN!$J$18="nee",(N111-(K111-Q111)-(K111-S111)),(Q111-(K111-N111/80%)))))),(O111-(K111-S111))))</f>
        <v>27.324297870321313</v>
      </c>
      <c r="Z111" s="130">
        <f t="shared" si="56"/>
        <v>1</v>
      </c>
      <c r="AA111" s="130"/>
      <c r="AB111" s="130"/>
      <c r="AC111" s="167">
        <f>IF(H111=0,0,IF(OPFOKLEGHEN!$H$11="geen droogtunnel",IF(OPFOKLEGHEN!$H$15="geen warmtewisselaar",(P111-(K111-R111)/R$13),K111-(K111-O111)/I$6-(K111-R111)/95%)+IF(OPFOKLEGHEN!$J$18="ja",(K111-O111)*(1-I$6)),IF(OPFOKLEGHEN!$H$12&gt;=0,IF(OPFOKLEGHEN!$L$9="ja",IF(OPFOKLEGHEN!$J$18="ja",IF(OPFOKLEGHEN!$H$20="ja",O111-(K111-S111),IF(OPFOKLEGHEN!$H$20="nee",(O111-(K111-S111)),(O111-(K111-S111)))),IF(OPFOKLEGHEN!$J$18="nee",IF(OPFOKLEGHEN!$H$20="nee",O111*80%-(K111-S111),0+O111-(K111-S111)))),IF(OPFOKLEGHEN!$L$9="nee",IF(OPFOKLEGHEN!$J$18="nee",IF(OPFOKLEGHEN!$H$20="nee",(O111*80%-(K111-S111)),O111*93%-(K111-S111)),IF(OPFOKLEGHEN!$H$20="nee",IF(OPFOKLEGHEN!$J$18="ja",IF(OPFOKLEGHEN!$L$9="nee",O111-(K111-S111))),O111-(K111-S111))))))))</f>
        <v>13.662148935160657</v>
      </c>
      <c r="AD111" s="167" t="e">
        <f>IF(H111=0,0,IF(OPFOKLEGHEN!$H$11="geen droogtunnel",IF(OPFOKLEGHEN!$H$15="geen warmtewisselaar",(Q111-(K111-R111)/S$13),N111-(K111-R111)),IF(OPFOKLEGHEN!$H$12&gt;=0,IF(OPFOKLEGHEN!$L$9="ja",IF(OPFOKLEGHEN!$J$18="ja",IF(OPFOKLEGHEN!$H$20="ja",Q111-(K111-N111)-(K111-S111),IF(OPFOKLEGHEN!$H$20="nee",(Q111-(K111-N111)-(K111-S111)),(O111-(K111-S111)))),IF(OPFOKLEGHEN!$J$18="nee",IF(OPFOKLEGHEN!$H$20="nee",1*Q111*$N$135-(K111-N111)-(K111-S111),(Q111-(K111-N111)-(K111-S111))*N$135))),IF(OPFOKLEGHEN!$L$9="nee",IF(OPFOKLEGHEN!$J$18="nee",IF(OPFOKLEGHEN!$H$20="nee",(N111*95%-(K111-Q111)/I$4-(K111-S111)),N111-(K111-Q111)/I$4-(K111-S111)),IF(OPFOKLEGHEN!$H$20="nee",IF(OPFOKLEGHEN!$J$18="ja",IF(OPFOKLEGHEN!$L$9="nee",N111-(K111-Q111)/I$4-(K111-S111))),N111-(K111-Q111)/I$4-(K111-S111))))))))</f>
        <v>#DIV/0!</v>
      </c>
      <c r="AE111" s="4"/>
      <c r="AF111" s="6"/>
      <c r="AG111" s="6"/>
      <c r="AH111" s="4"/>
      <c r="AI111" s="6"/>
      <c r="AJ111" s="6"/>
      <c r="AK111" s="4"/>
      <c r="AL111" s="6"/>
      <c r="AM111" s="1">
        <v>14</v>
      </c>
      <c r="AN111" s="1">
        <v>96</v>
      </c>
      <c r="AO111" s="5">
        <f t="shared" si="71"/>
        <v>1117.0000000000005</v>
      </c>
      <c r="AP111" s="5">
        <f t="shared" si="72"/>
        <v>996.49999999999977</v>
      </c>
      <c r="AQ111" s="5">
        <f t="shared" si="62"/>
        <v>1056.75</v>
      </c>
      <c r="AR111" s="100"/>
    </row>
    <row r="112" spans="1:44" ht="13" x14ac:dyDescent="0.3">
      <c r="A112" s="1">
        <v>14</v>
      </c>
      <c r="B112" s="1">
        <v>97</v>
      </c>
      <c r="C112" s="4">
        <f t="shared" si="68"/>
        <v>1.2974559635926843</v>
      </c>
      <c r="D112" s="7">
        <f t="shared" si="48"/>
        <v>0</v>
      </c>
      <c r="E112" s="7">
        <f>IF(I$3=0,0,IF(OPFOKLEGHEN!$H$13="parallel geschakeld met warmtewisselaar",0,MIN(I$3,C112)))</f>
        <v>0</v>
      </c>
      <c r="F112" s="7">
        <f>IF(I$3=0,0,IF(OPFOKLEGHEN!$H$13="serie geschakeld met warmtewisselaar",0,IF(C112&lt;$I$3,C112-D112,MIN($I$3,C112-D112))))</f>
        <v>0</v>
      </c>
      <c r="G112" s="137">
        <f>IF(C112&lt;$I$7,MAX(0,C112-D112-E112-F112,IF(OPFOKLEGHEN!$H$15="warmtewisselaar",IF(OPFOKLEGHEN!$H$13="serie geschakeld met warmtewisselaar",MIN(I$7,MAX(0,C112-D112-F112)),MIN(I$7,MAX(0,C112-D112-E112-F112))))),IF(OPFOKLEGHEN!$H$13="parallel geschakeld met warmtewisselaar",MIN(I$7,C112-D112-E112-F112,MIN(I$7,C112-E112-F112)),MIN(I$7,MAX(0,C112-D112-F112))))</f>
        <v>0</v>
      </c>
      <c r="H112" s="7">
        <f>IF(OPFOKLEGHEN!$H$13="parallel geschakeld met warmtewisselaar",IF(OPFOKLEGHEN!$L$9="nee",IF(OPFOKLEGHEN!$J$18="ja",C112-F112-G112,C112-D112-F112-G112),IF(OPFOKLEGHEN!$L$9="ja",IF(OPFOKLEGHEN!$J$18="ja",C112-G112,IF(OPFOKLEGHEN!$J$18="nee",C112-D112-G112)))),IF(OPFOKLEGHEN!$H$13="serie geschakeld met warmtewisselaar",IF(OPFOKLEGHEN!$J$18="ja",C112-G112,C112-D112-F112-G112),C112-D112-F112-G112))</f>
        <v>1.2974559635926843</v>
      </c>
      <c r="I112" s="98">
        <f t="shared" si="49"/>
        <v>1.2974559635926843</v>
      </c>
      <c r="J112" s="99">
        <v>1.2405364129917138</v>
      </c>
      <c r="K112" s="6">
        <f t="shared" si="59"/>
        <v>14.099582375708192</v>
      </c>
      <c r="L112" s="130">
        <f>SUM(K$16:K112)/$K$137</f>
        <v>0.4683673428880103</v>
      </c>
      <c r="M112" s="6">
        <f t="shared" si="60"/>
        <v>0.1561255126077277</v>
      </c>
      <c r="N112" s="6">
        <f t="shared" ref="N112:N134" si="73">(((($K112)*(1-($I$6*(D112)/C112)))))</f>
        <v>14.099582375708192</v>
      </c>
      <c r="O112" s="6">
        <f>IF(E112&lt;I$3,P112*(1-I$6*D112/C112),IF(OPFOKLEGHEN!$H$11="droogtunnel (platen) 55%",P112*(1-$I$6)+(C112-D112)/C112*(K112-P112*(1-I$6)),P112*(1-$I$6)+(C112-D112)/C112*(K112-P112*(1-I$6))))</f>
        <v>14.099582375708192</v>
      </c>
      <c r="P112" s="129">
        <f t="shared" ref="P112:P134" si="74">IF(E112=0,K112,K112-K112*I$4*E112/C112)</f>
        <v>14.099582375708192</v>
      </c>
      <c r="Q112" s="134">
        <f t="shared" ref="Q112:Q134" si="75">IF(F112=0,K112,K112-K112*I$4*F112/C112)</f>
        <v>14.099582375708192</v>
      </c>
      <c r="R112" s="134">
        <f t="shared" si="61"/>
        <v>14.099582375708192</v>
      </c>
      <c r="S112" s="199">
        <f>IF(G112&lt;0.1,K112,IF(C112=F112,S112/(1-I$4),IF(I$3=0,K112-(G112/C112)*K112*S$13,IF(OPFOKLEGHEN!$H$13="Parallel geschakeld met warmtewisselaar",K112-(K112-(K112-Q112)/I$4)*(G112/(C112-F112))*S$13,IF(OPFOKLEGHEN!$H$20="ja",K112-(K112-(K112-P112)/I$4)*(G112/(C112-MIN(D112,I$5)))*S$13,K112-(K112-(K112-P112)/I$4)*(G112/(C112-MIN(D112,I$5)))*S$13)))))</f>
        <v>14.099582375708192</v>
      </c>
      <c r="T112" s="17">
        <f t="shared" si="63"/>
        <v>14.099582375708192</v>
      </c>
      <c r="U112" s="6">
        <f t="shared" si="50"/>
        <v>0</v>
      </c>
      <c r="V112" s="129">
        <f>IF(OPFOKLEGHEN!$J$18="nee",H112/C112*K112,IF(OPFOKLEGHEN!$H$20="ja",O112-(K112-Q112)-(K112-S112),Q112-(K112-O112)-(K112-S112)))</f>
        <v>14.099582375708192</v>
      </c>
      <c r="W112" s="162">
        <f>IF(H112=0,0,IF(OPFOKLEGHEN!$H$11="geen droogtunnel",IF(OPFOKLEGHEN!$H$15="geen warmtewisselaar",Q112-(K112-R112)))+IF(OPFOKLEGHEN!$H$12&gt;0,IF(OPFOKLEGHEN!$H$13="serie geschakeld met warmtewisselaar",(O112*80%-(K112-S112)),(Q112-(K112-S112)-(K112-T112))),(N112-(K112-S112))))</f>
        <v>28.199164751416383</v>
      </c>
      <c r="X112" s="162">
        <f>IF(H112=0,0,IF(OPFOKLEGHEN!$H$11="geen droogtunnel",IF(OPFOKLEGHEN!$H$15="geen warmtewisselaar",Q112-(K112-R112)))+IF(OPFOKLEGHEN!$H$12&gt;0,IF(OPFOKLEGHEN!$H$13="serie geschakeld met warmtewisselaar",3*(O112*80%-(K112-S112)),(Q112-(K112-S112)-(K112-N112))),(N112-(K112-S112))))</f>
        <v>28.199164751416383</v>
      </c>
      <c r="Y112" s="162">
        <f>IF(H112=0,0,IF(OPFOKLEGHEN!$H$11="geen droogtunnel",IF(OPFOKLEGHEN!$H$15="geen warmtewisselaar",Q112-(K112-R112)))+IF(OPFOKLEGHEN!$H$12&gt;0,IF(OPFOKLEGHEN!$H$13="serie geschakeld met warmtewisselaar",(O112-(K112-S112)),IF(OPFOKLEGHEN!$H$13="parallel geschakeld met warmtewisselaar",IF(OPFOKLEGHEN!$L$9="ja",IF(OPFOKLEGHEN!$J$18="nee",(N112-(K112-Q112)-(K112-S112)),(Q112-(K112-N112/80%)))))),(O112-(K112-S112))))</f>
        <v>28.199164751416383</v>
      </c>
      <c r="Z112" s="130">
        <f t="shared" ref="Z112:Z134" si="76">Q112/K112</f>
        <v>1</v>
      </c>
      <c r="AA112" s="130"/>
      <c r="AB112" s="130"/>
      <c r="AC112" s="167">
        <f>IF(H112=0,0,IF(OPFOKLEGHEN!$H$11="geen droogtunnel",IF(OPFOKLEGHEN!$H$15="geen warmtewisselaar",(P112-(K112-R112)/R$13),K112-(K112-O112)/I$6-(K112-R112)/95%)+IF(OPFOKLEGHEN!$J$18="ja",(K112-O112)*(1-I$6)),IF(OPFOKLEGHEN!$H$12&gt;=0,IF(OPFOKLEGHEN!$L$9="ja",IF(OPFOKLEGHEN!$J$18="ja",IF(OPFOKLEGHEN!$H$20="ja",O112-(K112-S112),IF(OPFOKLEGHEN!$H$20="nee",(O112-(K112-S112)),(O112-(K112-S112)))),IF(OPFOKLEGHEN!$J$18="nee",IF(OPFOKLEGHEN!$H$20="nee",O112*80%-(K112-S112),0+O112-(K112-S112)))),IF(OPFOKLEGHEN!$L$9="nee",IF(OPFOKLEGHEN!$J$18="nee",IF(OPFOKLEGHEN!$H$20="nee",(O112*80%-(K112-S112)),O112*93%-(K112-S112)),IF(OPFOKLEGHEN!$H$20="nee",IF(OPFOKLEGHEN!$J$18="ja",IF(OPFOKLEGHEN!$L$9="nee",O112-(K112-S112))),O112-(K112-S112))))))))</f>
        <v>14.099582375708192</v>
      </c>
      <c r="AD112" s="167" t="e">
        <f>IF(H112=0,0,IF(OPFOKLEGHEN!$H$11="geen droogtunnel",IF(OPFOKLEGHEN!$H$15="geen warmtewisselaar",(Q112-(K112-R112)/S$13),N112-(K112-R112)),IF(OPFOKLEGHEN!$H$12&gt;=0,IF(OPFOKLEGHEN!$L$9="ja",IF(OPFOKLEGHEN!$J$18="ja",IF(OPFOKLEGHEN!$H$20="ja",Q112-(K112-N112)-(K112-S112),IF(OPFOKLEGHEN!$H$20="nee",(Q112-(K112-N112)-(K112-S112)),(O112-(K112-S112)))),IF(OPFOKLEGHEN!$J$18="nee",IF(OPFOKLEGHEN!$H$20="nee",1*Q112*$N$135-(K112-N112)-(K112-S112),(Q112-(K112-N112)-(K112-S112))*N$135))),IF(OPFOKLEGHEN!$L$9="nee",IF(OPFOKLEGHEN!$J$18="nee",IF(OPFOKLEGHEN!$H$20="nee",(N112*95%-(K112-Q112)/I$4-(K112-S112)),N112-(K112-Q112)/I$4-(K112-S112)),IF(OPFOKLEGHEN!$H$20="nee",IF(OPFOKLEGHEN!$J$18="ja",IF(OPFOKLEGHEN!$L$9="nee",N112-(K112-Q112)/I$4-(K112-S112))),N112-(K112-Q112)/I$4-(K112-S112))))))))</f>
        <v>#DIV/0!</v>
      </c>
      <c r="AE112" s="4"/>
      <c r="AF112" s="6"/>
      <c r="AG112" s="6"/>
      <c r="AH112" s="4"/>
      <c r="AI112" s="6"/>
      <c r="AJ112" s="6"/>
      <c r="AK112" s="4"/>
      <c r="AL112" s="6"/>
      <c r="AM112" s="1">
        <v>14</v>
      </c>
      <c r="AN112" s="1">
        <v>97</v>
      </c>
      <c r="AO112" s="5">
        <f t="shared" si="71"/>
        <v>1128.4000000000005</v>
      </c>
      <c r="AP112" s="5">
        <f t="shared" si="72"/>
        <v>1005.7999999999997</v>
      </c>
      <c r="AQ112" s="5">
        <f t="shared" si="62"/>
        <v>1067.1000000000001</v>
      </c>
      <c r="AR112" s="100"/>
    </row>
    <row r="113" spans="1:44" ht="13" x14ac:dyDescent="0.3">
      <c r="A113" s="1">
        <v>14</v>
      </c>
      <c r="B113" s="1">
        <v>98</v>
      </c>
      <c r="C113" s="4">
        <f t="shared" si="68"/>
        <v>1.3146354509675</v>
      </c>
      <c r="D113" s="7">
        <f t="shared" si="48"/>
        <v>0</v>
      </c>
      <c r="E113" s="7">
        <f>IF(I$3=0,0,IF(OPFOKLEGHEN!$H$13="parallel geschakeld met warmtewisselaar",0,MIN(I$3,C113)))</f>
        <v>0</v>
      </c>
      <c r="F113" s="7">
        <f>IF(I$3=0,0,IF(OPFOKLEGHEN!$H$13="serie geschakeld met warmtewisselaar",0,IF(C113&lt;$I$3,C113-D113,MIN($I$3,C113-D113))))</f>
        <v>0</v>
      </c>
      <c r="G113" s="137">
        <f>IF(C113&lt;$I$7,MAX(0,C113-D113-E113-F113,IF(OPFOKLEGHEN!$H$15="warmtewisselaar",IF(OPFOKLEGHEN!$H$13="serie geschakeld met warmtewisselaar",MIN(I$7,MAX(0,C113-D113-F113)),MIN(I$7,MAX(0,C113-D113-E113-F113))))),IF(OPFOKLEGHEN!$H$13="parallel geschakeld met warmtewisselaar",MIN(I$7,C113-D113-E113-F113,MIN(I$7,C113-E113-F113)),MIN(I$7,MAX(0,C113-D113-F113))))</f>
        <v>0</v>
      </c>
      <c r="H113" s="7">
        <f>IF(OPFOKLEGHEN!$H$13="parallel geschakeld met warmtewisselaar",IF(OPFOKLEGHEN!$L$9="nee",IF(OPFOKLEGHEN!$J$18="ja",C113-F113-G113,C113-D113-F113-G113),IF(OPFOKLEGHEN!$L$9="ja",IF(OPFOKLEGHEN!$J$18="ja",C113-G113,IF(OPFOKLEGHEN!$J$18="nee",C113-D113-G113)))),IF(OPFOKLEGHEN!$H$13="serie geschakeld met warmtewisselaar",IF(OPFOKLEGHEN!$J$18="ja",C113-G113,C113-D113-F113-G113),C113-D113-F113-G113))</f>
        <v>1.3146354509675</v>
      </c>
      <c r="I113" s="98">
        <f t="shared" si="49"/>
        <v>1.3146354509675</v>
      </c>
      <c r="J113" s="99">
        <v>1.2635735749291241</v>
      </c>
      <c r="K113" s="6">
        <f t="shared" si="59"/>
        <v>14.551574280606271</v>
      </c>
      <c r="L113" s="130">
        <f>SUM(K$16:K113)/$K$137</f>
        <v>0.48540782015671319</v>
      </c>
      <c r="M113" s="6">
        <f t="shared" si="60"/>
        <v>0.16279158441774139</v>
      </c>
      <c r="N113" s="6">
        <f t="shared" si="73"/>
        <v>14.551574280606271</v>
      </c>
      <c r="O113" s="6">
        <f>IF(E113&lt;I$3,P113*(1-I$6*D113/C113),IF(OPFOKLEGHEN!$H$11="droogtunnel (platen) 55%",P113*(1-$I$6)+(C113-D113)/C113*(K113-P113*(1-I$6)),P113*(1-$I$6)+(C113-D113)/C113*(K113-P113*(1-I$6))))</f>
        <v>14.551574280606271</v>
      </c>
      <c r="P113" s="129">
        <f t="shared" si="74"/>
        <v>14.551574280606271</v>
      </c>
      <c r="Q113" s="134">
        <f t="shared" si="75"/>
        <v>14.551574280606271</v>
      </c>
      <c r="R113" s="134">
        <f t="shared" si="61"/>
        <v>14.551574280606271</v>
      </c>
      <c r="S113" s="199">
        <f>IF(G113&lt;0.1,K113,IF(C113=F113,S113/(1-I$4),IF(I$3=0,K113-(G113/C113)*K113*S$13,IF(OPFOKLEGHEN!$H$13="Parallel geschakeld met warmtewisselaar",K113-(K113-(K113-Q113)/I$4)*(G113/(C113-F113))*S$13,IF(OPFOKLEGHEN!$H$20="ja",K113-(K113-(K113-P113)/I$4)*(G113/(C113-MIN(D113,I$5)))*S$13,K113-(K113-(K113-P113)/I$4)*(G113/(C113-MIN(D113,I$5)))*S$13)))))</f>
        <v>14.551574280606271</v>
      </c>
      <c r="T113" s="17">
        <f t="shared" si="63"/>
        <v>14.551574280606271</v>
      </c>
      <c r="U113" s="6">
        <f t="shared" si="50"/>
        <v>0</v>
      </c>
      <c r="V113" s="129">
        <f>IF(OPFOKLEGHEN!$J$18="nee",H113/C113*K113,IF(OPFOKLEGHEN!$H$20="ja",O113-(K113-Q113)-(K113-S113),Q113-(K113-O113)-(K113-S113)))</f>
        <v>14.551574280606271</v>
      </c>
      <c r="W113" s="162">
        <f>IF(H113=0,0,IF(OPFOKLEGHEN!$H$11="geen droogtunnel",IF(OPFOKLEGHEN!$H$15="geen warmtewisselaar",Q113-(K113-R113)))+IF(OPFOKLEGHEN!$H$12&gt;0,IF(OPFOKLEGHEN!$H$13="serie geschakeld met warmtewisselaar",(O113*80%-(K113-S113)),(Q113-(K113-S113)-(K113-T113))),(N113-(K113-S113))))</f>
        <v>29.103148561212542</v>
      </c>
      <c r="X113" s="162">
        <f>IF(H113=0,0,IF(OPFOKLEGHEN!$H$11="geen droogtunnel",IF(OPFOKLEGHEN!$H$15="geen warmtewisselaar",Q113-(K113-R113)))+IF(OPFOKLEGHEN!$H$12&gt;0,IF(OPFOKLEGHEN!$H$13="serie geschakeld met warmtewisselaar",3*(O113*80%-(K113-S113)),(Q113-(K113-S113)-(K113-N113))),(N113-(K113-S113))))</f>
        <v>29.103148561212542</v>
      </c>
      <c r="Y113" s="162">
        <f>IF(H113=0,0,IF(OPFOKLEGHEN!$H$11="geen droogtunnel",IF(OPFOKLEGHEN!$H$15="geen warmtewisselaar",Q113-(K113-R113)))+IF(OPFOKLEGHEN!$H$12&gt;0,IF(OPFOKLEGHEN!$H$13="serie geschakeld met warmtewisselaar",(O113-(K113-S113)),IF(OPFOKLEGHEN!$H$13="parallel geschakeld met warmtewisselaar",IF(OPFOKLEGHEN!$L$9="ja",IF(OPFOKLEGHEN!$J$18="nee",(N113-(K113-Q113)-(K113-S113)),(Q113-(K113-N113/80%)))))),(O113-(K113-S113))))</f>
        <v>29.103148561212542</v>
      </c>
      <c r="Z113" s="130">
        <f t="shared" si="76"/>
        <v>1</v>
      </c>
      <c r="AA113" s="130"/>
      <c r="AB113" s="130"/>
      <c r="AC113" s="167">
        <f>IF(H113=0,0,IF(OPFOKLEGHEN!$H$11="geen droogtunnel",IF(OPFOKLEGHEN!$H$15="geen warmtewisselaar",(P113-(K113-R113)/R$13),K113-(K113-O113)/I$6-(K113-R113)/95%)+IF(OPFOKLEGHEN!$J$18="ja",(K113-O113)*(1-I$6)),IF(OPFOKLEGHEN!$H$12&gt;=0,IF(OPFOKLEGHEN!$L$9="ja",IF(OPFOKLEGHEN!$J$18="ja",IF(OPFOKLEGHEN!$H$20="ja",O113-(K113-S113),IF(OPFOKLEGHEN!$H$20="nee",(O113-(K113-S113)),(O113-(K113-S113)))),IF(OPFOKLEGHEN!$J$18="nee",IF(OPFOKLEGHEN!$H$20="nee",O113*80%-(K113-S113),0+O113-(K113-S113)))),IF(OPFOKLEGHEN!$L$9="nee",IF(OPFOKLEGHEN!$J$18="nee",IF(OPFOKLEGHEN!$H$20="nee",(O113*80%-(K113-S113)),O113*93%-(K113-S113)),IF(OPFOKLEGHEN!$H$20="nee",IF(OPFOKLEGHEN!$J$18="ja",IF(OPFOKLEGHEN!$L$9="nee",O113-(K113-S113))),O113-(K113-S113))))))))</f>
        <v>14.551574280606271</v>
      </c>
      <c r="AD113" s="167" t="e">
        <f>IF(H113=0,0,IF(OPFOKLEGHEN!$H$11="geen droogtunnel",IF(OPFOKLEGHEN!$H$15="geen warmtewisselaar",(Q113-(K113-R113)/S$13),N113-(K113-R113)),IF(OPFOKLEGHEN!$H$12&gt;=0,IF(OPFOKLEGHEN!$L$9="ja",IF(OPFOKLEGHEN!$J$18="ja",IF(OPFOKLEGHEN!$H$20="ja",Q113-(K113-N113)-(K113-S113),IF(OPFOKLEGHEN!$H$20="nee",(Q113-(K113-N113)-(K113-S113)),(O113-(K113-S113)))),IF(OPFOKLEGHEN!$J$18="nee",IF(OPFOKLEGHEN!$H$20="nee",1*Q113*$N$135-(K113-N113)-(K113-S113),(Q113-(K113-N113)-(K113-S113))*N$135))),IF(OPFOKLEGHEN!$L$9="nee",IF(OPFOKLEGHEN!$J$18="nee",IF(OPFOKLEGHEN!$H$20="nee",(N113*95%-(K113-Q113)/I$4-(K113-S113)),N113-(K113-Q113)/I$4-(K113-S113)),IF(OPFOKLEGHEN!$H$20="nee",IF(OPFOKLEGHEN!$J$18="ja",IF(OPFOKLEGHEN!$L$9="nee",N113-(K113-Q113)/I$4-(K113-S113))),N113-(K113-Q113)/I$4-(K113-S113))))))))</f>
        <v>#DIV/0!</v>
      </c>
      <c r="AE113" s="4"/>
      <c r="AF113" s="6"/>
      <c r="AG113" s="6"/>
      <c r="AH113" s="4"/>
      <c r="AI113" s="6"/>
      <c r="AJ113" s="6"/>
      <c r="AK113" s="4"/>
      <c r="AL113" s="6"/>
      <c r="AM113" s="1">
        <v>14</v>
      </c>
      <c r="AN113" s="1">
        <v>98</v>
      </c>
      <c r="AO113" s="5">
        <v>1140</v>
      </c>
      <c r="AP113" s="5">
        <v>1015</v>
      </c>
      <c r="AQ113" s="5">
        <f t="shared" si="62"/>
        <v>1077.5</v>
      </c>
      <c r="AR113" s="100"/>
    </row>
    <row r="114" spans="1:44" ht="13" x14ac:dyDescent="0.3">
      <c r="A114" s="1">
        <v>15</v>
      </c>
      <c r="B114" s="1">
        <v>99</v>
      </c>
      <c r="C114" s="4">
        <f t="shared" si="68"/>
        <v>1.331925458405774</v>
      </c>
      <c r="D114" s="7">
        <f t="shared" si="48"/>
        <v>0</v>
      </c>
      <c r="E114" s="7">
        <f>IF(I$3=0,0,IF(OPFOKLEGHEN!$H$13="parallel geschakeld met warmtewisselaar",0,MIN(I$3,C114)))</f>
        <v>0</v>
      </c>
      <c r="F114" s="7">
        <f>IF(I$3=0,0,IF(OPFOKLEGHEN!$H$13="serie geschakeld met warmtewisselaar",0,IF(C114&lt;$I$3,C114-D114,MIN($I$3,C114-D114))))</f>
        <v>0</v>
      </c>
      <c r="G114" s="137">
        <f>IF(C114&lt;$I$7,MAX(0,C114-D114-E114-F114,IF(OPFOKLEGHEN!$H$15="warmtewisselaar",IF(OPFOKLEGHEN!$H$13="serie geschakeld met warmtewisselaar",MIN(I$7,MAX(0,C114-D114-F114)),MIN(I$7,MAX(0,C114-D114-E114-F114))))),IF(OPFOKLEGHEN!$H$13="parallel geschakeld met warmtewisselaar",MIN(I$7,C114-D114-E114-F114,MIN(I$7,C114-E114-F114)),MIN(I$7,MAX(0,C114-D114-F114))))</f>
        <v>0</v>
      </c>
      <c r="H114" s="7">
        <f>IF(OPFOKLEGHEN!$H$13="parallel geschakeld met warmtewisselaar",IF(OPFOKLEGHEN!$L$9="nee",IF(OPFOKLEGHEN!$J$18="ja",C114-F114-G114,C114-D114-F114-G114),IF(OPFOKLEGHEN!$L$9="ja",IF(OPFOKLEGHEN!$J$18="ja",C114-G114,IF(OPFOKLEGHEN!$J$18="nee",C114-D114-G114)))),IF(OPFOKLEGHEN!$H$13="serie geschakeld met warmtewisselaar",IF(OPFOKLEGHEN!$J$18="ja",C114-G114,C114-D114-F114-G114),C114-D114-F114-G114))</f>
        <v>1.331925458405774</v>
      </c>
      <c r="I114" s="98">
        <f t="shared" si="49"/>
        <v>1.331925458405774</v>
      </c>
      <c r="J114" s="99">
        <v>1.2870385444057348</v>
      </c>
      <c r="K114" s="6">
        <f t="shared" si="59"/>
        <v>15.016737172413135</v>
      </c>
      <c r="L114" s="130">
        <f>SUM(K$16:K114)/$K$137</f>
        <v>0.5029930218333204</v>
      </c>
      <c r="M114" s="6">
        <f t="shared" si="60"/>
        <v>0.16970970092110732</v>
      </c>
      <c r="N114" s="6">
        <f t="shared" si="73"/>
        <v>15.016737172413135</v>
      </c>
      <c r="O114" s="6">
        <f>IF(E114&lt;I$3,P114*(1-I$6*D114/C114),IF(OPFOKLEGHEN!$H$11="droogtunnel (platen) 55%",P114*(1-$I$6)+(C114-D114)/C114*(K114-P114*(1-I$6)),P114*(1-$I$6)+(C114-D114)/C114*(K114-P114*(1-I$6))))</f>
        <v>15.016737172413135</v>
      </c>
      <c r="P114" s="129">
        <f t="shared" si="74"/>
        <v>15.016737172413135</v>
      </c>
      <c r="Q114" s="134">
        <f t="shared" si="75"/>
        <v>15.016737172413135</v>
      </c>
      <c r="R114" s="134">
        <f t="shared" si="61"/>
        <v>15.016737172413135</v>
      </c>
      <c r="S114" s="199">
        <f>IF(G114&lt;0.1,K114,IF(C114=F114,S114/(1-I$4),IF(I$3=0,K114-(G114/C114)*K114*S$13,IF(OPFOKLEGHEN!$H$13="Parallel geschakeld met warmtewisselaar",K114-(K114-(K114-Q114)/I$4)*(G114/(C114-F114))*S$13,IF(OPFOKLEGHEN!$H$20="ja",K114-(K114-(K114-P114)/I$4)*(G114/(C114-MIN(D114,I$5)))*S$13,K114-(K114-(K114-P114)/I$4)*(G114/(C114-MIN(D114,I$5)))*S$13)))))</f>
        <v>15.016737172413135</v>
      </c>
      <c r="T114" s="17">
        <f t="shared" ref="T114:T134" si="77">$K114*(1-($I$6*(D114)/C114))-($I$4*F114/C114)</f>
        <v>15.016737172413135</v>
      </c>
      <c r="U114" s="6">
        <f t="shared" si="50"/>
        <v>0</v>
      </c>
      <c r="V114" s="129">
        <f>IF(OPFOKLEGHEN!$J$18="nee",H114/C114*K114,IF(OPFOKLEGHEN!$H$20="ja",O114-(K114-Q114)-(K114-S114),Q114-(K114-O114)-(K114-S114)))</f>
        <v>15.016737172413135</v>
      </c>
      <c r="W114" s="162">
        <f>IF(H114=0,0,IF(OPFOKLEGHEN!$H$11="geen droogtunnel",IF(OPFOKLEGHEN!$H$15="geen warmtewisselaar",Q114-(K114-R114)))+IF(OPFOKLEGHEN!$H$12&gt;0,IF(OPFOKLEGHEN!$H$13="serie geschakeld met warmtewisselaar",(O114*80%-(K114-S114)),(Q114-(K114-S114)-(K114-T114))),(N114-(K114-S114))))</f>
        <v>30.033474344826271</v>
      </c>
      <c r="X114" s="162">
        <f>IF(H114=0,0,IF(OPFOKLEGHEN!$H$11="geen droogtunnel",IF(OPFOKLEGHEN!$H$15="geen warmtewisselaar",Q114-(K114-R114)))+IF(OPFOKLEGHEN!$H$12&gt;0,IF(OPFOKLEGHEN!$H$13="serie geschakeld met warmtewisselaar",3*(O114*80%-(K114-S114)),(Q114-(K114-S114)-(K114-N114))),(N114-(K114-S114))))</f>
        <v>30.033474344826271</v>
      </c>
      <c r="Y114" s="162">
        <f>IF(H114=0,0,IF(OPFOKLEGHEN!$H$11="geen droogtunnel",IF(OPFOKLEGHEN!$H$15="geen warmtewisselaar",Q114-(K114-R114)))+IF(OPFOKLEGHEN!$H$12&gt;0,IF(OPFOKLEGHEN!$H$13="serie geschakeld met warmtewisselaar",(O114-(K114-S114)),IF(OPFOKLEGHEN!$H$13="parallel geschakeld met warmtewisselaar",IF(OPFOKLEGHEN!$L$9="ja",IF(OPFOKLEGHEN!$J$18="nee",(N114-(K114-Q114)-(K114-S114)),(Q114-(K114-N114/80%)))))),(O114-(K114-S114))))</f>
        <v>30.033474344826271</v>
      </c>
      <c r="Z114" s="130">
        <f t="shared" si="76"/>
        <v>1</v>
      </c>
      <c r="AA114" s="130"/>
      <c r="AB114" s="130"/>
      <c r="AC114" s="167">
        <f>IF(H114=0,0,IF(OPFOKLEGHEN!$H$11="geen droogtunnel",IF(OPFOKLEGHEN!$H$15="geen warmtewisselaar",(P114-(K114-R114)/R$13),K114-(K114-O114)/I$6-(K114-R114)/95%)+IF(OPFOKLEGHEN!$J$18="ja",(K114-O114)*(1-I$6)),IF(OPFOKLEGHEN!$H$12&gt;=0,IF(OPFOKLEGHEN!$L$9="ja",IF(OPFOKLEGHEN!$J$18="ja",IF(OPFOKLEGHEN!$H$20="ja",O114-(K114-S114),IF(OPFOKLEGHEN!$H$20="nee",(O114-(K114-S114)),(O114-(K114-S114)))),IF(OPFOKLEGHEN!$J$18="nee",IF(OPFOKLEGHEN!$H$20="nee",O114*80%-(K114-S114),0+O114-(K114-S114)))),IF(OPFOKLEGHEN!$L$9="nee",IF(OPFOKLEGHEN!$J$18="nee",IF(OPFOKLEGHEN!$H$20="nee",(O114*80%-(K114-S114)),O114*93%-(K114-S114)),IF(OPFOKLEGHEN!$H$20="nee",IF(OPFOKLEGHEN!$J$18="ja",IF(OPFOKLEGHEN!$L$9="nee",O114-(K114-S114))),O114-(K114-S114))))))))</f>
        <v>15.016737172413135</v>
      </c>
      <c r="AD114" s="167" t="e">
        <f>IF(H114=0,0,IF(OPFOKLEGHEN!$H$11="geen droogtunnel",IF(OPFOKLEGHEN!$H$15="geen warmtewisselaar",(Q114-(K114-R114)/S$13),N114-(K114-R114)),IF(OPFOKLEGHEN!$H$12&gt;=0,IF(OPFOKLEGHEN!$L$9="ja",IF(OPFOKLEGHEN!$J$18="ja",IF(OPFOKLEGHEN!$H$20="ja",Q114-(K114-N114)-(K114-S114),IF(OPFOKLEGHEN!$H$20="nee",(Q114-(K114-N114)-(K114-S114)),(O114-(K114-S114)))),IF(OPFOKLEGHEN!$J$18="nee",IF(OPFOKLEGHEN!$H$20="nee",1*Q114*$N$135-(K114-N114)-(K114-S114),(Q114-(K114-N114)-(K114-S114))*N$135))),IF(OPFOKLEGHEN!$L$9="nee",IF(OPFOKLEGHEN!$J$18="nee",IF(OPFOKLEGHEN!$H$20="nee",(N114*95%-(K114-Q114)/I$4-(K114-S114)),N114-(K114-Q114)/I$4-(K114-S114)),IF(OPFOKLEGHEN!$H$20="nee",IF(OPFOKLEGHEN!$J$18="ja",IF(OPFOKLEGHEN!$L$9="nee",N114-(K114-Q114)/I$4-(K114-S114))),N114-(K114-Q114)/I$4-(K114-S114))))))))</f>
        <v>#DIV/0!</v>
      </c>
      <c r="AE114" s="4"/>
      <c r="AF114" s="6"/>
      <c r="AG114" s="6"/>
      <c r="AH114" s="4"/>
      <c r="AI114" s="6"/>
      <c r="AJ114" s="6"/>
      <c r="AK114" s="4"/>
      <c r="AL114" s="6"/>
      <c r="AM114" s="1">
        <v>15</v>
      </c>
      <c r="AN114" s="1">
        <v>99</v>
      </c>
      <c r="AO114" s="5">
        <f t="shared" ref="AO114:AO119" si="78">AO113+12.1</f>
        <v>1152.0999999999999</v>
      </c>
      <c r="AP114" s="5">
        <f t="shared" ref="AP114:AP119" si="79">AP113+8.6</f>
        <v>1023.6</v>
      </c>
      <c r="AQ114" s="5">
        <f t="shared" si="62"/>
        <v>1087.8499999999999</v>
      </c>
      <c r="AR114" s="100"/>
    </row>
    <row r="115" spans="1:44" ht="13" x14ac:dyDescent="0.3">
      <c r="A115" s="1">
        <v>15</v>
      </c>
      <c r="B115" s="1">
        <v>100</v>
      </c>
      <c r="C115" s="4">
        <f t="shared" si="68"/>
        <v>1.3494106728619515</v>
      </c>
      <c r="D115" s="7">
        <f t="shared" si="48"/>
        <v>0</v>
      </c>
      <c r="E115" s="7">
        <f>IF(I$3=0,0,IF(OPFOKLEGHEN!$H$13="parallel geschakeld met warmtewisselaar",0,MIN(I$3,C115)))</f>
        <v>0</v>
      </c>
      <c r="F115" s="7">
        <f>IF(I$3=0,0,IF(OPFOKLEGHEN!$H$13="serie geschakeld met warmtewisselaar",0,IF(C115&lt;$I$3,C115-D115,MIN($I$3,C115-D115))))</f>
        <v>0</v>
      </c>
      <c r="G115" s="137">
        <f>IF(C115&lt;$I$7,MAX(0,C115-D115-E115-F115,IF(OPFOKLEGHEN!$H$15="warmtewisselaar",IF(OPFOKLEGHEN!$H$13="serie geschakeld met warmtewisselaar",MIN(I$7,MAX(0,C115-D115-F115)),MIN(I$7,MAX(0,C115-D115-E115-F115))))),IF(OPFOKLEGHEN!$H$13="parallel geschakeld met warmtewisselaar",MIN(I$7,C115-D115-E115-F115,MIN(I$7,C115-E115-F115)),MIN(I$7,MAX(0,C115-D115-F115))))</f>
        <v>0</v>
      </c>
      <c r="H115" s="7">
        <f>IF(OPFOKLEGHEN!$H$13="parallel geschakeld met warmtewisselaar",IF(OPFOKLEGHEN!$L$9="nee",IF(OPFOKLEGHEN!$J$18="ja",C115-F115-G115,C115-D115-F115-G115),IF(OPFOKLEGHEN!$L$9="ja",IF(OPFOKLEGHEN!$J$18="ja",C115-G115,IF(OPFOKLEGHEN!$J$18="nee",C115-D115-G115)))),IF(OPFOKLEGHEN!$H$13="serie geschakeld met warmtewisselaar",IF(OPFOKLEGHEN!$J$18="ja",C115-G115,C115-D115-F115-G115),C115-D115-F115-G115))</f>
        <v>1.3494106728619515</v>
      </c>
      <c r="I115" s="98">
        <f t="shared" si="49"/>
        <v>1.3494106728619515</v>
      </c>
      <c r="J115" s="99">
        <v>1.3109392659457497</v>
      </c>
      <c r="K115" s="6">
        <f t="shared" si="59"/>
        <v>15.496400027603221</v>
      </c>
      <c r="L115" s="130">
        <f>SUM(K$16:K115)/$K$137</f>
        <v>0.52113992795666919</v>
      </c>
      <c r="M115" s="6">
        <f t="shared" si="60"/>
        <v>0.17689954369410069</v>
      </c>
      <c r="N115" s="6">
        <f t="shared" si="73"/>
        <v>15.496400027603221</v>
      </c>
      <c r="O115" s="6">
        <f>IF(E115&lt;I$3,P115*(1-I$6*D115/C115),IF(OPFOKLEGHEN!$H$11="droogtunnel (platen) 55%",P115*(1-$I$6)+(C115-D115)/C115*(K115-P115*(1-I$6)),P115*(1-$I$6)+(C115-D115)/C115*(K115-P115*(1-I$6))))</f>
        <v>15.496400027603221</v>
      </c>
      <c r="P115" s="129">
        <f t="shared" si="74"/>
        <v>15.496400027603221</v>
      </c>
      <c r="Q115" s="134">
        <f t="shared" si="75"/>
        <v>15.496400027603221</v>
      </c>
      <c r="R115" s="134">
        <f t="shared" si="61"/>
        <v>15.496400027603221</v>
      </c>
      <c r="S115" s="199">
        <f>IF(G115&lt;0.1,K115,IF(C115=F115,S115/(1-I$4),IF(I$3=0,K115-(G115/C115)*K115*S$13,IF(OPFOKLEGHEN!$H$13="Parallel geschakeld met warmtewisselaar",K115-(K115-(K115-Q115)/I$4)*(G115/(C115-F115))*S$13,IF(OPFOKLEGHEN!$H$20="ja",K115-(K115-(K115-P115)/I$4)*(G115/(C115-MIN(D115,I$5)))*S$13,K115-(K115-(K115-P115)/I$4)*(G115/(C115-MIN(D115,I$5)))*S$13)))))</f>
        <v>15.496400027603221</v>
      </c>
      <c r="T115" s="17">
        <f t="shared" si="77"/>
        <v>15.496400027603221</v>
      </c>
      <c r="U115" s="6">
        <f t="shared" si="50"/>
        <v>0</v>
      </c>
      <c r="V115" s="129">
        <f>IF(OPFOKLEGHEN!$J$18="nee",H115/C115*K115,IF(OPFOKLEGHEN!$H$20="ja",O115-(K115-Q115)-(K115-S115),Q115-(K115-O115)-(K115-S115)))</f>
        <v>15.496400027603221</v>
      </c>
      <c r="W115" s="162">
        <f>IF(H115=0,0,IF(OPFOKLEGHEN!$H$11="geen droogtunnel",IF(OPFOKLEGHEN!$H$15="geen warmtewisselaar",Q115-(K115-R115)))+IF(OPFOKLEGHEN!$H$12&gt;0,IF(OPFOKLEGHEN!$H$13="serie geschakeld met warmtewisselaar",(O115*80%-(K115-S115)),(Q115-(K115-S115)-(K115-T115))),(N115-(K115-S115))))</f>
        <v>30.992800055206441</v>
      </c>
      <c r="X115" s="162">
        <f>IF(H115=0,0,IF(OPFOKLEGHEN!$H$11="geen droogtunnel",IF(OPFOKLEGHEN!$H$15="geen warmtewisselaar",Q115-(K115-R115)))+IF(OPFOKLEGHEN!$H$12&gt;0,IF(OPFOKLEGHEN!$H$13="serie geschakeld met warmtewisselaar",3*(O115*80%-(K115-S115)),(Q115-(K115-S115)-(K115-N115))),(N115-(K115-S115))))</f>
        <v>30.992800055206441</v>
      </c>
      <c r="Y115" s="162">
        <f>IF(H115=0,0,IF(OPFOKLEGHEN!$H$11="geen droogtunnel",IF(OPFOKLEGHEN!$H$15="geen warmtewisselaar",Q115-(K115-R115)))+IF(OPFOKLEGHEN!$H$12&gt;0,IF(OPFOKLEGHEN!$H$13="serie geschakeld met warmtewisselaar",(O115-(K115-S115)),IF(OPFOKLEGHEN!$H$13="parallel geschakeld met warmtewisselaar",IF(OPFOKLEGHEN!$L$9="ja",IF(OPFOKLEGHEN!$J$18="nee",(N115-(K115-Q115)-(K115-S115)),(Q115-(K115-N115/80%)))))),(O115-(K115-S115))))</f>
        <v>30.992800055206441</v>
      </c>
      <c r="Z115" s="130">
        <f t="shared" si="76"/>
        <v>1</v>
      </c>
      <c r="AA115" s="130"/>
      <c r="AB115" s="130"/>
      <c r="AC115" s="167">
        <f>IF(H115=0,0,IF(OPFOKLEGHEN!$H$11="geen droogtunnel",IF(OPFOKLEGHEN!$H$15="geen warmtewisselaar",(P115-(K115-R115)/R$13),K115-(K115-O115)/I$6-(K115-R115)/95%)+IF(OPFOKLEGHEN!$J$18="ja",(K115-O115)*(1-I$6)),IF(OPFOKLEGHEN!$H$12&gt;=0,IF(OPFOKLEGHEN!$L$9="ja",IF(OPFOKLEGHEN!$J$18="ja",IF(OPFOKLEGHEN!$H$20="ja",O115-(K115-S115),IF(OPFOKLEGHEN!$H$20="nee",(O115-(K115-S115)),(O115-(K115-S115)))),IF(OPFOKLEGHEN!$J$18="nee",IF(OPFOKLEGHEN!$H$20="nee",O115*80%-(K115-S115),0+O115-(K115-S115)))),IF(OPFOKLEGHEN!$L$9="nee",IF(OPFOKLEGHEN!$J$18="nee",IF(OPFOKLEGHEN!$H$20="nee",(O115*80%-(K115-S115)),O115*93%-(K115-S115)),IF(OPFOKLEGHEN!$H$20="nee",IF(OPFOKLEGHEN!$J$18="ja",IF(OPFOKLEGHEN!$L$9="nee",O115-(K115-S115))),O115-(K115-S115))))))))</f>
        <v>15.496400027603221</v>
      </c>
      <c r="AD115" s="167" t="e">
        <f>IF(H115=0,0,IF(OPFOKLEGHEN!$H$11="geen droogtunnel",IF(OPFOKLEGHEN!$H$15="geen warmtewisselaar",(Q115-(K115-R115)/S$13),N115-(K115-R115)),IF(OPFOKLEGHEN!$H$12&gt;=0,IF(OPFOKLEGHEN!$L$9="ja",IF(OPFOKLEGHEN!$J$18="ja",IF(OPFOKLEGHEN!$H$20="ja",Q115-(K115-N115)-(K115-S115),IF(OPFOKLEGHEN!$H$20="nee",(Q115-(K115-N115)-(K115-S115)),(O115-(K115-S115)))),IF(OPFOKLEGHEN!$J$18="nee",IF(OPFOKLEGHEN!$H$20="nee",1*Q115*$N$135-(K115-N115)-(K115-S115),(Q115-(K115-N115)-(K115-S115))*N$135))),IF(OPFOKLEGHEN!$L$9="nee",IF(OPFOKLEGHEN!$J$18="nee",IF(OPFOKLEGHEN!$H$20="nee",(N115*95%-(K115-Q115)/I$4-(K115-S115)),N115-(K115-Q115)/I$4-(K115-S115)),IF(OPFOKLEGHEN!$H$20="nee",IF(OPFOKLEGHEN!$J$18="ja",IF(OPFOKLEGHEN!$L$9="nee",N115-(K115-Q115)/I$4-(K115-S115))),N115-(K115-Q115)/I$4-(K115-S115))))))))</f>
        <v>#DIV/0!</v>
      </c>
      <c r="AE115" s="4"/>
      <c r="AF115" s="6"/>
      <c r="AG115" s="6"/>
      <c r="AH115" s="4"/>
      <c r="AI115" s="6"/>
      <c r="AJ115" s="6"/>
      <c r="AK115" s="4"/>
      <c r="AL115" s="6"/>
      <c r="AM115" s="1">
        <v>15</v>
      </c>
      <c r="AN115" s="1">
        <v>100</v>
      </c>
      <c r="AO115" s="5">
        <f t="shared" si="78"/>
        <v>1164.1999999999998</v>
      </c>
      <c r="AP115" s="5">
        <f t="shared" si="79"/>
        <v>1032.2</v>
      </c>
      <c r="AQ115" s="5">
        <f t="shared" si="62"/>
        <v>1098.1999999999998</v>
      </c>
      <c r="AR115" s="100"/>
    </row>
    <row r="116" spans="1:44" ht="13" x14ac:dyDescent="0.3">
      <c r="A116" s="1">
        <v>15</v>
      </c>
      <c r="B116" s="1">
        <v>101</v>
      </c>
      <c r="C116" s="4">
        <f t="shared" si="68"/>
        <v>1.3670936488220173</v>
      </c>
      <c r="D116" s="7">
        <f t="shared" si="48"/>
        <v>0</v>
      </c>
      <c r="E116" s="7">
        <f>IF(I$3=0,0,IF(OPFOKLEGHEN!$H$13="parallel geschakeld met warmtewisselaar",0,MIN(I$3,C116)))</f>
        <v>0</v>
      </c>
      <c r="F116" s="7">
        <f>IF(I$3=0,0,IF(OPFOKLEGHEN!$H$13="serie geschakeld met warmtewisselaar",0,IF(C116&lt;$I$3,C116-D116,MIN($I$3,C116-D116))))</f>
        <v>0</v>
      </c>
      <c r="G116" s="137">
        <f>IF(C116&lt;$I$7,MAX(0,C116-D116-E116-F116,IF(OPFOKLEGHEN!$H$15="warmtewisselaar",IF(OPFOKLEGHEN!$H$13="serie geschakeld met warmtewisselaar",MIN(I$7,MAX(0,C116-D116-F116)),MIN(I$7,MAX(0,C116-D116-E116-F116))))),IF(OPFOKLEGHEN!$H$13="parallel geschakeld met warmtewisselaar",MIN(I$7,C116-D116-E116-F116,MIN(I$7,C116-E116-F116)),MIN(I$7,MAX(0,C116-D116-F116))))</f>
        <v>0</v>
      </c>
      <c r="H116" s="7">
        <f>IF(OPFOKLEGHEN!$H$13="parallel geschakeld met warmtewisselaar",IF(OPFOKLEGHEN!$L$9="nee",IF(OPFOKLEGHEN!$J$18="ja",C116-F116-G116,C116-D116-F116-G116),IF(OPFOKLEGHEN!$L$9="ja",IF(OPFOKLEGHEN!$J$18="ja",C116-G116,IF(OPFOKLEGHEN!$J$18="nee",C116-D116-G116)))),IF(OPFOKLEGHEN!$H$13="serie geschakeld met warmtewisselaar",IF(OPFOKLEGHEN!$J$18="ja",C116-G116,C116-D116-F116-G116),C116-D116-F116-G116))</f>
        <v>1.3670936488220173</v>
      </c>
      <c r="I116" s="98">
        <f t="shared" si="49"/>
        <v>1.3670936488220173</v>
      </c>
      <c r="J116" s="99">
        <v>1.3352838316057536</v>
      </c>
      <c r="K116" s="6">
        <f t="shared" si="59"/>
        <v>15.991012479131474</v>
      </c>
      <c r="L116" s="130">
        <f>SUM(K$16:K116)/$K$137</f>
        <v>0.53986604510382585</v>
      </c>
      <c r="M116" s="6">
        <f t="shared" si="60"/>
        <v>0.18437126260185832</v>
      </c>
      <c r="N116" s="6">
        <f t="shared" si="73"/>
        <v>15.991012479131474</v>
      </c>
      <c r="O116" s="6">
        <f>IF(E116&lt;I$3,P116*(1-I$6*D116/C116),IF(OPFOKLEGHEN!$H$11="droogtunnel (platen) 55%",P116*(1-$I$6)+(C116-D116)/C116*(K116-P116*(1-I$6)),P116*(1-$I$6)+(C116-D116)/C116*(K116-P116*(1-I$6))))</f>
        <v>15.991012479131474</v>
      </c>
      <c r="P116" s="129">
        <f t="shared" si="74"/>
        <v>15.991012479131474</v>
      </c>
      <c r="Q116" s="134">
        <f t="shared" si="75"/>
        <v>15.991012479131474</v>
      </c>
      <c r="R116" s="134">
        <f t="shared" si="61"/>
        <v>15.991012479131474</v>
      </c>
      <c r="S116" s="199">
        <f>IF(G116&lt;0.1,K116,IF(C116=F116,S116/(1-I$4),IF(I$3=0,K116-(G116/C116)*K116*S$13,IF(OPFOKLEGHEN!$H$13="Parallel geschakeld met warmtewisselaar",K116-(K116-(K116-Q116)/I$4)*(G116/(C116-F116))*S$13,IF(OPFOKLEGHEN!$H$20="ja",K116-(K116-(K116-P116)/I$4)*(G116/(C116-MIN(D116,I$5)))*S$13,K116-(K116-(K116-P116)/I$4)*(G116/(C116-MIN(D116,I$5)))*S$13)))))</f>
        <v>15.991012479131474</v>
      </c>
      <c r="T116" s="17">
        <f t="shared" si="77"/>
        <v>15.991012479131474</v>
      </c>
      <c r="U116" s="6">
        <f t="shared" si="50"/>
        <v>0</v>
      </c>
      <c r="V116" s="129">
        <f>IF(OPFOKLEGHEN!$J$18="nee",H116/C116*K116,IF(OPFOKLEGHEN!$H$20="ja",O116-(K116-Q116)-(K116-S116),Q116-(K116-O116)-(K116-S116)))</f>
        <v>15.991012479131474</v>
      </c>
      <c r="W116" s="162">
        <f>IF(H116=0,0,IF(OPFOKLEGHEN!$H$11="geen droogtunnel",IF(OPFOKLEGHEN!$H$15="geen warmtewisselaar",Q116-(K116-R116)))+IF(OPFOKLEGHEN!$H$12&gt;0,IF(OPFOKLEGHEN!$H$13="serie geschakeld met warmtewisselaar",(O116*80%-(K116-S116)),(Q116-(K116-S116)-(K116-T116))),(N116-(K116-S116))))</f>
        <v>31.982024958262947</v>
      </c>
      <c r="X116" s="162">
        <f>IF(H116=0,0,IF(OPFOKLEGHEN!$H$11="geen droogtunnel",IF(OPFOKLEGHEN!$H$15="geen warmtewisselaar",Q116-(K116-R116)))+IF(OPFOKLEGHEN!$H$12&gt;0,IF(OPFOKLEGHEN!$H$13="serie geschakeld met warmtewisselaar",3*(O116*80%-(K116-S116)),(Q116-(K116-S116)-(K116-N116))),(N116-(K116-S116))))</f>
        <v>31.982024958262947</v>
      </c>
      <c r="Y116" s="162">
        <f>IF(H116=0,0,IF(OPFOKLEGHEN!$H$11="geen droogtunnel",IF(OPFOKLEGHEN!$H$15="geen warmtewisselaar",Q116-(K116-R116)))+IF(OPFOKLEGHEN!$H$12&gt;0,IF(OPFOKLEGHEN!$H$13="serie geschakeld met warmtewisselaar",(O116-(K116-S116)),IF(OPFOKLEGHEN!$H$13="parallel geschakeld met warmtewisselaar",IF(OPFOKLEGHEN!$L$9="ja",IF(OPFOKLEGHEN!$J$18="nee",(N116-(K116-Q116)-(K116-S116)),(Q116-(K116-N116/80%)))))),(O116-(K116-S116))))</f>
        <v>31.982024958262947</v>
      </c>
      <c r="Z116" s="130">
        <f t="shared" si="76"/>
        <v>1</v>
      </c>
      <c r="AA116" s="130"/>
      <c r="AB116" s="130"/>
      <c r="AC116" s="167">
        <f>IF(H116=0,0,IF(OPFOKLEGHEN!$H$11="geen droogtunnel",IF(OPFOKLEGHEN!$H$15="geen warmtewisselaar",(P116-(K116-R116)/R$13),K116-(K116-O116)/I$6-(K116-R116)/95%)+IF(OPFOKLEGHEN!$J$18="ja",(K116-O116)*(1-I$6)),IF(OPFOKLEGHEN!$H$12&gt;=0,IF(OPFOKLEGHEN!$L$9="ja",IF(OPFOKLEGHEN!$J$18="ja",IF(OPFOKLEGHEN!$H$20="ja",O116-(K116-S116),IF(OPFOKLEGHEN!$H$20="nee",(O116-(K116-S116)),(O116-(K116-S116)))),IF(OPFOKLEGHEN!$J$18="nee",IF(OPFOKLEGHEN!$H$20="nee",O116*80%-(K116-S116),0+O116-(K116-S116)))),IF(OPFOKLEGHEN!$L$9="nee",IF(OPFOKLEGHEN!$J$18="nee",IF(OPFOKLEGHEN!$H$20="nee",(O116*80%-(K116-S116)),O116*93%-(K116-S116)),IF(OPFOKLEGHEN!$H$20="nee",IF(OPFOKLEGHEN!$J$18="ja",IF(OPFOKLEGHEN!$L$9="nee",O116-(K116-S116))),O116-(K116-S116))))))))</f>
        <v>15.991012479131474</v>
      </c>
      <c r="AD116" s="167" t="e">
        <f>IF(H116=0,0,IF(OPFOKLEGHEN!$H$11="geen droogtunnel",IF(OPFOKLEGHEN!$H$15="geen warmtewisselaar",(Q116-(K116-R116)/S$13),N116-(K116-R116)),IF(OPFOKLEGHEN!$H$12&gt;=0,IF(OPFOKLEGHEN!$L$9="ja",IF(OPFOKLEGHEN!$J$18="ja",IF(OPFOKLEGHEN!$H$20="ja",Q116-(K116-N116)-(K116-S116),IF(OPFOKLEGHEN!$H$20="nee",(Q116-(K116-N116)-(K116-S116)),(O116-(K116-S116)))),IF(OPFOKLEGHEN!$J$18="nee",IF(OPFOKLEGHEN!$H$20="nee",1*Q116*$N$135-(K116-N116)-(K116-S116),(Q116-(K116-N116)-(K116-S116))*N$135))),IF(OPFOKLEGHEN!$L$9="nee",IF(OPFOKLEGHEN!$J$18="nee",IF(OPFOKLEGHEN!$H$20="nee",(N116*95%-(K116-Q116)/I$4-(K116-S116)),N116-(K116-Q116)/I$4-(K116-S116)),IF(OPFOKLEGHEN!$H$20="nee",IF(OPFOKLEGHEN!$J$18="ja",IF(OPFOKLEGHEN!$L$9="nee",N116-(K116-Q116)/I$4-(K116-S116))),N116-(K116-Q116)/I$4-(K116-S116))))))))</f>
        <v>#DIV/0!</v>
      </c>
      <c r="AE116" s="4"/>
      <c r="AF116" s="6"/>
      <c r="AG116" s="6"/>
      <c r="AH116" s="4"/>
      <c r="AI116" s="6"/>
      <c r="AJ116" s="6"/>
      <c r="AK116" s="4"/>
      <c r="AL116" s="6"/>
      <c r="AM116" s="1">
        <v>15</v>
      </c>
      <c r="AN116" s="1">
        <v>101</v>
      </c>
      <c r="AO116" s="5">
        <f t="shared" si="78"/>
        <v>1176.2999999999997</v>
      </c>
      <c r="AP116" s="5">
        <f t="shared" si="79"/>
        <v>1040.8</v>
      </c>
      <c r="AQ116" s="5">
        <f t="shared" si="62"/>
        <v>1108.5499999999997</v>
      </c>
      <c r="AR116" s="100"/>
    </row>
    <row r="117" spans="1:44" ht="13" x14ac:dyDescent="0.3">
      <c r="A117" s="1">
        <v>15</v>
      </c>
      <c r="B117" s="1">
        <v>102</v>
      </c>
      <c r="C117" s="4">
        <f t="shared" si="68"/>
        <v>1.3849769407719552</v>
      </c>
      <c r="D117" s="7">
        <f t="shared" si="48"/>
        <v>0</v>
      </c>
      <c r="E117" s="7">
        <f>IF(I$3=0,0,IF(OPFOKLEGHEN!$H$13="parallel geschakeld met warmtewisselaar",0,MIN(I$3,C117)))</f>
        <v>0</v>
      </c>
      <c r="F117" s="7">
        <f>IF(I$3=0,0,IF(OPFOKLEGHEN!$H$13="serie geschakeld met warmtewisselaar",0,IF(C117&lt;$I$3,C117-D117,MIN($I$3,C117-D117))))</f>
        <v>0</v>
      </c>
      <c r="G117" s="137">
        <f>IF(C117&lt;$I$7,MAX(0,C117-D117-E117-F117,IF(OPFOKLEGHEN!$H$15="warmtewisselaar",IF(OPFOKLEGHEN!$H$13="serie geschakeld met warmtewisselaar",MIN(I$7,MAX(0,C117-D117-F117)),MIN(I$7,MAX(0,C117-D117-E117-F117))))),IF(OPFOKLEGHEN!$H$13="parallel geschakeld met warmtewisselaar",MIN(I$7,C117-D117-E117-F117,MIN(I$7,C117-E117-F117)),MIN(I$7,MAX(0,C117-D117-F117))))</f>
        <v>0</v>
      </c>
      <c r="H117" s="7">
        <f>IF(OPFOKLEGHEN!$H$13="parallel geschakeld met warmtewisselaar",IF(OPFOKLEGHEN!$L$9="nee",IF(OPFOKLEGHEN!$J$18="ja",C117-F117-G117,C117-D117-F117-G117),IF(OPFOKLEGHEN!$L$9="ja",IF(OPFOKLEGHEN!$J$18="ja",C117-G117,IF(OPFOKLEGHEN!$J$18="nee",C117-D117-G117)))),IF(OPFOKLEGHEN!$H$13="serie geschakeld met warmtewisselaar",IF(OPFOKLEGHEN!$J$18="ja",C117-G117,C117-D117-F117-G117),C117-D117-F117-G117))</f>
        <v>1.3849769407719552</v>
      </c>
      <c r="I117" s="98">
        <f t="shared" si="49"/>
        <v>1.3849769407719552</v>
      </c>
      <c r="J117" s="99">
        <v>1.3600804837144354</v>
      </c>
      <c r="K117" s="6">
        <f t="shared" si="59"/>
        <v>16.501037742036907</v>
      </c>
      <c r="L117" s="130">
        <f>SUM(K$16:K117)/$K$137</f>
        <v>0.55918942229525048</v>
      </c>
      <c r="M117" s="6">
        <f t="shared" si="60"/>
        <v>0.19213537096892289</v>
      </c>
      <c r="N117" s="6">
        <f t="shared" si="73"/>
        <v>16.501037742036907</v>
      </c>
      <c r="O117" s="6">
        <f>IF(E117&lt;I$3,P117*(1-I$6*D117/C117),IF(OPFOKLEGHEN!$H$11="droogtunnel (platen) 55%",P117*(1-$I$6)+(C117-D117)/C117*(K117-P117*(1-I$6)),P117*(1-$I$6)+(C117-D117)/C117*(K117-P117*(1-I$6))))</f>
        <v>16.501037742036907</v>
      </c>
      <c r="P117" s="129">
        <f t="shared" si="74"/>
        <v>16.501037742036907</v>
      </c>
      <c r="Q117" s="134">
        <f t="shared" si="75"/>
        <v>16.501037742036907</v>
      </c>
      <c r="R117" s="134">
        <f t="shared" si="61"/>
        <v>16.501037742036907</v>
      </c>
      <c r="S117" s="199">
        <f>IF(G117&lt;0.1,K117,IF(C117=F117,S117/(1-I$4),IF(I$3=0,K117-(G117/C117)*K117*S$13,IF(OPFOKLEGHEN!$H$13="Parallel geschakeld met warmtewisselaar",K117-(K117-(K117-Q117)/I$4)*(G117/(C117-F117))*S$13,IF(OPFOKLEGHEN!$H$20="ja",K117-(K117-(K117-P117)/I$4)*(G117/(C117-MIN(D117,I$5)))*S$13,K117-(K117-(K117-P117)/I$4)*(G117/(C117-MIN(D117,I$5)))*S$13)))))</f>
        <v>16.501037742036907</v>
      </c>
      <c r="T117" s="17">
        <f t="shared" si="77"/>
        <v>16.501037742036907</v>
      </c>
      <c r="U117" s="6">
        <f t="shared" si="50"/>
        <v>0</v>
      </c>
      <c r="V117" s="129">
        <f>IF(OPFOKLEGHEN!$J$18="nee",H117/C117*K117,IF(OPFOKLEGHEN!$H$20="ja",O117-(K117-Q117)-(K117-S117),Q117-(K117-O117)-(K117-S117)))</f>
        <v>16.501037742036907</v>
      </c>
      <c r="W117" s="162">
        <f>IF(H117=0,0,IF(OPFOKLEGHEN!$H$11="geen droogtunnel",IF(OPFOKLEGHEN!$H$15="geen warmtewisselaar",Q117-(K117-R117)))+IF(OPFOKLEGHEN!$H$12&gt;0,IF(OPFOKLEGHEN!$H$13="serie geschakeld met warmtewisselaar",(O117*80%-(K117-S117)),(Q117-(K117-S117)-(K117-T117))),(N117-(K117-S117))))</f>
        <v>33.002075484073814</v>
      </c>
      <c r="X117" s="162">
        <f>IF(H117=0,0,IF(OPFOKLEGHEN!$H$11="geen droogtunnel",IF(OPFOKLEGHEN!$H$15="geen warmtewisselaar",Q117-(K117-R117)))+IF(OPFOKLEGHEN!$H$12&gt;0,IF(OPFOKLEGHEN!$H$13="serie geschakeld met warmtewisselaar",3*(O117*80%-(K117-S117)),(Q117-(K117-S117)-(K117-N117))),(N117-(K117-S117))))</f>
        <v>33.002075484073814</v>
      </c>
      <c r="Y117" s="162">
        <f>IF(H117=0,0,IF(OPFOKLEGHEN!$H$11="geen droogtunnel",IF(OPFOKLEGHEN!$H$15="geen warmtewisselaar",Q117-(K117-R117)))+IF(OPFOKLEGHEN!$H$12&gt;0,IF(OPFOKLEGHEN!$H$13="serie geschakeld met warmtewisselaar",(O117-(K117-S117)),IF(OPFOKLEGHEN!$H$13="parallel geschakeld met warmtewisselaar",IF(OPFOKLEGHEN!$L$9="ja",IF(OPFOKLEGHEN!$J$18="nee",(N117-(K117-Q117)-(K117-S117)),(Q117-(K117-N117/80%)))))),(O117-(K117-S117))))</f>
        <v>33.002075484073814</v>
      </c>
      <c r="Z117" s="130">
        <f t="shared" si="76"/>
        <v>1</v>
      </c>
      <c r="AA117" s="130"/>
      <c r="AB117" s="130"/>
      <c r="AC117" s="167">
        <f>IF(H117=0,0,IF(OPFOKLEGHEN!$H$11="geen droogtunnel",IF(OPFOKLEGHEN!$H$15="geen warmtewisselaar",(P117-(K117-R117)/R$13),K117-(K117-O117)/I$6-(K117-R117)/95%)+IF(OPFOKLEGHEN!$J$18="ja",(K117-O117)*(1-I$6)),IF(OPFOKLEGHEN!$H$12&gt;=0,IF(OPFOKLEGHEN!$L$9="ja",IF(OPFOKLEGHEN!$J$18="ja",IF(OPFOKLEGHEN!$H$20="ja",O117-(K117-S117),IF(OPFOKLEGHEN!$H$20="nee",(O117-(K117-S117)),(O117-(K117-S117)))),IF(OPFOKLEGHEN!$J$18="nee",IF(OPFOKLEGHEN!$H$20="nee",O117*80%-(K117-S117),0+O117-(K117-S117)))),IF(OPFOKLEGHEN!$L$9="nee",IF(OPFOKLEGHEN!$J$18="nee",IF(OPFOKLEGHEN!$H$20="nee",(O117*80%-(K117-S117)),O117*93%-(K117-S117)),IF(OPFOKLEGHEN!$H$20="nee",IF(OPFOKLEGHEN!$J$18="ja",IF(OPFOKLEGHEN!$L$9="nee",O117-(K117-S117))),O117-(K117-S117))))))))</f>
        <v>16.501037742036907</v>
      </c>
      <c r="AD117" s="167" t="e">
        <f>IF(H117=0,0,IF(OPFOKLEGHEN!$H$11="geen droogtunnel",IF(OPFOKLEGHEN!$H$15="geen warmtewisselaar",(Q117-(K117-R117)/S$13),N117-(K117-R117)),IF(OPFOKLEGHEN!$H$12&gt;=0,IF(OPFOKLEGHEN!$L$9="ja",IF(OPFOKLEGHEN!$J$18="ja",IF(OPFOKLEGHEN!$H$20="ja",Q117-(K117-N117)-(K117-S117),IF(OPFOKLEGHEN!$H$20="nee",(Q117-(K117-N117)-(K117-S117)),(O117-(K117-S117)))),IF(OPFOKLEGHEN!$J$18="nee",IF(OPFOKLEGHEN!$H$20="nee",1*Q117*$N$135-(K117-N117)-(K117-S117),(Q117-(K117-N117)-(K117-S117))*N$135))),IF(OPFOKLEGHEN!$L$9="nee",IF(OPFOKLEGHEN!$J$18="nee",IF(OPFOKLEGHEN!$H$20="nee",(N117*95%-(K117-Q117)/I$4-(K117-S117)),N117-(K117-Q117)/I$4-(K117-S117)),IF(OPFOKLEGHEN!$H$20="nee",IF(OPFOKLEGHEN!$J$18="ja",IF(OPFOKLEGHEN!$L$9="nee",N117-(K117-Q117)/I$4-(K117-S117))),N117-(K117-Q117)/I$4-(K117-S117))))))))</f>
        <v>#DIV/0!</v>
      </c>
      <c r="AE117" s="4"/>
      <c r="AF117" s="6"/>
      <c r="AG117" s="6"/>
      <c r="AH117" s="4"/>
      <c r="AI117" s="6"/>
      <c r="AJ117" s="6"/>
      <c r="AK117" s="4"/>
      <c r="AL117" s="6"/>
      <c r="AM117" s="1">
        <v>15</v>
      </c>
      <c r="AN117" s="1">
        <v>102</v>
      </c>
      <c r="AO117" s="5">
        <f t="shared" si="78"/>
        <v>1188.3999999999996</v>
      </c>
      <c r="AP117" s="5">
        <f t="shared" si="79"/>
        <v>1049.3999999999999</v>
      </c>
      <c r="AQ117" s="5">
        <f t="shared" si="62"/>
        <v>1118.8999999999996</v>
      </c>
      <c r="AR117" s="100"/>
    </row>
    <row r="118" spans="1:44" ht="13" x14ac:dyDescent="0.3">
      <c r="A118" s="1">
        <v>15</v>
      </c>
      <c r="B118" s="1">
        <v>103</v>
      </c>
      <c r="C118" s="4">
        <f t="shared" si="68"/>
        <v>1.403063103197749</v>
      </c>
      <c r="D118" s="7">
        <f t="shared" si="48"/>
        <v>0</v>
      </c>
      <c r="E118" s="7">
        <f>IF(I$3=0,0,IF(OPFOKLEGHEN!$H$13="parallel geschakeld met warmtewisselaar",0,MIN(I$3,C118)))</f>
        <v>0</v>
      </c>
      <c r="F118" s="7">
        <f>IF(I$3=0,0,IF(OPFOKLEGHEN!$H$13="serie geschakeld met warmtewisselaar",0,IF(C118&lt;$I$3,C118-D118,MIN($I$3,C118-D118))))</f>
        <v>0</v>
      </c>
      <c r="G118" s="137">
        <f>IF(C118&lt;$I$7,MAX(0,C118-D118-E118-F118,IF(OPFOKLEGHEN!$H$15="warmtewisselaar",IF(OPFOKLEGHEN!$H$13="serie geschakeld met warmtewisselaar",MIN(I$7,MAX(0,C118-D118-F118)),MIN(I$7,MAX(0,C118-D118-E118-F118))))),IF(OPFOKLEGHEN!$H$13="parallel geschakeld met warmtewisselaar",MIN(I$7,C118-D118-E118-F118,MIN(I$7,C118-E118-F118)),MIN(I$7,MAX(0,C118-D118-F118))))</f>
        <v>0</v>
      </c>
      <c r="H118" s="7">
        <f>IF(OPFOKLEGHEN!$H$13="parallel geschakeld met warmtewisselaar",IF(OPFOKLEGHEN!$L$9="nee",IF(OPFOKLEGHEN!$J$18="ja",C118-F118-G118,C118-D118-F118-G118),IF(OPFOKLEGHEN!$L$9="ja",IF(OPFOKLEGHEN!$J$18="ja",C118-G118,IF(OPFOKLEGHEN!$J$18="nee",C118-D118-G118)))),IF(OPFOKLEGHEN!$H$13="serie geschakeld met warmtewisselaar",IF(OPFOKLEGHEN!$J$18="ja",C118-G118,C118-D118-F118-G118),C118-D118-F118-G118))</f>
        <v>1.403063103197749</v>
      </c>
      <c r="I118" s="98">
        <f t="shared" si="49"/>
        <v>1.403063103197749</v>
      </c>
      <c r="J118" s="99">
        <v>1.3853376176631913</v>
      </c>
      <c r="K118" s="6">
        <f t="shared" si="59"/>
        <v>17.026953008100222</v>
      </c>
      <c r="L118" s="130">
        <f>SUM(K$16:K118)/$K$137</f>
        <v>0.57912866736212276</v>
      </c>
      <c r="M118" s="6">
        <f t="shared" si="60"/>
        <v>0.20020275797195466</v>
      </c>
      <c r="N118" s="6">
        <f t="shared" si="73"/>
        <v>17.026953008100222</v>
      </c>
      <c r="O118" s="6">
        <f>IF(E118&lt;I$3,P118*(1-I$6*D118/C118),IF(OPFOKLEGHEN!$H$11="droogtunnel (platen) 55%",P118*(1-$I$6)+(C118-D118)/C118*(K118-P118*(1-I$6)),P118*(1-$I$6)+(C118-D118)/C118*(K118-P118*(1-I$6))))</f>
        <v>17.026953008100222</v>
      </c>
      <c r="P118" s="129">
        <f t="shared" si="74"/>
        <v>17.026953008100222</v>
      </c>
      <c r="Q118" s="134">
        <f t="shared" si="75"/>
        <v>17.026953008100222</v>
      </c>
      <c r="R118" s="134">
        <f t="shared" si="61"/>
        <v>17.026953008100222</v>
      </c>
      <c r="S118" s="199">
        <f>IF(G118&lt;0.1,K118,IF(C118=F118,S118/(1-I$4),IF(I$3=0,K118-(G118/C118)*K118*S$13,IF(OPFOKLEGHEN!$H$13="Parallel geschakeld met warmtewisselaar",K118-(K118-(K118-Q118)/I$4)*(G118/(C118-F118))*S$13,IF(OPFOKLEGHEN!$H$20="ja",K118-(K118-(K118-P118)/I$4)*(G118/(C118-MIN(D118,I$5)))*S$13,K118-(K118-(K118-P118)/I$4)*(G118/(C118-MIN(D118,I$5)))*S$13)))))</f>
        <v>17.026953008100222</v>
      </c>
      <c r="T118" s="17">
        <f t="shared" si="77"/>
        <v>17.026953008100222</v>
      </c>
      <c r="U118" s="6">
        <f t="shared" si="50"/>
        <v>0</v>
      </c>
      <c r="V118" s="129">
        <f>IF(OPFOKLEGHEN!$J$18="nee",H118/C118*K118,IF(OPFOKLEGHEN!$H$20="ja",O118-(K118-Q118)-(K118-S118),Q118-(K118-O118)-(K118-S118)))</f>
        <v>17.026953008100222</v>
      </c>
      <c r="W118" s="162">
        <f>IF(H118=0,0,IF(OPFOKLEGHEN!$H$11="geen droogtunnel",IF(OPFOKLEGHEN!$H$15="geen warmtewisselaar",Q118-(K118-R118)))+IF(OPFOKLEGHEN!$H$12&gt;0,IF(OPFOKLEGHEN!$H$13="serie geschakeld met warmtewisselaar",(O118*80%-(K118-S118)),(Q118-(K118-S118)-(K118-T118))),(N118-(K118-S118))))</f>
        <v>34.053906016200443</v>
      </c>
      <c r="X118" s="162">
        <f>IF(H118=0,0,IF(OPFOKLEGHEN!$H$11="geen droogtunnel",IF(OPFOKLEGHEN!$H$15="geen warmtewisselaar",Q118-(K118-R118)))+IF(OPFOKLEGHEN!$H$12&gt;0,IF(OPFOKLEGHEN!$H$13="serie geschakeld met warmtewisselaar",3*(O118*80%-(K118-S118)),(Q118-(K118-S118)-(K118-N118))),(N118-(K118-S118))))</f>
        <v>34.053906016200443</v>
      </c>
      <c r="Y118" s="162">
        <f>IF(H118=0,0,IF(OPFOKLEGHEN!$H$11="geen droogtunnel",IF(OPFOKLEGHEN!$H$15="geen warmtewisselaar",Q118-(K118-R118)))+IF(OPFOKLEGHEN!$H$12&gt;0,IF(OPFOKLEGHEN!$H$13="serie geschakeld met warmtewisselaar",(O118-(K118-S118)),IF(OPFOKLEGHEN!$H$13="parallel geschakeld met warmtewisselaar",IF(OPFOKLEGHEN!$L$9="ja",IF(OPFOKLEGHEN!$J$18="nee",(N118-(K118-Q118)-(K118-S118)),(Q118-(K118-N118/80%)))))),(O118-(K118-S118))))</f>
        <v>34.053906016200443</v>
      </c>
      <c r="Z118" s="130">
        <f t="shared" si="76"/>
        <v>1</v>
      </c>
      <c r="AA118" s="130"/>
      <c r="AB118" s="130"/>
      <c r="AC118" s="167">
        <f>IF(H118=0,0,IF(OPFOKLEGHEN!$H$11="geen droogtunnel",IF(OPFOKLEGHEN!$H$15="geen warmtewisselaar",(P118-(K118-R118)/R$13),K118-(K118-O118)/I$6-(K118-R118)/95%)+IF(OPFOKLEGHEN!$J$18="ja",(K118-O118)*(1-I$6)),IF(OPFOKLEGHEN!$H$12&gt;=0,IF(OPFOKLEGHEN!$L$9="ja",IF(OPFOKLEGHEN!$J$18="ja",IF(OPFOKLEGHEN!$H$20="ja",O118-(K118-S118),IF(OPFOKLEGHEN!$H$20="nee",(O118-(K118-S118)),(O118-(K118-S118)))),IF(OPFOKLEGHEN!$J$18="nee",IF(OPFOKLEGHEN!$H$20="nee",O118*80%-(K118-S118),0+O118-(K118-S118)))),IF(OPFOKLEGHEN!$L$9="nee",IF(OPFOKLEGHEN!$J$18="nee",IF(OPFOKLEGHEN!$H$20="nee",(O118*80%-(K118-S118)),O118*93%-(K118-S118)),IF(OPFOKLEGHEN!$H$20="nee",IF(OPFOKLEGHEN!$J$18="ja",IF(OPFOKLEGHEN!$L$9="nee",O118-(K118-S118))),O118-(K118-S118))))))))</f>
        <v>17.026953008100222</v>
      </c>
      <c r="AD118" s="167" t="e">
        <f>IF(H118=0,0,IF(OPFOKLEGHEN!$H$11="geen droogtunnel",IF(OPFOKLEGHEN!$H$15="geen warmtewisselaar",(Q118-(K118-R118)/S$13),N118-(K118-R118)),IF(OPFOKLEGHEN!$H$12&gt;=0,IF(OPFOKLEGHEN!$L$9="ja",IF(OPFOKLEGHEN!$J$18="ja",IF(OPFOKLEGHEN!$H$20="ja",Q118-(K118-N118)-(K118-S118),IF(OPFOKLEGHEN!$H$20="nee",(Q118-(K118-N118)-(K118-S118)),(O118-(K118-S118)))),IF(OPFOKLEGHEN!$J$18="nee",IF(OPFOKLEGHEN!$H$20="nee",1*Q118*$N$135-(K118-N118)-(K118-S118),(Q118-(K118-N118)-(K118-S118))*N$135))),IF(OPFOKLEGHEN!$L$9="nee",IF(OPFOKLEGHEN!$J$18="nee",IF(OPFOKLEGHEN!$H$20="nee",(N118*95%-(K118-Q118)/I$4-(K118-S118)),N118-(K118-Q118)/I$4-(K118-S118)),IF(OPFOKLEGHEN!$H$20="nee",IF(OPFOKLEGHEN!$J$18="ja",IF(OPFOKLEGHEN!$L$9="nee",N118-(K118-Q118)/I$4-(K118-S118))),N118-(K118-Q118)/I$4-(K118-S118))))))))</f>
        <v>#DIV/0!</v>
      </c>
      <c r="AE118" s="4"/>
      <c r="AF118" s="6"/>
      <c r="AG118" s="6"/>
      <c r="AH118" s="4"/>
      <c r="AI118" s="6"/>
      <c r="AJ118" s="6"/>
      <c r="AK118" s="4"/>
      <c r="AL118" s="6"/>
      <c r="AM118" s="1">
        <v>15</v>
      </c>
      <c r="AN118" s="1">
        <v>103</v>
      </c>
      <c r="AO118" s="5">
        <f t="shared" si="78"/>
        <v>1200.4999999999995</v>
      </c>
      <c r="AP118" s="5">
        <f t="shared" si="79"/>
        <v>1057.9999999999998</v>
      </c>
      <c r="AQ118" s="5">
        <f t="shared" si="62"/>
        <v>1129.2499999999995</v>
      </c>
      <c r="AR118" s="100"/>
    </row>
    <row r="119" spans="1:44" ht="13" x14ac:dyDescent="0.3">
      <c r="A119" s="1">
        <v>15</v>
      </c>
      <c r="B119" s="1">
        <v>104</v>
      </c>
      <c r="C119" s="4">
        <f t="shared" si="68"/>
        <v>1.4213546905853829</v>
      </c>
      <c r="D119" s="7">
        <f t="shared" si="48"/>
        <v>0</v>
      </c>
      <c r="E119" s="7">
        <f>IF(I$3=0,0,IF(OPFOKLEGHEN!$H$13="parallel geschakeld met warmtewisselaar",0,MIN(I$3,C119)))</f>
        <v>0</v>
      </c>
      <c r="F119" s="7">
        <f>IF(I$3=0,0,IF(OPFOKLEGHEN!$H$13="serie geschakeld met warmtewisselaar",0,IF(C119&lt;$I$3,C119-D119,MIN($I$3,C119-D119))))</f>
        <v>0</v>
      </c>
      <c r="G119" s="137">
        <f>IF(C119&lt;$I$7,MAX(0,C119-D119-E119-F119,IF(OPFOKLEGHEN!$H$15="warmtewisselaar",IF(OPFOKLEGHEN!$H$13="serie geschakeld met warmtewisselaar",MIN(I$7,MAX(0,C119-D119-F119)),MIN(I$7,MAX(0,C119-D119-E119-F119))))),IF(OPFOKLEGHEN!$H$13="parallel geschakeld met warmtewisselaar",MIN(I$7,C119-D119-E119-F119,MIN(I$7,C119-E119-F119)),MIN(I$7,MAX(0,C119-D119-F119))))</f>
        <v>0</v>
      </c>
      <c r="H119" s="7">
        <f>IF(OPFOKLEGHEN!$H$13="parallel geschakeld met warmtewisselaar",IF(OPFOKLEGHEN!$L$9="nee",IF(OPFOKLEGHEN!$J$18="ja",C119-F119-G119,C119-D119-F119-G119),IF(OPFOKLEGHEN!$L$9="ja",IF(OPFOKLEGHEN!$J$18="ja",C119-G119,IF(OPFOKLEGHEN!$J$18="nee",C119-D119-G119)))),IF(OPFOKLEGHEN!$H$13="serie geschakeld met warmtewisselaar",IF(OPFOKLEGHEN!$J$18="ja",C119-G119,C119-D119-F119-G119),C119-D119-F119-G119))</f>
        <v>1.4213546905853829</v>
      </c>
      <c r="I119" s="98">
        <f t="shared" si="49"/>
        <v>1.4213546905853829</v>
      </c>
      <c r="J119" s="99">
        <v>1.4110637847485474</v>
      </c>
      <c r="K119" s="6">
        <f t="shared" si="59"/>
        <v>17.569249851507397</v>
      </c>
      <c r="L119" s="130">
        <f>SUM(K$16:K119)/$K$137</f>
        <v>0.59970296378871535</v>
      </c>
      <c r="M119" s="6">
        <f t="shared" si="60"/>
        <v>0.20858470143342114</v>
      </c>
      <c r="N119" s="6">
        <f t="shared" si="73"/>
        <v>17.569249851507397</v>
      </c>
      <c r="O119" s="6">
        <f>IF(E119&lt;I$3,P119*(1-I$6*D119/C119),IF(OPFOKLEGHEN!$H$11="droogtunnel (platen) 55%",P119*(1-$I$6)+(C119-D119)/C119*(K119-P119*(1-I$6)),P119*(1-$I$6)+(C119-D119)/C119*(K119-P119*(1-I$6))))</f>
        <v>17.569249851507397</v>
      </c>
      <c r="P119" s="129">
        <f t="shared" si="74"/>
        <v>17.569249851507397</v>
      </c>
      <c r="Q119" s="134">
        <f t="shared" si="75"/>
        <v>17.569249851507397</v>
      </c>
      <c r="R119" s="134">
        <f t="shared" si="61"/>
        <v>17.569249851507397</v>
      </c>
      <c r="S119" s="199">
        <f>IF(G119&lt;0.1,K119,IF(C119=F119,S119/(1-I$4),IF(I$3=0,K119-(G119/C119)*K119*S$13,IF(OPFOKLEGHEN!$H$13="Parallel geschakeld met warmtewisselaar",K119-(K119-(K119-Q119)/I$4)*(G119/(C119-F119))*S$13,IF(OPFOKLEGHEN!$H$20="ja",K119-(K119-(K119-P119)/I$4)*(G119/(C119-MIN(D119,I$5)))*S$13,K119-(K119-(K119-P119)/I$4)*(G119/(C119-MIN(D119,I$5)))*S$13)))))</f>
        <v>17.569249851507397</v>
      </c>
      <c r="T119" s="17">
        <f t="shared" si="77"/>
        <v>17.569249851507397</v>
      </c>
      <c r="U119" s="6">
        <f t="shared" si="50"/>
        <v>0</v>
      </c>
      <c r="V119" s="129">
        <f>IF(OPFOKLEGHEN!$J$18="nee",H119/C119*K119,IF(OPFOKLEGHEN!$H$20="ja",O119-(K119-Q119)-(K119-S119),Q119-(K119-O119)-(K119-S119)))</f>
        <v>17.569249851507397</v>
      </c>
      <c r="W119" s="162">
        <f>IF(H119=0,0,IF(OPFOKLEGHEN!$H$11="geen droogtunnel",IF(OPFOKLEGHEN!$H$15="geen warmtewisselaar",Q119-(K119-R119)))+IF(OPFOKLEGHEN!$H$12&gt;0,IF(OPFOKLEGHEN!$H$13="serie geschakeld met warmtewisselaar",(O119*80%-(K119-S119)),(Q119-(K119-S119)-(K119-T119))),(N119-(K119-S119))))</f>
        <v>35.138499703014794</v>
      </c>
      <c r="X119" s="162">
        <f>IF(H119=0,0,IF(OPFOKLEGHEN!$H$11="geen droogtunnel",IF(OPFOKLEGHEN!$H$15="geen warmtewisselaar",Q119-(K119-R119)))+IF(OPFOKLEGHEN!$H$12&gt;0,IF(OPFOKLEGHEN!$H$13="serie geschakeld met warmtewisselaar",3*(O119*80%-(K119-S119)),(Q119-(K119-S119)-(K119-N119))),(N119-(K119-S119))))</f>
        <v>35.138499703014794</v>
      </c>
      <c r="Y119" s="162">
        <f>IF(H119=0,0,IF(OPFOKLEGHEN!$H$11="geen droogtunnel",IF(OPFOKLEGHEN!$H$15="geen warmtewisselaar",Q119-(K119-R119)))+IF(OPFOKLEGHEN!$H$12&gt;0,IF(OPFOKLEGHEN!$H$13="serie geschakeld met warmtewisselaar",(O119-(K119-S119)),IF(OPFOKLEGHEN!$H$13="parallel geschakeld met warmtewisselaar",IF(OPFOKLEGHEN!$L$9="ja",IF(OPFOKLEGHEN!$J$18="nee",(N119-(K119-Q119)-(K119-S119)),(Q119-(K119-N119/80%)))))),(O119-(K119-S119))))</f>
        <v>35.138499703014794</v>
      </c>
      <c r="Z119" s="130">
        <f t="shared" si="76"/>
        <v>1</v>
      </c>
      <c r="AA119" s="130"/>
      <c r="AB119" s="130"/>
      <c r="AC119" s="167">
        <f>IF(H119=0,0,IF(OPFOKLEGHEN!$H$11="geen droogtunnel",IF(OPFOKLEGHEN!$H$15="geen warmtewisselaar",(P119-(K119-R119)/R$13),K119-(K119-O119)/I$6-(K119-R119)/95%)+IF(OPFOKLEGHEN!$J$18="ja",(K119-O119)*(1-I$6)),IF(OPFOKLEGHEN!$H$12&gt;=0,IF(OPFOKLEGHEN!$L$9="ja",IF(OPFOKLEGHEN!$J$18="ja",IF(OPFOKLEGHEN!$H$20="ja",O119-(K119-S119),IF(OPFOKLEGHEN!$H$20="nee",(O119-(K119-S119)),(O119-(K119-S119)))),IF(OPFOKLEGHEN!$J$18="nee",IF(OPFOKLEGHEN!$H$20="nee",O119*80%-(K119-S119),0+O119-(K119-S119)))),IF(OPFOKLEGHEN!$L$9="nee",IF(OPFOKLEGHEN!$J$18="nee",IF(OPFOKLEGHEN!$H$20="nee",(O119*80%-(K119-S119)),O119*93%-(K119-S119)),IF(OPFOKLEGHEN!$H$20="nee",IF(OPFOKLEGHEN!$J$18="ja",IF(OPFOKLEGHEN!$L$9="nee",O119-(K119-S119))),O119-(K119-S119))))))))</f>
        <v>17.569249851507397</v>
      </c>
      <c r="AD119" s="167" t="e">
        <f>IF(H119=0,0,IF(OPFOKLEGHEN!$H$11="geen droogtunnel",IF(OPFOKLEGHEN!$H$15="geen warmtewisselaar",(Q119-(K119-R119)/S$13),N119-(K119-R119)),IF(OPFOKLEGHEN!$H$12&gt;=0,IF(OPFOKLEGHEN!$L$9="ja",IF(OPFOKLEGHEN!$J$18="ja",IF(OPFOKLEGHEN!$H$20="ja",Q119-(K119-N119)-(K119-S119),IF(OPFOKLEGHEN!$H$20="nee",(Q119-(K119-N119)-(K119-S119)),(O119-(K119-S119)))),IF(OPFOKLEGHEN!$J$18="nee",IF(OPFOKLEGHEN!$H$20="nee",1*Q119*$N$135-(K119-N119)-(K119-S119),(Q119-(K119-N119)-(K119-S119))*N$135))),IF(OPFOKLEGHEN!$L$9="nee",IF(OPFOKLEGHEN!$J$18="nee",IF(OPFOKLEGHEN!$H$20="nee",(N119*95%-(K119-Q119)/I$4-(K119-S119)),N119-(K119-Q119)/I$4-(K119-S119)),IF(OPFOKLEGHEN!$H$20="nee",IF(OPFOKLEGHEN!$J$18="ja",IF(OPFOKLEGHEN!$L$9="nee",N119-(K119-Q119)/I$4-(K119-S119))),N119-(K119-Q119)/I$4-(K119-S119))))))))</f>
        <v>#DIV/0!</v>
      </c>
      <c r="AE119" s="4"/>
      <c r="AF119" s="6"/>
      <c r="AG119" s="6"/>
      <c r="AH119" s="4"/>
      <c r="AI119" s="6"/>
      <c r="AJ119" s="6"/>
      <c r="AK119" s="4"/>
      <c r="AL119" s="6"/>
      <c r="AM119" s="1">
        <v>15</v>
      </c>
      <c r="AN119" s="1">
        <v>104</v>
      </c>
      <c r="AO119" s="5">
        <f t="shared" si="78"/>
        <v>1212.5999999999995</v>
      </c>
      <c r="AP119" s="5">
        <f t="shared" si="79"/>
        <v>1066.5999999999997</v>
      </c>
      <c r="AQ119" s="5">
        <f t="shared" si="62"/>
        <v>1139.5999999999995</v>
      </c>
      <c r="AR119" s="100"/>
    </row>
    <row r="120" spans="1:44" ht="13" x14ac:dyDescent="0.3">
      <c r="A120" s="1">
        <v>15</v>
      </c>
      <c r="B120" s="1">
        <v>105</v>
      </c>
      <c r="C120" s="4">
        <f t="shared" si="68"/>
        <v>1.4399441362450001</v>
      </c>
      <c r="D120" s="7">
        <f t="shared" si="48"/>
        <v>0</v>
      </c>
      <c r="E120" s="7">
        <f>IF(I$3=0,0,IF(OPFOKLEGHEN!$H$13="parallel geschakeld met warmtewisselaar",0,MIN(I$3,C120)))</f>
        <v>0</v>
      </c>
      <c r="F120" s="7">
        <f>IF(I$3=0,0,IF(OPFOKLEGHEN!$H$13="serie geschakeld met warmtewisselaar",0,IF(C120&lt;$I$3,C120-D120,MIN($I$3,C120-D120))))</f>
        <v>0</v>
      </c>
      <c r="G120" s="137">
        <f>IF(C120&lt;$I$7,MAX(0,C120-D120-E120-F120,IF(OPFOKLEGHEN!$H$15="warmtewisselaar",IF(OPFOKLEGHEN!$H$13="serie geschakeld met warmtewisselaar",MIN(I$7,MAX(0,C120-D120-F120)),MIN(I$7,MAX(0,C120-D120-E120-F120))))),IF(OPFOKLEGHEN!$H$13="parallel geschakeld met warmtewisselaar",MIN(I$7,C120-D120-E120-F120,MIN(I$7,C120-E120-F120)),MIN(I$7,MAX(0,C120-D120-F120))))</f>
        <v>0</v>
      </c>
      <c r="H120" s="7">
        <f>IF(OPFOKLEGHEN!$H$13="parallel geschakeld met warmtewisselaar",IF(OPFOKLEGHEN!$L$9="nee",IF(OPFOKLEGHEN!$J$18="ja",C120-F120-G120,C120-D120-F120-G120),IF(OPFOKLEGHEN!$L$9="ja",IF(OPFOKLEGHEN!$J$18="ja",C120-G120,IF(OPFOKLEGHEN!$J$18="nee",C120-D120-G120)))),IF(OPFOKLEGHEN!$H$13="serie geschakeld met warmtewisselaar",IF(OPFOKLEGHEN!$J$18="ja",C120-G120,C120-D120-F120-G120),C120-D120-F120-G120))</f>
        <v>1.4399441362450001</v>
      </c>
      <c r="I120" s="98">
        <f t="shared" si="49"/>
        <v>1.4399441362450001</v>
      </c>
      <c r="J120" s="99">
        <v>1.4372676950673688</v>
      </c>
      <c r="K120" s="6">
        <f t="shared" si="59"/>
        <v>18.129566262005234</v>
      </c>
      <c r="L120" s="130">
        <f>SUM(K$16:K120)/$K$137</f>
        <v>0.62093341321100781</v>
      </c>
      <c r="M120" s="6">
        <f t="shared" si="60"/>
        <v>0.21730644492129556</v>
      </c>
      <c r="N120" s="6">
        <f t="shared" si="73"/>
        <v>18.129566262005234</v>
      </c>
      <c r="O120" s="6">
        <f>IF(E120&lt;I$3,P120*(1-I$6*D120/C120),IF(OPFOKLEGHEN!$H$11="droogtunnel (platen) 55%",P120*(1-$I$6)+(C120-D120)/C120*(K120-P120*(1-I$6)),P120*(1-$I$6)+(C120-D120)/C120*(K120-P120*(1-I$6))))</f>
        <v>18.129566262005234</v>
      </c>
      <c r="P120" s="129">
        <f t="shared" si="74"/>
        <v>18.129566262005234</v>
      </c>
      <c r="Q120" s="134">
        <f t="shared" si="75"/>
        <v>18.129566262005234</v>
      </c>
      <c r="R120" s="134">
        <f t="shared" si="61"/>
        <v>18.129566262005234</v>
      </c>
      <c r="S120" s="199">
        <f>IF(G120&lt;0.1,K120,IF(C120=F120,S120/(1-I$4),IF(I$3=0,K120-(G120/C120)*K120*S$13,IF(OPFOKLEGHEN!$H$13="Parallel geschakeld met warmtewisselaar",K120-(K120-(K120-Q120)/I$4)*(G120/(C120-F120))*S$13,IF(OPFOKLEGHEN!$H$20="ja",K120-(K120-(K120-P120)/I$4)*(G120/(C120-MIN(D120,I$5)))*S$13,K120-(K120-(K120-P120)/I$4)*(G120/(C120-MIN(D120,I$5)))*S$13)))))</f>
        <v>18.129566262005234</v>
      </c>
      <c r="T120" s="17">
        <f t="shared" si="77"/>
        <v>18.129566262005234</v>
      </c>
      <c r="U120" s="6">
        <f t="shared" si="50"/>
        <v>0</v>
      </c>
      <c r="V120" s="129">
        <f>IF(OPFOKLEGHEN!$J$18="nee",H120/C120*K120,IF(OPFOKLEGHEN!$H$20="ja",O120-(K120-Q120)-(K120-S120),Q120-(K120-O120)-(K120-S120)))</f>
        <v>18.129566262005234</v>
      </c>
      <c r="W120" s="162">
        <f>IF(H120=0,0,IF(OPFOKLEGHEN!$H$11="geen droogtunnel",IF(OPFOKLEGHEN!$H$15="geen warmtewisselaar",Q120-(K120-R120)))+IF(OPFOKLEGHEN!$H$12&gt;0,IF(OPFOKLEGHEN!$H$13="serie geschakeld met warmtewisselaar",(O120*80%-(K120-S120)),(Q120-(K120-S120)-(K120-T120))),(N120-(K120-S120))))</f>
        <v>36.259132524010468</v>
      </c>
      <c r="X120" s="162">
        <f>IF(H120=0,0,IF(OPFOKLEGHEN!$H$11="geen droogtunnel",IF(OPFOKLEGHEN!$H$15="geen warmtewisselaar",Q120-(K120-R120)))+IF(OPFOKLEGHEN!$H$12&gt;0,IF(OPFOKLEGHEN!$H$13="serie geschakeld met warmtewisselaar",3*(O120*80%-(K120-S120)),(Q120-(K120-S120)-(K120-N120))),(N120-(K120-S120))))</f>
        <v>36.259132524010468</v>
      </c>
      <c r="Y120" s="162">
        <f>IF(H120=0,0,IF(OPFOKLEGHEN!$H$11="geen droogtunnel",IF(OPFOKLEGHEN!$H$15="geen warmtewisselaar",Q120-(K120-R120)))+IF(OPFOKLEGHEN!$H$12&gt;0,IF(OPFOKLEGHEN!$H$13="serie geschakeld met warmtewisselaar",(O120-(K120-S120)),IF(OPFOKLEGHEN!$H$13="parallel geschakeld met warmtewisselaar",IF(OPFOKLEGHEN!$L$9="ja",IF(OPFOKLEGHEN!$J$18="nee",(N120-(K120-Q120)-(K120-S120)),(Q120-(K120-N120/80%)))))),(O120-(K120-S120))))</f>
        <v>36.259132524010468</v>
      </c>
      <c r="Z120" s="130">
        <f t="shared" si="76"/>
        <v>1</v>
      </c>
      <c r="AA120" s="130"/>
      <c r="AB120" s="130"/>
      <c r="AC120" s="167">
        <f>IF(H120=0,0,IF(OPFOKLEGHEN!$H$11="geen droogtunnel",IF(OPFOKLEGHEN!$H$15="geen warmtewisselaar",(P120-(K120-R120)/R$13),K120-(K120-O120)/I$6-(K120-R120)/95%)+IF(OPFOKLEGHEN!$J$18="ja",(K120-O120)*(1-I$6)),IF(OPFOKLEGHEN!$H$12&gt;=0,IF(OPFOKLEGHEN!$L$9="ja",IF(OPFOKLEGHEN!$J$18="ja",IF(OPFOKLEGHEN!$H$20="ja",O120-(K120-S120),IF(OPFOKLEGHEN!$H$20="nee",(O120-(K120-S120)),(O120-(K120-S120)))),IF(OPFOKLEGHEN!$J$18="nee",IF(OPFOKLEGHEN!$H$20="nee",O120*80%-(K120-S120),0+O120-(K120-S120)))),IF(OPFOKLEGHEN!$L$9="nee",IF(OPFOKLEGHEN!$J$18="nee",IF(OPFOKLEGHEN!$H$20="nee",(O120*80%-(K120-S120)),O120*93%-(K120-S120)),IF(OPFOKLEGHEN!$H$20="nee",IF(OPFOKLEGHEN!$J$18="ja",IF(OPFOKLEGHEN!$L$9="nee",O120-(K120-S120))),O120-(K120-S120))))))))</f>
        <v>18.129566262005234</v>
      </c>
      <c r="AD120" s="167" t="e">
        <f>IF(H120=0,0,IF(OPFOKLEGHEN!$H$11="geen droogtunnel",IF(OPFOKLEGHEN!$H$15="geen warmtewisselaar",(Q120-(K120-R120)/S$13),N120-(K120-R120)),IF(OPFOKLEGHEN!$H$12&gt;=0,IF(OPFOKLEGHEN!$L$9="ja",IF(OPFOKLEGHEN!$J$18="ja",IF(OPFOKLEGHEN!$H$20="ja",Q120-(K120-N120)-(K120-S120),IF(OPFOKLEGHEN!$H$20="nee",(Q120-(K120-N120)-(K120-S120)),(O120-(K120-S120)))),IF(OPFOKLEGHEN!$J$18="nee",IF(OPFOKLEGHEN!$H$20="nee",1*Q120*$N$135-(K120-N120)-(K120-S120),(Q120-(K120-N120)-(K120-S120))*N$135))),IF(OPFOKLEGHEN!$L$9="nee",IF(OPFOKLEGHEN!$J$18="nee",IF(OPFOKLEGHEN!$H$20="nee",(N120*95%-(K120-Q120)/I$4-(K120-S120)),N120-(K120-Q120)/I$4-(K120-S120)),IF(OPFOKLEGHEN!$H$20="nee",IF(OPFOKLEGHEN!$J$18="ja",IF(OPFOKLEGHEN!$L$9="nee",N120-(K120-Q120)/I$4-(K120-S120))),N120-(K120-Q120)/I$4-(K120-S120))))))))</f>
        <v>#DIV/0!</v>
      </c>
      <c r="AE120" s="4"/>
      <c r="AF120" s="6"/>
      <c r="AG120" s="6"/>
      <c r="AH120" s="4"/>
      <c r="AI120" s="6"/>
      <c r="AJ120" s="6"/>
      <c r="AK120" s="4"/>
      <c r="AL120" s="6"/>
      <c r="AM120" s="1">
        <v>15</v>
      </c>
      <c r="AN120" s="1">
        <v>105</v>
      </c>
      <c r="AO120" s="5">
        <v>1225</v>
      </c>
      <c r="AP120" s="5">
        <v>1075</v>
      </c>
      <c r="AQ120" s="5">
        <f t="shared" si="62"/>
        <v>1150</v>
      </c>
      <c r="AR120" s="100"/>
    </row>
    <row r="121" spans="1:44" ht="13" x14ac:dyDescent="0.3">
      <c r="A121" s="1">
        <v>16</v>
      </c>
      <c r="B121" s="1">
        <v>106</v>
      </c>
      <c r="C121" s="4">
        <f t="shared" si="68"/>
        <v>1.4586552602864737</v>
      </c>
      <c r="D121" s="7">
        <f t="shared" si="48"/>
        <v>0</v>
      </c>
      <c r="E121" s="7">
        <f>IF(I$3=0,0,IF(OPFOKLEGHEN!$H$13="parallel geschakeld met warmtewisselaar",0,MIN(I$3,C121)))</f>
        <v>0</v>
      </c>
      <c r="F121" s="7">
        <f>IF(I$3=0,0,IF(OPFOKLEGHEN!$H$13="serie geschakeld met warmtewisselaar",0,IF(C121&lt;$I$3,C121-D121,MIN($I$3,C121-D121))))</f>
        <v>0</v>
      </c>
      <c r="G121" s="137">
        <f>IF(C121&lt;$I$7,MAX(0,C121-D121-E121-F121,IF(OPFOKLEGHEN!$H$15="warmtewisselaar",IF(OPFOKLEGHEN!$H$13="serie geschakeld met warmtewisselaar",MIN(I$7,MAX(0,C121-D121-F121)),MIN(I$7,MAX(0,C121-D121-E121-F121))))),IF(OPFOKLEGHEN!$H$13="parallel geschakeld met warmtewisselaar",MIN(I$7,C121-D121-E121-F121,MIN(I$7,C121-E121-F121)),MIN(I$7,MAX(0,C121-D121-F121))))</f>
        <v>0</v>
      </c>
      <c r="H121" s="7">
        <f>IF(OPFOKLEGHEN!$H$13="parallel geschakeld met warmtewisselaar",IF(OPFOKLEGHEN!$L$9="nee",IF(OPFOKLEGHEN!$J$18="ja",C121-F121-G121,C121-D121-F121-G121),IF(OPFOKLEGHEN!$L$9="ja",IF(OPFOKLEGHEN!$J$18="ja",C121-G121,IF(OPFOKLEGHEN!$J$18="nee",C121-D121-G121)))),IF(OPFOKLEGHEN!$H$13="serie geschakeld met warmtewisselaar",IF(OPFOKLEGHEN!$J$18="ja",C121-G121,C121-D121-F121-G121),C121-D121-F121-G121))</f>
        <v>1.4586552602864737</v>
      </c>
      <c r="I121" s="98">
        <f t="shared" si="49"/>
        <v>1.4586552602864737</v>
      </c>
      <c r="J121" s="99">
        <v>1.4639582204658335</v>
      </c>
      <c r="K121" s="6">
        <f t="shared" si="59"/>
        <v>18.706194745909716</v>
      </c>
      <c r="L121" s="130">
        <f>SUM(K$16:K121)/$K$137</f>
        <v>0.64283911772137392</v>
      </c>
      <c r="M121" s="6">
        <f t="shared" si="60"/>
        <v>0.22635349806694399</v>
      </c>
      <c r="N121" s="6">
        <f t="shared" si="73"/>
        <v>18.706194745909716</v>
      </c>
      <c r="O121" s="6">
        <f>IF(E121&lt;I$3,P121*(1-I$6*D121/C121),IF(OPFOKLEGHEN!$H$11="droogtunnel (platen) 55%",P121*(1-$I$6)+(C121-D121)/C121*(K121-P121*(1-I$6)),P121*(1-$I$6)+(C121-D121)/C121*(K121-P121*(1-I$6))))</f>
        <v>18.706194745909716</v>
      </c>
      <c r="P121" s="129">
        <f t="shared" si="74"/>
        <v>18.706194745909716</v>
      </c>
      <c r="Q121" s="134">
        <f t="shared" si="75"/>
        <v>18.706194745909716</v>
      </c>
      <c r="R121" s="134">
        <f t="shared" si="61"/>
        <v>18.706194745909716</v>
      </c>
      <c r="S121" s="199">
        <f>IF(G121&lt;0.1,K121,IF(C121=F121,S121/(1-I$4),IF(I$3=0,K121-(G121/C121)*K121*S$13,IF(OPFOKLEGHEN!$H$13="Parallel geschakeld met warmtewisselaar",K121-(K121-(K121-Q121)/I$4)*(G121/(C121-F121))*S$13,IF(OPFOKLEGHEN!$H$20="ja",K121-(K121-(K121-P121)/I$4)*(G121/(C121-MIN(D121,I$5)))*S$13,K121-(K121-(K121-P121)/I$4)*(G121/(C121-MIN(D121,I$5)))*S$13)))))</f>
        <v>18.706194745909716</v>
      </c>
      <c r="T121" s="17">
        <f t="shared" si="77"/>
        <v>18.706194745909716</v>
      </c>
      <c r="U121" s="6">
        <f t="shared" si="50"/>
        <v>0</v>
      </c>
      <c r="V121" s="129">
        <f>IF(OPFOKLEGHEN!$J$18="nee",H121/C121*K121,IF(OPFOKLEGHEN!$H$20="ja",O121-(K121-Q121)-(K121-S121),Q121-(K121-O121)-(K121-S121)))</f>
        <v>18.706194745909716</v>
      </c>
      <c r="W121" s="162">
        <f>IF(H121=0,0,IF(OPFOKLEGHEN!$H$11="geen droogtunnel",IF(OPFOKLEGHEN!$H$15="geen warmtewisselaar",Q121-(K121-R121)))+IF(OPFOKLEGHEN!$H$12&gt;0,IF(OPFOKLEGHEN!$H$13="serie geschakeld met warmtewisselaar",(O121*80%-(K121-S121)),(Q121-(K121-S121)-(K121-T121))),(N121-(K121-S121))))</f>
        <v>37.412389491819432</v>
      </c>
      <c r="X121" s="162">
        <f>IF(H121=0,0,IF(OPFOKLEGHEN!$H$11="geen droogtunnel",IF(OPFOKLEGHEN!$H$15="geen warmtewisselaar",Q121-(K121-R121)))+IF(OPFOKLEGHEN!$H$12&gt;0,IF(OPFOKLEGHEN!$H$13="serie geschakeld met warmtewisselaar",3*(O121*80%-(K121-S121)),(Q121-(K121-S121)-(K121-N121))),(N121-(K121-S121))))</f>
        <v>37.412389491819432</v>
      </c>
      <c r="Y121" s="162">
        <f>IF(H121=0,0,IF(OPFOKLEGHEN!$H$11="geen droogtunnel",IF(OPFOKLEGHEN!$H$15="geen warmtewisselaar",Q121-(K121-R121)))+IF(OPFOKLEGHEN!$H$12&gt;0,IF(OPFOKLEGHEN!$H$13="serie geschakeld met warmtewisselaar",(O121-(K121-S121)),IF(OPFOKLEGHEN!$H$13="parallel geschakeld met warmtewisselaar",IF(OPFOKLEGHEN!$L$9="ja",IF(OPFOKLEGHEN!$J$18="nee",(N121-(K121-Q121)-(K121-S121)),(Q121-(K121-N121/80%)))))),(O121-(K121-S121))))</f>
        <v>37.412389491819432</v>
      </c>
      <c r="Z121" s="130">
        <f t="shared" si="76"/>
        <v>1</v>
      </c>
      <c r="AA121" s="130"/>
      <c r="AB121" s="130"/>
      <c r="AC121" s="167">
        <f>IF(H121=0,0,IF(OPFOKLEGHEN!$H$11="geen droogtunnel",IF(OPFOKLEGHEN!$H$15="geen warmtewisselaar",(P121-(K121-R121)/R$13),K121-(K121-O121)/I$6-(K121-R121)/95%)+IF(OPFOKLEGHEN!$J$18="ja",(K121-O121)*(1-I$6)),IF(OPFOKLEGHEN!$H$12&gt;=0,IF(OPFOKLEGHEN!$L$9="ja",IF(OPFOKLEGHEN!$J$18="ja",IF(OPFOKLEGHEN!$H$20="ja",O121-(K121-S121),IF(OPFOKLEGHEN!$H$20="nee",(O121-(K121-S121)),(O121-(K121-S121)))),IF(OPFOKLEGHEN!$J$18="nee",IF(OPFOKLEGHEN!$H$20="nee",O121*80%-(K121-S121),0+O121-(K121-S121)))),IF(OPFOKLEGHEN!$L$9="nee",IF(OPFOKLEGHEN!$J$18="nee",IF(OPFOKLEGHEN!$H$20="nee",(O121*80%-(K121-S121)),O121*93%-(K121-S121)),IF(OPFOKLEGHEN!$H$20="nee",IF(OPFOKLEGHEN!$J$18="ja",IF(OPFOKLEGHEN!$L$9="nee",O121-(K121-S121))),O121-(K121-S121))))))))</f>
        <v>18.706194745909716</v>
      </c>
      <c r="AD121" s="167" t="e">
        <f>IF(H121=0,0,IF(OPFOKLEGHEN!$H$11="geen droogtunnel",IF(OPFOKLEGHEN!$H$15="geen warmtewisselaar",(Q121-(K121-R121)/S$13),N121-(K121-R121)),IF(OPFOKLEGHEN!$H$12&gt;=0,IF(OPFOKLEGHEN!$L$9="ja",IF(OPFOKLEGHEN!$J$18="ja",IF(OPFOKLEGHEN!$H$20="ja",Q121-(K121-N121)-(K121-S121),IF(OPFOKLEGHEN!$H$20="nee",(Q121-(K121-N121)-(K121-S121)),(O121-(K121-S121)))),IF(OPFOKLEGHEN!$J$18="nee",IF(OPFOKLEGHEN!$H$20="nee",1*Q121*$N$135-(K121-N121)-(K121-S121),(Q121-(K121-N121)-(K121-S121))*N$135))),IF(OPFOKLEGHEN!$L$9="nee",IF(OPFOKLEGHEN!$J$18="nee",IF(OPFOKLEGHEN!$H$20="nee",(N121*95%-(K121-Q121)/I$4-(K121-S121)),N121-(K121-Q121)/I$4-(K121-S121)),IF(OPFOKLEGHEN!$H$20="nee",IF(OPFOKLEGHEN!$J$18="ja",IF(OPFOKLEGHEN!$L$9="nee",N121-(K121-Q121)/I$4-(K121-S121))),N121-(K121-Q121)/I$4-(K121-S121))))))))</f>
        <v>#DIV/0!</v>
      </c>
      <c r="AE121" s="4"/>
      <c r="AF121" s="6"/>
      <c r="AG121" s="6"/>
      <c r="AH121" s="4"/>
      <c r="AI121" s="6"/>
      <c r="AJ121" s="6"/>
      <c r="AK121" s="4"/>
      <c r="AL121" s="6"/>
      <c r="AM121" s="1">
        <v>16</v>
      </c>
      <c r="AN121" s="1">
        <v>106</v>
      </c>
      <c r="AO121" s="5">
        <f t="shared" ref="AO121:AO126" si="80">AO120+12.1</f>
        <v>1237.0999999999999</v>
      </c>
      <c r="AP121" s="5">
        <f t="shared" ref="AP121:AP126" si="81">AP120+8.6</f>
        <v>1083.5999999999999</v>
      </c>
      <c r="AQ121" s="5">
        <f t="shared" si="62"/>
        <v>1160.3499999999999</v>
      </c>
      <c r="AR121" s="100"/>
    </row>
    <row r="122" spans="1:44" ht="13" x14ac:dyDescent="0.3">
      <c r="A122" s="1">
        <v>16</v>
      </c>
      <c r="B122" s="1">
        <v>107</v>
      </c>
      <c r="C122" s="4">
        <f t="shared" si="68"/>
        <v>1.4775794850882515</v>
      </c>
      <c r="D122" s="7">
        <f t="shared" si="48"/>
        <v>0</v>
      </c>
      <c r="E122" s="7">
        <f>IF(I$3=0,0,IF(OPFOKLEGHEN!$H$13="parallel geschakeld met warmtewisselaar",0,MIN(I$3,C122)))</f>
        <v>0</v>
      </c>
      <c r="F122" s="7">
        <f>IF(I$3=0,0,IF(OPFOKLEGHEN!$H$13="serie geschakeld met warmtewisselaar",0,IF(C122&lt;$I$3,C122-D122,MIN($I$3,C122-D122))))</f>
        <v>0</v>
      </c>
      <c r="G122" s="137">
        <f>IF(C122&lt;$I$7,MAX(0,C122-D122-E122-F122,IF(OPFOKLEGHEN!$H$15="warmtewisselaar",IF(OPFOKLEGHEN!$H$13="serie geschakeld met warmtewisselaar",MIN(I$7,MAX(0,C122-D122-F122)),MIN(I$7,MAX(0,C122-D122-E122-F122))))),IF(OPFOKLEGHEN!$H$13="parallel geschakeld met warmtewisselaar",MIN(I$7,C122-D122-E122-F122,MIN(I$7,C122-E122-F122)),MIN(I$7,MAX(0,C122-D122-F122))))</f>
        <v>0</v>
      </c>
      <c r="H122" s="7">
        <f>IF(OPFOKLEGHEN!$H$13="parallel geschakeld met warmtewisselaar",IF(OPFOKLEGHEN!$L$9="nee",IF(OPFOKLEGHEN!$J$18="ja",C122-F122-G122,C122-D122-F122-G122),IF(OPFOKLEGHEN!$L$9="ja",IF(OPFOKLEGHEN!$J$18="ja",C122-G122,IF(OPFOKLEGHEN!$J$18="nee",C122-D122-G122)))),IF(OPFOKLEGHEN!$H$13="serie geschakeld met warmtewisselaar",IF(OPFOKLEGHEN!$J$18="ja",C122-G122,C122-D122-F122-G122),C122-D122-F122-G122))</f>
        <v>1.4775794850882515</v>
      </c>
      <c r="I122" s="98">
        <f t="shared" si="49"/>
        <v>1.4775794850882515</v>
      </c>
      <c r="J122" s="99">
        <v>1.4911443975431682</v>
      </c>
      <c r="K122" s="6">
        <f t="shared" si="59"/>
        <v>19.300771090959213</v>
      </c>
      <c r="L122" s="130">
        <f>SUM(K$16:K122)/$K$137</f>
        <v>0.66544109498525417</v>
      </c>
      <c r="M122" s="6">
        <f t="shared" si="60"/>
        <v>0.23575142770920501</v>
      </c>
      <c r="N122" s="6">
        <f t="shared" si="73"/>
        <v>19.300771090959213</v>
      </c>
      <c r="O122" s="6">
        <f>IF(E122&lt;I$3,P122*(1-I$6*D122/C122),IF(OPFOKLEGHEN!$H$11="droogtunnel (platen) 55%",P122*(1-$I$6)+(C122-D122)/C122*(K122-P122*(1-I$6)),P122*(1-$I$6)+(C122-D122)/C122*(K122-P122*(1-I$6))))</f>
        <v>19.300771090959213</v>
      </c>
      <c r="P122" s="129">
        <f t="shared" si="74"/>
        <v>19.300771090959213</v>
      </c>
      <c r="Q122" s="134">
        <f t="shared" si="75"/>
        <v>19.300771090959213</v>
      </c>
      <c r="R122" s="134">
        <f t="shared" si="61"/>
        <v>19.300771090959213</v>
      </c>
      <c r="S122" s="199">
        <f>IF(G122&lt;0.1,K122,IF(C122=F122,S122/(1-I$4),IF(I$3=0,K122-(G122/C122)*K122*S$13,IF(OPFOKLEGHEN!$H$13="Parallel geschakeld met warmtewisselaar",K122-(K122-(K122-Q122)/I$4)*(G122/(C122-F122))*S$13,IF(OPFOKLEGHEN!$H$20="ja",K122-(K122-(K122-P122)/I$4)*(G122/(C122-MIN(D122,I$5)))*S$13,K122-(K122-(K122-P122)/I$4)*(G122/(C122-MIN(D122,I$5)))*S$13)))))</f>
        <v>19.300771090959213</v>
      </c>
      <c r="T122" s="17">
        <f t="shared" si="77"/>
        <v>19.300771090959213</v>
      </c>
      <c r="U122" s="6">
        <f t="shared" si="50"/>
        <v>0</v>
      </c>
      <c r="V122" s="129">
        <f>IF(OPFOKLEGHEN!$J$18="nee",H122/C122*K122,IF(OPFOKLEGHEN!$H$20="ja",O122-(K122-Q122)-(K122-S122),Q122-(K122-O122)-(K122-S122)))</f>
        <v>19.300771090959213</v>
      </c>
      <c r="W122" s="162">
        <f>IF(H122=0,0,IF(OPFOKLEGHEN!$H$11="geen droogtunnel",IF(OPFOKLEGHEN!$H$15="geen warmtewisselaar",Q122-(K122-R122)))+IF(OPFOKLEGHEN!$H$12&gt;0,IF(OPFOKLEGHEN!$H$13="serie geschakeld met warmtewisselaar",(O122*80%-(K122-S122)),(Q122-(K122-S122)-(K122-T122))),(N122-(K122-S122))))</f>
        <v>38.601542181918425</v>
      </c>
      <c r="X122" s="162">
        <f>IF(H122=0,0,IF(OPFOKLEGHEN!$H$11="geen droogtunnel",IF(OPFOKLEGHEN!$H$15="geen warmtewisselaar",Q122-(K122-R122)))+IF(OPFOKLEGHEN!$H$12&gt;0,IF(OPFOKLEGHEN!$H$13="serie geschakeld met warmtewisselaar",3*(O122*80%-(K122-S122)),(Q122-(K122-S122)-(K122-N122))),(N122-(K122-S122))))</f>
        <v>38.601542181918425</v>
      </c>
      <c r="Y122" s="162">
        <f>IF(H122=0,0,IF(OPFOKLEGHEN!$H$11="geen droogtunnel",IF(OPFOKLEGHEN!$H$15="geen warmtewisselaar",Q122-(K122-R122)))+IF(OPFOKLEGHEN!$H$12&gt;0,IF(OPFOKLEGHEN!$H$13="serie geschakeld met warmtewisselaar",(O122-(K122-S122)),IF(OPFOKLEGHEN!$H$13="parallel geschakeld met warmtewisselaar",IF(OPFOKLEGHEN!$L$9="ja",IF(OPFOKLEGHEN!$J$18="nee",(N122-(K122-Q122)-(K122-S122)),(Q122-(K122-N122/80%)))))),(O122-(K122-S122))))</f>
        <v>38.601542181918425</v>
      </c>
      <c r="Z122" s="130">
        <f t="shared" si="76"/>
        <v>1</v>
      </c>
      <c r="AA122" s="130"/>
      <c r="AB122" s="130"/>
      <c r="AC122" s="167">
        <f>IF(H122=0,0,IF(OPFOKLEGHEN!$H$11="geen droogtunnel",IF(OPFOKLEGHEN!$H$15="geen warmtewisselaar",(P122-(K122-R122)/R$13),K122-(K122-O122)/I$6-(K122-R122)/95%)+IF(OPFOKLEGHEN!$J$18="ja",(K122-O122)*(1-I$6)),IF(OPFOKLEGHEN!$H$12&gt;=0,IF(OPFOKLEGHEN!$L$9="ja",IF(OPFOKLEGHEN!$J$18="ja",IF(OPFOKLEGHEN!$H$20="ja",O122-(K122-S122),IF(OPFOKLEGHEN!$H$20="nee",(O122-(K122-S122)),(O122-(K122-S122)))),IF(OPFOKLEGHEN!$J$18="nee",IF(OPFOKLEGHEN!$H$20="nee",O122*80%-(K122-S122),0+O122-(K122-S122)))),IF(OPFOKLEGHEN!$L$9="nee",IF(OPFOKLEGHEN!$J$18="nee",IF(OPFOKLEGHEN!$H$20="nee",(O122*80%-(K122-S122)),O122*93%-(K122-S122)),IF(OPFOKLEGHEN!$H$20="nee",IF(OPFOKLEGHEN!$J$18="ja",IF(OPFOKLEGHEN!$L$9="nee",O122-(K122-S122))),O122-(K122-S122))))))))</f>
        <v>19.300771090959213</v>
      </c>
      <c r="AD122" s="167" t="e">
        <f>IF(H122=0,0,IF(OPFOKLEGHEN!$H$11="geen droogtunnel",IF(OPFOKLEGHEN!$H$15="geen warmtewisselaar",(Q122-(K122-R122)/S$13),N122-(K122-R122)),IF(OPFOKLEGHEN!$H$12&gt;=0,IF(OPFOKLEGHEN!$L$9="ja",IF(OPFOKLEGHEN!$J$18="ja",IF(OPFOKLEGHEN!$H$20="ja",Q122-(K122-N122)-(K122-S122),IF(OPFOKLEGHEN!$H$20="nee",(Q122-(K122-N122)-(K122-S122)),(O122-(K122-S122)))),IF(OPFOKLEGHEN!$J$18="nee",IF(OPFOKLEGHEN!$H$20="nee",1*Q122*$N$135-(K122-N122)-(K122-S122),(Q122-(K122-N122)-(K122-S122))*N$135))),IF(OPFOKLEGHEN!$L$9="nee",IF(OPFOKLEGHEN!$J$18="nee",IF(OPFOKLEGHEN!$H$20="nee",(N122*95%-(K122-Q122)/I$4-(K122-S122)),N122-(K122-Q122)/I$4-(K122-S122)),IF(OPFOKLEGHEN!$H$20="nee",IF(OPFOKLEGHEN!$J$18="ja",IF(OPFOKLEGHEN!$L$9="nee",N122-(K122-Q122)/I$4-(K122-S122))),N122-(K122-Q122)/I$4-(K122-S122))))))))</f>
        <v>#DIV/0!</v>
      </c>
      <c r="AE122" s="4"/>
      <c r="AF122" s="6"/>
      <c r="AG122" s="6"/>
      <c r="AH122" s="4"/>
      <c r="AI122" s="6"/>
      <c r="AJ122" s="6"/>
      <c r="AK122" s="4"/>
      <c r="AL122" s="6"/>
      <c r="AM122" s="1">
        <v>16</v>
      </c>
      <c r="AN122" s="1">
        <v>107</v>
      </c>
      <c r="AO122" s="5">
        <f t="shared" si="80"/>
        <v>1249.1999999999998</v>
      </c>
      <c r="AP122" s="5">
        <f t="shared" si="81"/>
        <v>1092.1999999999998</v>
      </c>
      <c r="AQ122" s="5">
        <f t="shared" si="62"/>
        <v>1170.6999999999998</v>
      </c>
      <c r="AR122" s="100"/>
    </row>
    <row r="123" spans="1:44" ht="13" x14ac:dyDescent="0.3">
      <c r="A123" s="1">
        <v>16</v>
      </c>
      <c r="B123" s="1">
        <v>108</v>
      </c>
      <c r="C123" s="4">
        <f t="shared" si="68"/>
        <v>1.4967193651363173</v>
      </c>
      <c r="D123" s="7">
        <f t="shared" si="48"/>
        <v>0</v>
      </c>
      <c r="E123" s="7">
        <f>IF(I$3=0,0,IF(OPFOKLEGHEN!$H$13="parallel geschakeld met warmtewisselaar",0,MIN(I$3,C123)))</f>
        <v>0</v>
      </c>
      <c r="F123" s="7">
        <f>IF(I$3=0,0,IF(OPFOKLEGHEN!$H$13="serie geschakeld met warmtewisselaar",0,IF(C123&lt;$I$3,C123-D123,MIN($I$3,C123-D123))))</f>
        <v>0</v>
      </c>
      <c r="G123" s="137">
        <f>IF(C123&lt;$I$7,MAX(0,C123-D123-E123-F123,IF(OPFOKLEGHEN!$H$15="warmtewisselaar",IF(OPFOKLEGHEN!$H$13="serie geschakeld met warmtewisselaar",MIN(I$7,MAX(0,C123-D123-F123)),MIN(I$7,MAX(0,C123-D123-E123-F123))))),IF(OPFOKLEGHEN!$H$13="parallel geschakeld met warmtewisselaar",MIN(I$7,C123-D123-E123-F123,MIN(I$7,C123-E123-F123)),MIN(I$7,MAX(0,C123-D123-F123))))</f>
        <v>0</v>
      </c>
      <c r="H123" s="7">
        <f>IF(OPFOKLEGHEN!$H$13="parallel geschakeld met warmtewisselaar",IF(OPFOKLEGHEN!$L$9="nee",IF(OPFOKLEGHEN!$J$18="ja",C123-F123-G123,C123-D123-F123-G123),IF(OPFOKLEGHEN!$L$9="ja",IF(OPFOKLEGHEN!$J$18="ja",C123-G123,IF(OPFOKLEGHEN!$J$18="nee",C123-D123-G123)))),IF(OPFOKLEGHEN!$H$13="serie geschakeld met warmtewisselaar",IF(OPFOKLEGHEN!$J$18="ja",C123-G123,C123-D123-F123-G123),C123-D123-F123-G123))</f>
        <v>1.4967193651363173</v>
      </c>
      <c r="I123" s="98">
        <f t="shared" si="49"/>
        <v>1.4967193651363173</v>
      </c>
      <c r="J123" s="99">
        <v>1.5188354307111678</v>
      </c>
      <c r="K123" s="6">
        <f t="shared" si="59"/>
        <v>19.91384871802094</v>
      </c>
      <c r="L123" s="130">
        <f>SUM(K$16:K123)/$K$137</f>
        <v>0.68876101074612717</v>
      </c>
      <c r="M123" s="6">
        <f t="shared" si="60"/>
        <v>0.24551320337286089</v>
      </c>
      <c r="N123" s="6">
        <f t="shared" si="73"/>
        <v>19.91384871802094</v>
      </c>
      <c r="O123" s="6">
        <f>IF(E123&lt;I$3,P123*(1-I$6*D123/C123),IF(OPFOKLEGHEN!$H$11="droogtunnel (platen) 55%",P123*(1-$I$6)+(C123-D123)/C123*(K123-P123*(1-I$6)),P123*(1-$I$6)+(C123-D123)/C123*(K123-P123*(1-I$6))))</f>
        <v>19.91384871802094</v>
      </c>
      <c r="P123" s="129">
        <f t="shared" si="74"/>
        <v>19.91384871802094</v>
      </c>
      <c r="Q123" s="134">
        <f t="shared" si="75"/>
        <v>19.91384871802094</v>
      </c>
      <c r="R123" s="134">
        <f t="shared" si="61"/>
        <v>19.91384871802094</v>
      </c>
      <c r="S123" s="199">
        <f>IF(G123&lt;0.1,K123,IF(C123=F123,S123/(1-I$4),IF(I$3=0,K123-(G123/C123)*K123*S$13,IF(OPFOKLEGHEN!$H$13="Parallel geschakeld met warmtewisselaar",K123-(K123-(K123-Q123)/I$4)*(G123/(C123-F123))*S$13,IF(OPFOKLEGHEN!$H$20="ja",K123-(K123-(K123-P123)/I$4)*(G123/(C123-MIN(D123,I$5)))*S$13,K123-(K123-(K123-P123)/I$4)*(G123/(C123-MIN(D123,I$5)))*S$13)))))</f>
        <v>19.91384871802094</v>
      </c>
      <c r="T123" s="17">
        <f t="shared" si="77"/>
        <v>19.91384871802094</v>
      </c>
      <c r="U123" s="6">
        <f t="shared" si="50"/>
        <v>0</v>
      </c>
      <c r="V123" s="129">
        <f>IF(OPFOKLEGHEN!$J$18="nee",H123/C123*K123,IF(OPFOKLEGHEN!$H$20="ja",O123-(K123-Q123)-(K123-S123),Q123-(K123-O123)-(K123-S123)))</f>
        <v>19.91384871802094</v>
      </c>
      <c r="W123" s="162">
        <f>IF(H123=0,0,IF(OPFOKLEGHEN!$H$11="geen droogtunnel",IF(OPFOKLEGHEN!$H$15="geen warmtewisselaar",Q123-(K123-R123)))+IF(OPFOKLEGHEN!$H$12&gt;0,IF(OPFOKLEGHEN!$H$13="serie geschakeld met warmtewisselaar",(O123*80%-(K123-S123)),(Q123-(K123-S123)-(K123-T123))),(N123-(K123-S123))))</f>
        <v>39.827697436041881</v>
      </c>
      <c r="X123" s="162">
        <f>IF(H123=0,0,IF(OPFOKLEGHEN!$H$11="geen droogtunnel",IF(OPFOKLEGHEN!$H$15="geen warmtewisselaar",Q123-(K123-R123)))+IF(OPFOKLEGHEN!$H$12&gt;0,IF(OPFOKLEGHEN!$H$13="serie geschakeld met warmtewisselaar",3*(O123*80%-(K123-S123)),(Q123-(K123-S123)-(K123-N123))),(N123-(K123-S123))))</f>
        <v>39.827697436041881</v>
      </c>
      <c r="Y123" s="162">
        <f>IF(H123=0,0,IF(OPFOKLEGHEN!$H$11="geen droogtunnel",IF(OPFOKLEGHEN!$H$15="geen warmtewisselaar",Q123-(K123-R123)))+IF(OPFOKLEGHEN!$H$12&gt;0,IF(OPFOKLEGHEN!$H$13="serie geschakeld met warmtewisselaar",(O123-(K123-S123)),IF(OPFOKLEGHEN!$H$13="parallel geschakeld met warmtewisselaar",IF(OPFOKLEGHEN!$L$9="ja",IF(OPFOKLEGHEN!$J$18="nee",(N123-(K123-Q123)-(K123-S123)),(Q123-(K123-N123/80%)))))),(O123-(K123-S123))))</f>
        <v>39.827697436041881</v>
      </c>
      <c r="Z123" s="130">
        <f t="shared" si="76"/>
        <v>1</v>
      </c>
      <c r="AA123" s="130"/>
      <c r="AB123" s="130"/>
      <c r="AC123" s="167">
        <f>IF(H123=0,0,IF(OPFOKLEGHEN!$H$11="geen droogtunnel",IF(OPFOKLEGHEN!$H$15="geen warmtewisselaar",(P123-(K123-R123)/R$13),K123-(K123-O123)/I$6-(K123-R123)/95%)+IF(OPFOKLEGHEN!$J$18="ja",(K123-O123)*(1-I$6)),IF(OPFOKLEGHEN!$H$12&gt;=0,IF(OPFOKLEGHEN!$L$9="ja",IF(OPFOKLEGHEN!$J$18="ja",IF(OPFOKLEGHEN!$H$20="ja",O123-(K123-S123),IF(OPFOKLEGHEN!$H$20="nee",(O123-(K123-S123)),(O123-(K123-S123)))),IF(OPFOKLEGHEN!$J$18="nee",IF(OPFOKLEGHEN!$H$20="nee",O123*80%-(K123-S123),0+O123-(K123-S123)))),IF(OPFOKLEGHEN!$L$9="nee",IF(OPFOKLEGHEN!$J$18="nee",IF(OPFOKLEGHEN!$H$20="nee",(O123*80%-(K123-S123)),O123*93%-(K123-S123)),IF(OPFOKLEGHEN!$H$20="nee",IF(OPFOKLEGHEN!$J$18="ja",IF(OPFOKLEGHEN!$L$9="nee",O123-(K123-S123))),O123-(K123-S123))))))))</f>
        <v>19.91384871802094</v>
      </c>
      <c r="AD123" s="167" t="e">
        <f>IF(H123=0,0,IF(OPFOKLEGHEN!$H$11="geen droogtunnel",IF(OPFOKLEGHEN!$H$15="geen warmtewisselaar",(Q123-(K123-R123)/S$13),N123-(K123-R123)),IF(OPFOKLEGHEN!$H$12&gt;=0,IF(OPFOKLEGHEN!$L$9="ja",IF(OPFOKLEGHEN!$J$18="ja",IF(OPFOKLEGHEN!$H$20="ja",Q123-(K123-N123)-(K123-S123),IF(OPFOKLEGHEN!$H$20="nee",(Q123-(K123-N123)-(K123-S123)),(O123-(K123-S123)))),IF(OPFOKLEGHEN!$J$18="nee",IF(OPFOKLEGHEN!$H$20="nee",1*Q123*$N$135-(K123-N123)-(K123-S123),(Q123-(K123-N123)-(K123-S123))*N$135))),IF(OPFOKLEGHEN!$L$9="nee",IF(OPFOKLEGHEN!$J$18="nee",IF(OPFOKLEGHEN!$H$20="nee",(N123*95%-(K123-Q123)/I$4-(K123-S123)),N123-(K123-Q123)/I$4-(K123-S123)),IF(OPFOKLEGHEN!$H$20="nee",IF(OPFOKLEGHEN!$J$18="ja",IF(OPFOKLEGHEN!$L$9="nee",N123-(K123-Q123)/I$4-(K123-S123))),N123-(K123-Q123)/I$4-(K123-S123))))))))</f>
        <v>#DIV/0!</v>
      </c>
      <c r="AE123" s="4"/>
      <c r="AF123" s="6"/>
      <c r="AG123" s="6"/>
      <c r="AH123" s="4"/>
      <c r="AI123" s="6"/>
      <c r="AJ123" s="6"/>
      <c r="AK123" s="4"/>
      <c r="AL123" s="6"/>
      <c r="AM123" s="1">
        <v>16</v>
      </c>
      <c r="AN123" s="1">
        <v>108</v>
      </c>
      <c r="AO123" s="5">
        <f t="shared" si="80"/>
        <v>1261.2999999999997</v>
      </c>
      <c r="AP123" s="5">
        <f t="shared" si="81"/>
        <v>1100.7999999999997</v>
      </c>
      <c r="AQ123" s="5">
        <f t="shared" si="62"/>
        <v>1181.0499999999997</v>
      </c>
      <c r="AR123" s="100"/>
    </row>
    <row r="124" spans="1:44" ht="13" x14ac:dyDescent="0.3">
      <c r="A124" s="1">
        <v>16</v>
      </c>
      <c r="B124" s="1">
        <v>109</v>
      </c>
      <c r="C124" s="4">
        <f t="shared" si="68"/>
        <v>1.5160774549166551</v>
      </c>
      <c r="D124" s="7">
        <f t="shared" si="48"/>
        <v>0</v>
      </c>
      <c r="E124" s="7">
        <f>IF(I$3=0,0,IF(OPFOKLEGHEN!$H$13="parallel geschakeld met warmtewisselaar",0,MIN(I$3,C124)))</f>
        <v>0</v>
      </c>
      <c r="F124" s="7">
        <f>IF(I$3=0,0,IF(OPFOKLEGHEN!$H$13="serie geschakeld met warmtewisselaar",0,IF(C124&lt;$I$3,C124-D124,MIN($I$3,C124-D124))))</f>
        <v>0</v>
      </c>
      <c r="G124" s="137">
        <f>IF(C124&lt;$I$7,MAX(0,C124-D124-E124-F124,IF(OPFOKLEGHEN!$H$15="warmtewisselaar",IF(OPFOKLEGHEN!$H$13="serie geschakeld met warmtewisselaar",MIN(I$7,MAX(0,C124-D124-F124)),MIN(I$7,MAX(0,C124-D124-E124-F124))))),IF(OPFOKLEGHEN!$H$13="parallel geschakeld met warmtewisselaar",MIN(I$7,C124-D124-E124-F124,MIN(I$7,C124-E124-F124)),MIN(I$7,MAX(0,C124-D124-F124))))</f>
        <v>0</v>
      </c>
      <c r="H124" s="7">
        <f>IF(OPFOKLEGHEN!$H$13="parallel geschakeld met warmtewisselaar",IF(OPFOKLEGHEN!$L$9="nee",IF(OPFOKLEGHEN!$J$18="ja",C124-F124-G124,C124-D124-F124-G124),IF(OPFOKLEGHEN!$L$9="ja",IF(OPFOKLEGHEN!$J$18="ja",C124-G124,IF(OPFOKLEGHEN!$J$18="nee",C124-D124-G124)))),IF(OPFOKLEGHEN!$H$13="serie geschakeld met warmtewisselaar",IF(OPFOKLEGHEN!$J$18="ja",C124-G124,C124-D124-F124-G124),C124-D124-F124-G124))</f>
        <v>1.5160774549166551</v>
      </c>
      <c r="I124" s="98">
        <f t="shared" si="49"/>
        <v>1.5160774549166551</v>
      </c>
      <c r="J124" s="99">
        <v>1.5470406953105251</v>
      </c>
      <c r="K124" s="6">
        <f t="shared" si="59"/>
        <v>20.545997635190133</v>
      </c>
      <c r="L124" s="130">
        <f>SUM(K$16:K124)/$K$137</f>
        <v>0.71282119824981871</v>
      </c>
      <c r="M124" s="6">
        <f t="shared" si="60"/>
        <v>0.25565225367987721</v>
      </c>
      <c r="N124" s="6">
        <f t="shared" si="73"/>
        <v>20.545997635190133</v>
      </c>
      <c r="O124" s="6">
        <f>IF(E124&lt;I$3,P124*(1-I$6*D124/C124),IF(OPFOKLEGHEN!$H$11="droogtunnel (platen) 55%",P124*(1-$I$6)+(C124-D124)/C124*(K124-P124*(1-I$6)),P124*(1-$I$6)+(C124-D124)/C124*(K124-P124*(1-I$6))))</f>
        <v>20.545997635190133</v>
      </c>
      <c r="P124" s="129">
        <f t="shared" si="74"/>
        <v>20.545997635190133</v>
      </c>
      <c r="Q124" s="134">
        <f t="shared" si="75"/>
        <v>20.545997635190133</v>
      </c>
      <c r="R124" s="134">
        <f t="shared" si="61"/>
        <v>20.545997635190133</v>
      </c>
      <c r="S124" s="199">
        <f>IF(G124&lt;0.1,K124,IF(C124=F124,S124/(1-I$4),IF(I$3=0,K124-(G124/C124)*K124*S$13,IF(OPFOKLEGHEN!$H$13="Parallel geschakeld met warmtewisselaar",K124-(K124-(K124-Q124)/I$4)*(G124/(C124-F124))*S$13,IF(OPFOKLEGHEN!$H$20="ja",K124-(K124-(K124-P124)/I$4)*(G124/(C124-MIN(D124,I$5)))*S$13,K124-(K124-(K124-P124)/I$4)*(G124/(C124-MIN(D124,I$5)))*S$13)))))</f>
        <v>20.545997635190133</v>
      </c>
      <c r="T124" s="17">
        <f t="shared" si="77"/>
        <v>20.545997635190133</v>
      </c>
      <c r="U124" s="6">
        <f t="shared" si="50"/>
        <v>0</v>
      </c>
      <c r="V124" s="129">
        <f>IF(OPFOKLEGHEN!$J$18="nee",H124/C124*K124,IF(OPFOKLEGHEN!$H$20="ja",O124-(K124-Q124)-(K124-S124),Q124-(K124-O124)-(K124-S124)))</f>
        <v>20.545997635190133</v>
      </c>
      <c r="W124" s="162">
        <f>IF(H124=0,0,IF(OPFOKLEGHEN!$H$11="geen droogtunnel",IF(OPFOKLEGHEN!$H$15="geen warmtewisselaar",Q124-(K124-R124)))+IF(OPFOKLEGHEN!$H$12&gt;0,IF(OPFOKLEGHEN!$H$13="serie geschakeld met warmtewisselaar",(O124*80%-(K124-S124)),(Q124-(K124-S124)-(K124-T124))),(N124-(K124-S124))))</f>
        <v>41.091995270380266</v>
      </c>
      <c r="X124" s="162">
        <f>IF(H124=0,0,IF(OPFOKLEGHEN!$H$11="geen droogtunnel",IF(OPFOKLEGHEN!$H$15="geen warmtewisselaar",Q124-(K124-R124)))+IF(OPFOKLEGHEN!$H$12&gt;0,IF(OPFOKLEGHEN!$H$13="serie geschakeld met warmtewisselaar",3*(O124*80%-(K124-S124)),(Q124-(K124-S124)-(K124-N124))),(N124-(K124-S124))))</f>
        <v>41.091995270380266</v>
      </c>
      <c r="Y124" s="162">
        <f>IF(H124=0,0,IF(OPFOKLEGHEN!$H$11="geen droogtunnel",IF(OPFOKLEGHEN!$H$15="geen warmtewisselaar",Q124-(K124-R124)))+IF(OPFOKLEGHEN!$H$12&gt;0,IF(OPFOKLEGHEN!$H$13="serie geschakeld met warmtewisselaar",(O124-(K124-S124)),IF(OPFOKLEGHEN!$H$13="parallel geschakeld met warmtewisselaar",IF(OPFOKLEGHEN!$L$9="ja",IF(OPFOKLEGHEN!$J$18="nee",(N124-(K124-Q124)-(K124-S124)),(Q124-(K124-N124/80%)))))),(O124-(K124-S124))))</f>
        <v>41.091995270380266</v>
      </c>
      <c r="Z124" s="130">
        <f t="shared" si="76"/>
        <v>1</v>
      </c>
      <c r="AA124" s="130"/>
      <c r="AB124" s="130"/>
      <c r="AC124" s="167">
        <f>IF(H124=0,0,IF(OPFOKLEGHEN!$H$11="geen droogtunnel",IF(OPFOKLEGHEN!$H$15="geen warmtewisselaar",(P124-(K124-R124)/R$13),K124-(K124-O124)/I$6-(K124-R124)/95%)+IF(OPFOKLEGHEN!$J$18="ja",(K124-O124)*(1-I$6)),IF(OPFOKLEGHEN!$H$12&gt;=0,IF(OPFOKLEGHEN!$L$9="ja",IF(OPFOKLEGHEN!$J$18="ja",IF(OPFOKLEGHEN!$H$20="ja",O124-(K124-S124),IF(OPFOKLEGHEN!$H$20="nee",(O124-(K124-S124)),(O124-(K124-S124)))),IF(OPFOKLEGHEN!$J$18="nee",IF(OPFOKLEGHEN!$H$20="nee",O124*80%-(K124-S124),0+O124-(K124-S124)))),IF(OPFOKLEGHEN!$L$9="nee",IF(OPFOKLEGHEN!$J$18="nee",IF(OPFOKLEGHEN!$H$20="nee",(O124*80%-(K124-S124)),O124*93%-(K124-S124)),IF(OPFOKLEGHEN!$H$20="nee",IF(OPFOKLEGHEN!$J$18="ja",IF(OPFOKLEGHEN!$L$9="nee",O124-(K124-S124))),O124-(K124-S124))))))))</f>
        <v>20.545997635190133</v>
      </c>
      <c r="AD124" s="167" t="e">
        <f>IF(H124=0,0,IF(OPFOKLEGHEN!$H$11="geen droogtunnel",IF(OPFOKLEGHEN!$H$15="geen warmtewisselaar",(Q124-(K124-R124)/S$13),N124-(K124-R124)),IF(OPFOKLEGHEN!$H$12&gt;=0,IF(OPFOKLEGHEN!$L$9="ja",IF(OPFOKLEGHEN!$J$18="ja",IF(OPFOKLEGHEN!$H$20="ja",Q124-(K124-N124)-(K124-S124),IF(OPFOKLEGHEN!$H$20="nee",(Q124-(K124-N124)-(K124-S124)),(O124-(K124-S124)))),IF(OPFOKLEGHEN!$J$18="nee",IF(OPFOKLEGHEN!$H$20="nee",1*Q124*$N$135-(K124-N124)-(K124-S124),(Q124-(K124-N124)-(K124-S124))*N$135))),IF(OPFOKLEGHEN!$L$9="nee",IF(OPFOKLEGHEN!$J$18="nee",IF(OPFOKLEGHEN!$H$20="nee",(N124*95%-(K124-Q124)/I$4-(K124-S124)),N124-(K124-Q124)/I$4-(K124-S124)),IF(OPFOKLEGHEN!$H$20="nee",IF(OPFOKLEGHEN!$J$18="ja",IF(OPFOKLEGHEN!$L$9="nee",N124-(K124-Q124)/I$4-(K124-S124))),N124-(K124-Q124)/I$4-(K124-S124))))))))</f>
        <v>#DIV/0!</v>
      </c>
      <c r="AE124" s="4"/>
      <c r="AF124" s="6"/>
      <c r="AG124" s="6"/>
      <c r="AH124" s="4"/>
      <c r="AI124" s="6"/>
      <c r="AJ124" s="6"/>
      <c r="AK124" s="4"/>
      <c r="AL124" s="6"/>
      <c r="AM124" s="1">
        <v>16</v>
      </c>
      <c r="AN124" s="1">
        <v>109</v>
      </c>
      <c r="AO124" s="5">
        <f t="shared" si="80"/>
        <v>1273.3999999999996</v>
      </c>
      <c r="AP124" s="5">
        <f t="shared" si="81"/>
        <v>1109.3999999999996</v>
      </c>
      <c r="AQ124" s="5">
        <f t="shared" si="62"/>
        <v>1191.3999999999996</v>
      </c>
      <c r="AR124" s="100"/>
    </row>
    <row r="125" spans="1:44" ht="13" x14ac:dyDescent="0.3">
      <c r="A125" s="1">
        <v>16</v>
      </c>
      <c r="B125" s="1">
        <v>110</v>
      </c>
      <c r="C125" s="4">
        <f t="shared" si="68"/>
        <v>1.5356563089152491</v>
      </c>
      <c r="D125" s="7">
        <f t="shared" si="48"/>
        <v>0</v>
      </c>
      <c r="E125" s="7">
        <f>IF(I$3=0,0,IF(OPFOKLEGHEN!$H$13="parallel geschakeld met warmtewisselaar",0,MIN(I$3,C125)))</f>
        <v>0</v>
      </c>
      <c r="F125" s="7">
        <f>IF(I$3=0,0,IF(OPFOKLEGHEN!$H$13="serie geschakeld met warmtewisselaar",0,IF(C125&lt;$I$3,C125-D125,MIN($I$3,C125-D125))))</f>
        <v>0</v>
      </c>
      <c r="G125" s="137">
        <f>IF(C125&lt;$I$7,MAX(0,C125-D125-E125-F125,IF(OPFOKLEGHEN!$H$15="warmtewisselaar",IF(OPFOKLEGHEN!$H$13="serie geschakeld met warmtewisselaar",MIN(I$7,MAX(0,C125-D125-F125)),MIN(I$7,MAX(0,C125-D125-E125-F125))))),IF(OPFOKLEGHEN!$H$13="parallel geschakeld met warmtewisselaar",MIN(I$7,C125-D125-E125-F125,MIN(I$7,C125-E125-F125)),MIN(I$7,MAX(0,C125-D125-F125))))</f>
        <v>0</v>
      </c>
      <c r="H125" s="7">
        <f>IF(OPFOKLEGHEN!$H$13="parallel geschakeld met warmtewisselaar",IF(OPFOKLEGHEN!$L$9="nee",IF(OPFOKLEGHEN!$J$18="ja",C125-F125-G125,C125-D125-F125-G125),IF(OPFOKLEGHEN!$L$9="ja",IF(OPFOKLEGHEN!$J$18="ja",C125-G125,IF(OPFOKLEGHEN!$J$18="nee",C125-D125-G125)))),IF(OPFOKLEGHEN!$H$13="serie geschakeld met warmtewisselaar",IF(OPFOKLEGHEN!$J$18="ja",C125-G125,C125-D125-F125-G125),C125-D125-F125-G125))</f>
        <v>1.5356563089152491</v>
      </c>
      <c r="I125" s="98">
        <f t="shared" si="49"/>
        <v>1.5356563089152491</v>
      </c>
      <c r="J125" s="99">
        <v>1.5757697407850417</v>
      </c>
      <c r="K125" s="6">
        <f t="shared" si="59"/>
        <v>21.197804915988431</v>
      </c>
      <c r="L125" s="130">
        <f>SUM(K$16:K125)/$K$137</f>
        <v>0.73764467822880064</v>
      </c>
      <c r="M125" s="6">
        <f t="shared" si="60"/>
        <v>0.26618248182177257</v>
      </c>
      <c r="N125" s="6">
        <f t="shared" si="73"/>
        <v>21.197804915988431</v>
      </c>
      <c r="O125" s="6">
        <f>IF(E125&lt;I$3,P125*(1-I$6*D125/C125),IF(OPFOKLEGHEN!$H$11="droogtunnel (platen) 55%",P125*(1-$I$6)+(C125-D125)/C125*(K125-P125*(1-I$6)),P125*(1-$I$6)+(C125-D125)/C125*(K125-P125*(1-I$6))))</f>
        <v>21.197804915988431</v>
      </c>
      <c r="P125" s="129">
        <f t="shared" si="74"/>
        <v>21.197804915988431</v>
      </c>
      <c r="Q125" s="134">
        <f t="shared" si="75"/>
        <v>21.197804915988431</v>
      </c>
      <c r="R125" s="134">
        <f t="shared" si="61"/>
        <v>21.197804915988431</v>
      </c>
      <c r="S125" s="199">
        <f>IF(G125&lt;0.1,K125,IF(C125=F125,S125/(1-I$4),IF(I$3=0,K125-(G125/C125)*K125*S$13,IF(OPFOKLEGHEN!$H$13="Parallel geschakeld met warmtewisselaar",K125-(K125-(K125-Q125)/I$4)*(G125/(C125-F125))*S$13,IF(OPFOKLEGHEN!$H$20="ja",K125-(K125-(K125-P125)/I$4)*(G125/(C125-MIN(D125,I$5)))*S$13,K125-(K125-(K125-P125)/I$4)*(G125/(C125-MIN(D125,I$5)))*S$13)))))</f>
        <v>21.197804915988431</v>
      </c>
      <c r="T125" s="17">
        <f t="shared" si="77"/>
        <v>21.197804915988431</v>
      </c>
      <c r="U125" s="6">
        <f t="shared" si="50"/>
        <v>0</v>
      </c>
      <c r="V125" s="129">
        <f>IF(OPFOKLEGHEN!$J$18="nee",H125/C125*K125,IF(OPFOKLEGHEN!$H$20="ja",O125-(K125-Q125)-(K125-S125),Q125-(K125-O125)-(K125-S125)))</f>
        <v>21.197804915988431</v>
      </c>
      <c r="W125" s="162">
        <f>IF(H125=0,0,IF(OPFOKLEGHEN!$H$11="geen droogtunnel",IF(OPFOKLEGHEN!$H$15="geen warmtewisselaar",Q125-(K125-R125)))+IF(OPFOKLEGHEN!$H$12&gt;0,IF(OPFOKLEGHEN!$H$13="serie geschakeld met warmtewisselaar",(O125*80%-(K125-S125)),(Q125-(K125-S125)-(K125-T125))),(N125-(K125-S125))))</f>
        <v>42.395609831976863</v>
      </c>
      <c r="X125" s="162">
        <f>IF(H125=0,0,IF(OPFOKLEGHEN!$H$11="geen droogtunnel",IF(OPFOKLEGHEN!$H$15="geen warmtewisselaar",Q125-(K125-R125)))+IF(OPFOKLEGHEN!$H$12&gt;0,IF(OPFOKLEGHEN!$H$13="serie geschakeld met warmtewisselaar",3*(O125*80%-(K125-S125)),(Q125-(K125-S125)-(K125-N125))),(N125-(K125-S125))))</f>
        <v>42.395609831976863</v>
      </c>
      <c r="Y125" s="162">
        <f>IF(H125=0,0,IF(OPFOKLEGHEN!$H$11="geen droogtunnel",IF(OPFOKLEGHEN!$H$15="geen warmtewisselaar",Q125-(K125-R125)))+IF(OPFOKLEGHEN!$H$12&gt;0,IF(OPFOKLEGHEN!$H$13="serie geschakeld met warmtewisselaar",(O125-(K125-S125)),IF(OPFOKLEGHEN!$H$13="parallel geschakeld met warmtewisselaar",IF(OPFOKLEGHEN!$L$9="ja",IF(OPFOKLEGHEN!$J$18="nee",(N125-(K125-Q125)-(K125-S125)),(Q125-(K125-N125/80%)))))),(O125-(K125-S125))))</f>
        <v>42.395609831976863</v>
      </c>
      <c r="Z125" s="130">
        <f t="shared" si="76"/>
        <v>1</v>
      </c>
      <c r="AA125" s="130"/>
      <c r="AB125" s="130"/>
      <c r="AC125" s="167">
        <f>IF(H125=0,0,IF(OPFOKLEGHEN!$H$11="geen droogtunnel",IF(OPFOKLEGHEN!$H$15="geen warmtewisselaar",(P125-(K125-R125)/R$13),K125-(K125-O125)/I$6-(K125-R125)/95%)+IF(OPFOKLEGHEN!$J$18="ja",(K125-O125)*(1-I$6)),IF(OPFOKLEGHEN!$H$12&gt;=0,IF(OPFOKLEGHEN!$L$9="ja",IF(OPFOKLEGHEN!$J$18="ja",IF(OPFOKLEGHEN!$H$20="ja",O125-(K125-S125),IF(OPFOKLEGHEN!$H$20="nee",(O125-(K125-S125)),(O125-(K125-S125)))),IF(OPFOKLEGHEN!$J$18="nee",IF(OPFOKLEGHEN!$H$20="nee",O125*80%-(K125-S125),0+O125-(K125-S125)))),IF(OPFOKLEGHEN!$L$9="nee",IF(OPFOKLEGHEN!$J$18="nee",IF(OPFOKLEGHEN!$H$20="nee",(O125*80%-(K125-S125)),O125*93%-(K125-S125)),IF(OPFOKLEGHEN!$H$20="nee",IF(OPFOKLEGHEN!$J$18="ja",IF(OPFOKLEGHEN!$L$9="nee",O125-(K125-S125))),O125-(K125-S125))))))))</f>
        <v>21.197804915988431</v>
      </c>
      <c r="AD125" s="167" t="e">
        <f>IF(H125=0,0,IF(OPFOKLEGHEN!$H$11="geen droogtunnel",IF(OPFOKLEGHEN!$H$15="geen warmtewisselaar",(Q125-(K125-R125)/S$13),N125-(K125-R125)),IF(OPFOKLEGHEN!$H$12&gt;=0,IF(OPFOKLEGHEN!$L$9="ja",IF(OPFOKLEGHEN!$J$18="ja",IF(OPFOKLEGHEN!$H$20="ja",Q125-(K125-N125)-(K125-S125),IF(OPFOKLEGHEN!$H$20="nee",(Q125-(K125-N125)-(K125-S125)),(O125-(K125-S125)))),IF(OPFOKLEGHEN!$J$18="nee",IF(OPFOKLEGHEN!$H$20="nee",1*Q125*$N$135-(K125-N125)-(K125-S125),(Q125-(K125-N125)-(K125-S125))*N$135))),IF(OPFOKLEGHEN!$L$9="nee",IF(OPFOKLEGHEN!$J$18="nee",IF(OPFOKLEGHEN!$H$20="nee",(N125*95%-(K125-Q125)/I$4-(K125-S125)),N125-(K125-Q125)/I$4-(K125-S125)),IF(OPFOKLEGHEN!$H$20="nee",IF(OPFOKLEGHEN!$J$18="ja",IF(OPFOKLEGHEN!$L$9="nee",N125-(K125-Q125)/I$4-(K125-S125))),N125-(K125-Q125)/I$4-(K125-S125))))))))</f>
        <v>#DIV/0!</v>
      </c>
      <c r="AE125" s="4"/>
      <c r="AF125" s="6"/>
      <c r="AG125" s="6"/>
      <c r="AH125" s="4"/>
      <c r="AI125" s="6"/>
      <c r="AJ125" s="6"/>
      <c r="AK125" s="4"/>
      <c r="AL125" s="6"/>
      <c r="AM125" s="1">
        <v>16</v>
      </c>
      <c r="AN125" s="1">
        <v>110</v>
      </c>
      <c r="AO125" s="5">
        <f t="shared" si="80"/>
        <v>1285.4999999999995</v>
      </c>
      <c r="AP125" s="5">
        <f t="shared" si="81"/>
        <v>1117.9999999999995</v>
      </c>
      <c r="AQ125" s="5">
        <f t="shared" si="62"/>
        <v>1201.7499999999995</v>
      </c>
      <c r="AR125" s="100"/>
    </row>
    <row r="126" spans="1:44" ht="13" x14ac:dyDescent="0.3">
      <c r="A126" s="1">
        <v>16</v>
      </c>
      <c r="B126" s="1">
        <v>111</v>
      </c>
      <c r="C126" s="4">
        <f t="shared" si="68"/>
        <v>1.555458481618083</v>
      </c>
      <c r="D126" s="7">
        <f t="shared" si="48"/>
        <v>0</v>
      </c>
      <c r="E126" s="7">
        <f>IF(I$3=0,0,IF(OPFOKLEGHEN!$H$13="parallel geschakeld met warmtewisselaar",0,MIN(I$3,C126)))</f>
        <v>0</v>
      </c>
      <c r="F126" s="7">
        <f>IF(I$3=0,0,IF(OPFOKLEGHEN!$H$13="serie geschakeld met warmtewisselaar",0,IF(C126&lt;$I$3,C126-D126,MIN($I$3,C126-D126))))</f>
        <v>0</v>
      </c>
      <c r="G126" s="137">
        <f>IF(C126&lt;$I$7,MAX(0,C126-D126-E126-F126,IF(OPFOKLEGHEN!$H$15="warmtewisselaar",IF(OPFOKLEGHEN!$H$13="serie geschakeld met warmtewisselaar",MIN(I$7,MAX(0,C126-D126-F126)),MIN(I$7,MAX(0,C126-D126-E126-F126))))),IF(OPFOKLEGHEN!$H$13="parallel geschakeld met warmtewisselaar",MIN(I$7,C126-D126-E126-F126,MIN(I$7,C126-E126-F126)),MIN(I$7,MAX(0,C126-D126-F126))))</f>
        <v>0</v>
      </c>
      <c r="H126" s="7">
        <f>IF(OPFOKLEGHEN!$H$13="parallel geschakeld met warmtewisselaar",IF(OPFOKLEGHEN!$L$9="nee",IF(OPFOKLEGHEN!$J$18="ja",C126-F126-G126,C126-D126-F126-G126),IF(OPFOKLEGHEN!$L$9="ja",IF(OPFOKLEGHEN!$J$18="ja",C126-G126,IF(OPFOKLEGHEN!$J$18="nee",C126-D126-G126)))),IF(OPFOKLEGHEN!$H$13="serie geschakeld met warmtewisselaar",IF(OPFOKLEGHEN!$J$18="ja",C126-G126,C126-D126-F126-G126),C126-D126-F126-G126))</f>
        <v>1.555458481618083</v>
      </c>
      <c r="I126" s="98">
        <f t="shared" si="49"/>
        <v>1.555458481618083</v>
      </c>
      <c r="J126" s="99">
        <v>1.6050322939147728</v>
      </c>
      <c r="K126" s="6">
        <f t="shared" si="59"/>
        <v>21.869875190804191</v>
      </c>
      <c r="L126" s="130">
        <f>SUM(K$16:K126)/$K$137</f>
        <v>0.76325517946198695</v>
      </c>
      <c r="M126" s="6">
        <f t="shared" si="60"/>
        <v>0.27711828152731338</v>
      </c>
      <c r="N126" s="6">
        <f t="shared" si="73"/>
        <v>21.869875190804191</v>
      </c>
      <c r="O126" s="6">
        <f>IF(E126&lt;I$3,P126*(1-I$6*D126/C126),IF(OPFOKLEGHEN!$H$11="droogtunnel (platen) 55%",P126*(1-$I$6)+(C126-D126)/C126*(K126-P126*(1-I$6)),P126*(1-$I$6)+(C126-D126)/C126*(K126-P126*(1-I$6))))</f>
        <v>21.869875190804191</v>
      </c>
      <c r="P126" s="129">
        <f t="shared" si="74"/>
        <v>21.869875190804191</v>
      </c>
      <c r="Q126" s="134">
        <f t="shared" si="75"/>
        <v>21.869875190804191</v>
      </c>
      <c r="R126" s="134">
        <f t="shared" si="61"/>
        <v>21.869875190804191</v>
      </c>
      <c r="S126" s="199">
        <f>IF(G126&lt;0.1,K126,IF(C126=F126,S126/(1-I$4),IF(I$3=0,K126-(G126/C126)*K126*S$13,IF(OPFOKLEGHEN!$H$13="Parallel geschakeld met warmtewisselaar",K126-(K126-(K126-Q126)/I$4)*(G126/(C126-F126))*S$13,IF(OPFOKLEGHEN!$H$20="ja",K126-(K126-(K126-P126)/I$4)*(G126/(C126-MIN(D126,I$5)))*S$13,K126-(K126-(K126-P126)/I$4)*(G126/(C126-MIN(D126,I$5)))*S$13)))))</f>
        <v>21.869875190804191</v>
      </c>
      <c r="T126" s="17">
        <f t="shared" si="77"/>
        <v>21.869875190804191</v>
      </c>
      <c r="U126" s="6">
        <f t="shared" si="50"/>
        <v>0</v>
      </c>
      <c r="V126" s="129">
        <f>IF(OPFOKLEGHEN!$J$18="nee",H126/C126*K126,IF(OPFOKLEGHEN!$H$20="ja",O126-(K126-Q126)-(K126-S126),Q126-(K126-O126)-(K126-S126)))</f>
        <v>21.869875190804191</v>
      </c>
      <c r="W126" s="162">
        <f>IF(H126=0,0,IF(OPFOKLEGHEN!$H$11="geen droogtunnel",IF(OPFOKLEGHEN!$H$15="geen warmtewisselaar",Q126-(K126-R126)))+IF(OPFOKLEGHEN!$H$12&gt;0,IF(OPFOKLEGHEN!$H$13="serie geschakeld met warmtewisselaar",(O126*80%-(K126-S126)),(Q126-(K126-S126)-(K126-T126))),(N126-(K126-S126))))</f>
        <v>43.739750381608381</v>
      </c>
      <c r="X126" s="162">
        <f>IF(H126=0,0,IF(OPFOKLEGHEN!$H$11="geen droogtunnel",IF(OPFOKLEGHEN!$H$15="geen warmtewisselaar",Q126-(K126-R126)))+IF(OPFOKLEGHEN!$H$12&gt;0,IF(OPFOKLEGHEN!$H$13="serie geschakeld met warmtewisselaar",3*(O126*80%-(K126-S126)),(Q126-(K126-S126)-(K126-N126))),(N126-(K126-S126))))</f>
        <v>43.739750381608381</v>
      </c>
      <c r="Y126" s="162">
        <f>IF(H126=0,0,IF(OPFOKLEGHEN!$H$11="geen droogtunnel",IF(OPFOKLEGHEN!$H$15="geen warmtewisselaar",Q126-(K126-R126)))+IF(OPFOKLEGHEN!$H$12&gt;0,IF(OPFOKLEGHEN!$H$13="serie geschakeld met warmtewisselaar",(O126-(K126-S126)),IF(OPFOKLEGHEN!$H$13="parallel geschakeld met warmtewisselaar",IF(OPFOKLEGHEN!$L$9="ja",IF(OPFOKLEGHEN!$J$18="nee",(N126-(K126-Q126)-(K126-S126)),(Q126-(K126-N126/80%)))))),(O126-(K126-S126))))</f>
        <v>43.739750381608381</v>
      </c>
      <c r="Z126" s="130">
        <f t="shared" si="76"/>
        <v>1</v>
      </c>
      <c r="AA126" s="130"/>
      <c r="AB126" s="130"/>
      <c r="AC126" s="167">
        <f>IF(H126=0,0,IF(OPFOKLEGHEN!$H$11="geen droogtunnel",IF(OPFOKLEGHEN!$H$15="geen warmtewisselaar",(P126-(K126-R126)/R$13),K126-(K126-O126)/I$6-(K126-R126)/95%)+IF(OPFOKLEGHEN!$J$18="ja",(K126-O126)*(1-I$6)),IF(OPFOKLEGHEN!$H$12&gt;=0,IF(OPFOKLEGHEN!$L$9="ja",IF(OPFOKLEGHEN!$J$18="ja",IF(OPFOKLEGHEN!$H$20="ja",O126-(K126-S126),IF(OPFOKLEGHEN!$H$20="nee",(O126-(K126-S126)),(O126-(K126-S126)))),IF(OPFOKLEGHEN!$J$18="nee",IF(OPFOKLEGHEN!$H$20="nee",O126*80%-(K126-S126),0+O126-(K126-S126)))),IF(OPFOKLEGHEN!$L$9="nee",IF(OPFOKLEGHEN!$J$18="nee",IF(OPFOKLEGHEN!$H$20="nee",(O126*80%-(K126-S126)),O126*93%-(K126-S126)),IF(OPFOKLEGHEN!$H$20="nee",IF(OPFOKLEGHEN!$J$18="ja",IF(OPFOKLEGHEN!$L$9="nee",O126-(K126-S126))),O126-(K126-S126))))))))</f>
        <v>21.869875190804191</v>
      </c>
      <c r="AD126" s="167" t="e">
        <f>IF(H126=0,0,IF(OPFOKLEGHEN!$H$11="geen droogtunnel",IF(OPFOKLEGHEN!$H$15="geen warmtewisselaar",(Q126-(K126-R126)/S$13),N126-(K126-R126)),IF(OPFOKLEGHEN!$H$12&gt;=0,IF(OPFOKLEGHEN!$L$9="ja",IF(OPFOKLEGHEN!$J$18="ja",IF(OPFOKLEGHEN!$H$20="ja",Q126-(K126-N126)-(K126-S126),IF(OPFOKLEGHEN!$H$20="nee",(Q126-(K126-N126)-(K126-S126)),(O126-(K126-S126)))),IF(OPFOKLEGHEN!$J$18="nee",IF(OPFOKLEGHEN!$H$20="nee",1*Q126*$N$135-(K126-N126)-(K126-S126),(Q126-(K126-N126)-(K126-S126))*N$135))),IF(OPFOKLEGHEN!$L$9="nee",IF(OPFOKLEGHEN!$J$18="nee",IF(OPFOKLEGHEN!$H$20="nee",(N126*95%-(K126-Q126)/I$4-(K126-S126)),N126-(K126-Q126)/I$4-(K126-S126)),IF(OPFOKLEGHEN!$H$20="nee",IF(OPFOKLEGHEN!$J$18="ja",IF(OPFOKLEGHEN!$L$9="nee",N126-(K126-Q126)/I$4-(K126-S126))),N126-(K126-Q126)/I$4-(K126-S126))))))))</f>
        <v>#DIV/0!</v>
      </c>
      <c r="AE126" s="4"/>
      <c r="AF126" s="6"/>
      <c r="AG126" s="6"/>
      <c r="AH126" s="4"/>
      <c r="AI126" s="6"/>
      <c r="AJ126" s="6"/>
      <c r="AK126" s="4"/>
      <c r="AL126" s="6"/>
      <c r="AM126" s="1">
        <v>16</v>
      </c>
      <c r="AN126" s="1">
        <v>111</v>
      </c>
      <c r="AO126" s="5">
        <f t="shared" si="80"/>
        <v>1297.5999999999995</v>
      </c>
      <c r="AP126" s="5">
        <f t="shared" si="81"/>
        <v>1126.5999999999995</v>
      </c>
      <c r="AQ126" s="5">
        <f t="shared" si="62"/>
        <v>1212.0999999999995</v>
      </c>
      <c r="AR126" s="100"/>
    </row>
    <row r="127" spans="1:44" ht="13" x14ac:dyDescent="0.3">
      <c r="A127" s="1">
        <v>16</v>
      </c>
      <c r="B127" s="1">
        <v>112</v>
      </c>
      <c r="C127" s="4">
        <f t="shared" si="68"/>
        <v>1.5755838337225001</v>
      </c>
      <c r="D127" s="7">
        <f t="shared" si="48"/>
        <v>0</v>
      </c>
      <c r="E127" s="7">
        <f>IF(I$3=0,0,IF(OPFOKLEGHEN!$H$13="parallel geschakeld met warmtewisselaar",0,MIN(I$3,C127)))</f>
        <v>0</v>
      </c>
      <c r="F127" s="7">
        <f>IF(I$3=0,0,IF(OPFOKLEGHEN!$H$13="serie geschakeld met warmtewisselaar",0,IF(C127&lt;$I$3,C127-D127,MIN($I$3,C127-D127))))</f>
        <v>0</v>
      </c>
      <c r="G127" s="137">
        <f>IF(C127&lt;$I$7,MAX(0,C127-D127-E127-F127,IF(OPFOKLEGHEN!$H$15="warmtewisselaar",IF(OPFOKLEGHEN!$H$13="serie geschakeld met warmtewisselaar",MIN(I$7,MAX(0,C127-D127-F127)),MIN(I$7,MAX(0,C127-D127-E127-F127))))),IF(OPFOKLEGHEN!$H$13="parallel geschakeld met warmtewisselaar",MIN(I$7,C127-D127-E127-F127,MIN(I$7,C127-E127-F127)),MIN(I$7,MAX(0,C127-D127-F127))))</f>
        <v>0</v>
      </c>
      <c r="H127" s="7">
        <f>IF(OPFOKLEGHEN!$H$13="parallel geschakeld met warmtewisselaar",IF(OPFOKLEGHEN!$L$9="nee",IF(OPFOKLEGHEN!$J$18="ja",C127-F127-G127,C127-D127-F127-G127),IF(OPFOKLEGHEN!$L$9="ja",IF(OPFOKLEGHEN!$J$18="ja",C127-G127,IF(OPFOKLEGHEN!$J$18="nee",C127-D127-G127)))),IF(OPFOKLEGHEN!$H$13="serie geschakeld met warmtewisselaar",IF(OPFOKLEGHEN!$J$18="ja",C127-G127,C127-D127-F127-G127),C127-D127-F127-G127))</f>
        <v>1.5755838337225001</v>
      </c>
      <c r="I127" s="98">
        <f t="shared" si="49"/>
        <v>1.5755838337225001</v>
      </c>
      <c r="J127" s="99">
        <v>1.6348382621092228</v>
      </c>
      <c r="K127" s="6">
        <f t="shared" si="59"/>
        <v>22.56422469200524</v>
      </c>
      <c r="L127" s="130">
        <f>SUM(K$16:K127)/$K$137</f>
        <v>0.78967879181728196</v>
      </c>
      <c r="M127" s="6">
        <f t="shared" si="60"/>
        <v>0.2884923704913912</v>
      </c>
      <c r="N127" s="6">
        <f t="shared" si="73"/>
        <v>22.56422469200524</v>
      </c>
      <c r="O127" s="6">
        <f>IF(E127&lt;I$3,P127*(1-I$6*D127/C127),IF(OPFOKLEGHEN!$H$11="droogtunnel (platen) 55%",P127*(1-$I$6)+(C127-D127)/C127*(K127-P127*(1-I$6)),P127*(1-$I$6)+(C127-D127)/C127*(K127-P127*(1-I$6))))</f>
        <v>22.56422469200524</v>
      </c>
      <c r="P127" s="129">
        <f t="shared" si="74"/>
        <v>22.56422469200524</v>
      </c>
      <c r="Q127" s="134">
        <f t="shared" si="75"/>
        <v>22.56422469200524</v>
      </c>
      <c r="R127" s="134">
        <f t="shared" si="61"/>
        <v>22.56422469200524</v>
      </c>
      <c r="S127" s="199">
        <f>IF(G127&lt;0.1,K127,IF(C127=F127,S127/(1-I$4),IF(I$3=0,K127-(G127/C127)*K127*S$13,IF(OPFOKLEGHEN!$H$13="Parallel geschakeld met warmtewisselaar",K127-(K127-(K127-Q127)/I$4)*(G127/(C127-F127))*S$13,IF(OPFOKLEGHEN!$H$20="ja",K127-(K127-(K127-P127)/I$4)*(G127/(C127-MIN(D127,I$5)))*S$13,K127-(K127-(K127-P127)/I$4)*(G127/(C127-MIN(D127,I$5)))*S$13)))))</f>
        <v>22.56422469200524</v>
      </c>
      <c r="T127" s="17">
        <f t="shared" si="77"/>
        <v>22.56422469200524</v>
      </c>
      <c r="U127" s="6">
        <f t="shared" si="50"/>
        <v>0</v>
      </c>
      <c r="V127" s="129">
        <f>IF(OPFOKLEGHEN!$J$18="nee",H127/C127*K127,IF(OPFOKLEGHEN!$H$20="ja",O127-(K127-Q127)-(K127-S127),Q127-(K127-O127)-(K127-S127)))</f>
        <v>22.56422469200524</v>
      </c>
      <c r="W127" s="162">
        <f>IF(H127=0,0,IF(OPFOKLEGHEN!$H$11="geen droogtunnel",IF(OPFOKLEGHEN!$H$15="geen warmtewisselaar",Q127-(K127-R127)))+IF(OPFOKLEGHEN!$H$12&gt;0,IF(OPFOKLEGHEN!$H$13="serie geschakeld met warmtewisselaar",(O127*80%-(K127-S127)),(Q127-(K127-S127)-(K127-T127))),(N127-(K127-S127))))</f>
        <v>45.12844938401048</v>
      </c>
      <c r="X127" s="162">
        <f>IF(H127=0,0,IF(OPFOKLEGHEN!$H$11="geen droogtunnel",IF(OPFOKLEGHEN!$H$15="geen warmtewisselaar",Q127-(K127-R127)))+IF(OPFOKLEGHEN!$H$12&gt;0,IF(OPFOKLEGHEN!$H$13="serie geschakeld met warmtewisselaar",3*(O127*80%-(K127-S127)),(Q127-(K127-S127)-(K127-N127))),(N127-(K127-S127))))</f>
        <v>45.12844938401048</v>
      </c>
      <c r="Y127" s="162">
        <f>IF(H127=0,0,IF(OPFOKLEGHEN!$H$11="geen droogtunnel",IF(OPFOKLEGHEN!$H$15="geen warmtewisselaar",Q127-(K127-R127)))+IF(OPFOKLEGHEN!$H$12&gt;0,IF(OPFOKLEGHEN!$H$13="serie geschakeld met warmtewisselaar",(O127-(K127-S127)),IF(OPFOKLEGHEN!$H$13="parallel geschakeld met warmtewisselaar",IF(OPFOKLEGHEN!$L$9="ja",IF(OPFOKLEGHEN!$J$18="nee",(N127-(K127-Q127)-(K127-S127)),(Q127-(K127-N127/80%)))))),(O127-(K127-S127))))</f>
        <v>45.12844938401048</v>
      </c>
      <c r="Z127" s="130">
        <f t="shared" si="76"/>
        <v>1</v>
      </c>
      <c r="AA127" s="130"/>
      <c r="AB127" s="130"/>
      <c r="AC127" s="167">
        <f>IF(H127=0,0,IF(OPFOKLEGHEN!$H$11="geen droogtunnel",IF(OPFOKLEGHEN!$H$15="geen warmtewisselaar",(P127-(K127-R127)/R$13),K127-(K127-O127)/I$6-(K127-R127)/95%)+IF(OPFOKLEGHEN!$J$18="ja",(K127-O127)*(1-I$6)),IF(OPFOKLEGHEN!$H$12&gt;=0,IF(OPFOKLEGHEN!$L$9="ja",IF(OPFOKLEGHEN!$J$18="ja",IF(OPFOKLEGHEN!$H$20="ja",O127-(K127-S127),IF(OPFOKLEGHEN!$H$20="nee",(O127-(K127-S127)),(O127-(K127-S127)))),IF(OPFOKLEGHEN!$J$18="nee",IF(OPFOKLEGHEN!$H$20="nee",O127*80%-(K127-S127),0+O127-(K127-S127)))),IF(OPFOKLEGHEN!$L$9="nee",IF(OPFOKLEGHEN!$J$18="nee",IF(OPFOKLEGHEN!$H$20="nee",(O127*80%-(K127-S127)),O127*93%-(K127-S127)),IF(OPFOKLEGHEN!$H$20="nee",IF(OPFOKLEGHEN!$J$18="ja",IF(OPFOKLEGHEN!$L$9="nee",O127-(K127-S127))),O127-(K127-S127))))))))</f>
        <v>22.56422469200524</v>
      </c>
      <c r="AD127" s="167" t="e">
        <f>IF(H127=0,0,IF(OPFOKLEGHEN!$H$11="geen droogtunnel",IF(OPFOKLEGHEN!$H$15="geen warmtewisselaar",(Q127-(K127-R127)/S$13),N127-(K127-R127)),IF(OPFOKLEGHEN!$H$12&gt;=0,IF(OPFOKLEGHEN!$L$9="ja",IF(OPFOKLEGHEN!$J$18="ja",IF(OPFOKLEGHEN!$H$20="ja",Q127-(K127-N127)-(K127-S127),IF(OPFOKLEGHEN!$H$20="nee",(Q127-(K127-N127)-(K127-S127)),(O127-(K127-S127)))),IF(OPFOKLEGHEN!$J$18="nee",IF(OPFOKLEGHEN!$H$20="nee",1*Q127*$N$135-(K127-N127)-(K127-S127),(Q127-(K127-N127)-(K127-S127))*N$135))),IF(OPFOKLEGHEN!$L$9="nee",IF(OPFOKLEGHEN!$J$18="nee",IF(OPFOKLEGHEN!$H$20="nee",(N127*95%-(K127-Q127)/I$4-(K127-S127)),N127-(K127-Q127)/I$4-(K127-S127)),IF(OPFOKLEGHEN!$H$20="nee",IF(OPFOKLEGHEN!$J$18="ja",IF(OPFOKLEGHEN!$L$9="nee",N127-(K127-Q127)/I$4-(K127-S127))),N127-(K127-Q127)/I$4-(K127-S127))))))))</f>
        <v>#DIV/0!</v>
      </c>
      <c r="AE127" s="4"/>
      <c r="AF127" s="6"/>
      <c r="AG127" s="6"/>
      <c r="AH127" s="4"/>
      <c r="AI127" s="6"/>
      <c r="AJ127" s="6"/>
      <c r="AK127" s="4"/>
      <c r="AL127" s="6"/>
      <c r="AM127" s="1">
        <v>16</v>
      </c>
      <c r="AN127" s="1">
        <v>112</v>
      </c>
      <c r="AO127" s="13">
        <v>1310</v>
      </c>
      <c r="AP127" s="5">
        <v>1135</v>
      </c>
      <c r="AQ127" s="5">
        <f t="shared" si="62"/>
        <v>1222.5</v>
      </c>
      <c r="AR127" s="100"/>
    </row>
    <row r="128" spans="1:44" ht="13" x14ac:dyDescent="0.3">
      <c r="A128" s="1">
        <v>17</v>
      </c>
      <c r="B128" s="1">
        <v>113</v>
      </c>
      <c r="C128" s="4">
        <f t="shared" si="68"/>
        <v>1.5966289385177499</v>
      </c>
      <c r="D128" s="7">
        <f t="shared" si="48"/>
        <v>0</v>
      </c>
      <c r="E128" s="7">
        <f>IF(I$3=0,0,IF(OPFOKLEGHEN!$H$13="parallel geschakeld met warmtewisselaar",0,MIN(I$3,C128)))</f>
        <v>0</v>
      </c>
      <c r="F128" s="7">
        <f>IF(I$3=0,0,IF(OPFOKLEGHEN!$H$13="serie geschakeld met warmtewisselaar",0,IF(C128&lt;$I$3,C128-D128,MIN($I$3,C128-D128))))</f>
        <v>0</v>
      </c>
      <c r="G128" s="137">
        <f>IF(C128&lt;$I$7,MAX(0,C128-D128-E128-F128,IF(OPFOKLEGHEN!$H$15="warmtewisselaar",IF(OPFOKLEGHEN!$H$13="serie geschakeld met warmtewisselaar",MIN(I$7,MAX(0,C128-D128-F128)),MIN(I$7,MAX(0,C128-D128-E128-F128))))),IF(OPFOKLEGHEN!$H$13="parallel geschakeld met warmtewisselaar",MIN(I$7,C128-D128-E128-F128,MIN(I$7,C128-E128-F128)),MIN(I$7,MAX(0,C128-D128-F128))))</f>
        <v>0</v>
      </c>
      <c r="H128" s="7">
        <f>IF(OPFOKLEGHEN!$H$13="parallel geschakeld met warmtewisselaar",IF(OPFOKLEGHEN!$L$9="nee",IF(OPFOKLEGHEN!$J$18="ja",C128-F128-G128,C128-D128-F128-G128),IF(OPFOKLEGHEN!$L$9="ja",IF(OPFOKLEGHEN!$J$18="ja",C128-G128,IF(OPFOKLEGHEN!$J$18="nee",C128-D128-G128)))),IF(OPFOKLEGHEN!$H$13="serie geschakeld met warmtewisselaar",IF(OPFOKLEGHEN!$J$18="ja",C128-G128,C128-D128-F128-G128),C128-D128-F128-G128))</f>
        <v>1.5966289385177499</v>
      </c>
      <c r="I128" s="98">
        <f t="shared" si="49"/>
        <v>1.5966289385177499</v>
      </c>
      <c r="J128" s="99">
        <v>1.6651977367616904</v>
      </c>
      <c r="K128" s="6">
        <f t="shared" si="59"/>
        <v>23.290237359043481</v>
      </c>
      <c r="L128" s="130">
        <f>SUM(K$16:K128)/$K$137</f>
        <v>0.81695259413215693</v>
      </c>
      <c r="M128" s="6">
        <f t="shared" si="60"/>
        <v>0.30043342712008142</v>
      </c>
      <c r="N128" s="6">
        <f t="shared" si="73"/>
        <v>23.290237359043481</v>
      </c>
      <c r="O128" s="6">
        <f>IF(E128&lt;I$3,P128*(1-I$6*D128/C128),IF(OPFOKLEGHEN!$H$11="droogtunnel (platen) 55%",P128*(1-$I$6)+(C128-D128)/C128*(K128-P128*(1-I$6)),P128*(1-$I$6)+(C128-D128)/C128*(K128-P128*(1-I$6))))</f>
        <v>23.290237359043481</v>
      </c>
      <c r="P128" s="129">
        <f t="shared" si="74"/>
        <v>23.290237359043481</v>
      </c>
      <c r="Q128" s="134">
        <f t="shared" si="75"/>
        <v>23.290237359043481</v>
      </c>
      <c r="R128" s="134">
        <f t="shared" si="61"/>
        <v>23.290237359043481</v>
      </c>
      <c r="S128" s="199">
        <f>IF(G128&lt;0.1,K128,IF(C128=F128,S128/(1-I$4),IF(I$3=0,K128-(G128/C128)*K128*S$13,IF(OPFOKLEGHEN!$H$13="Parallel geschakeld met warmtewisselaar",K128-(K128-(K128-Q128)/I$4)*(G128/(C128-F128))*S$13,IF(OPFOKLEGHEN!$H$20="ja",K128-(K128-(K128-P128)/I$4)*(G128/(C128-MIN(D128,I$5)))*S$13,K128-(K128-(K128-P128)/I$4)*(G128/(C128-MIN(D128,I$5)))*S$13)))))</f>
        <v>23.290237359043481</v>
      </c>
      <c r="T128" s="17">
        <f t="shared" si="77"/>
        <v>23.290237359043481</v>
      </c>
      <c r="U128" s="6">
        <f t="shared" si="50"/>
        <v>0</v>
      </c>
      <c r="V128" s="129">
        <f>IF(OPFOKLEGHEN!$J$18="nee",H128/C128*K128,IF(OPFOKLEGHEN!$H$20="ja",O128-(K128-Q128)-(K128-S128),Q128-(K128-O128)-(K128-S128)))</f>
        <v>23.290237359043481</v>
      </c>
      <c r="W128" s="162">
        <f>IF(H128=0,0,IF(OPFOKLEGHEN!$H$11="geen droogtunnel",IF(OPFOKLEGHEN!$H$15="geen warmtewisselaar",Q128-(K128-R128)))+IF(OPFOKLEGHEN!$H$12&gt;0,IF(OPFOKLEGHEN!$H$13="serie geschakeld met warmtewisselaar",(O128*80%-(K128-S128)),(Q128-(K128-S128)-(K128-T128))),(N128-(K128-S128))))</f>
        <v>46.580474718086961</v>
      </c>
      <c r="X128" s="162">
        <f>IF(H128=0,0,IF(OPFOKLEGHEN!$H$11="geen droogtunnel",IF(OPFOKLEGHEN!$H$15="geen warmtewisselaar",Q128-(K128-R128)))+IF(OPFOKLEGHEN!$H$12&gt;0,IF(OPFOKLEGHEN!$H$13="serie geschakeld met warmtewisselaar",3*(O128*80%-(K128-S128)),(Q128-(K128-S128)-(K128-N128))),(N128-(K128-S128))))</f>
        <v>46.580474718086961</v>
      </c>
      <c r="Y128" s="162">
        <f>IF(H128=0,0,IF(OPFOKLEGHEN!$H$11="geen droogtunnel",IF(OPFOKLEGHEN!$H$15="geen warmtewisselaar",Q128-(K128-R128)))+IF(OPFOKLEGHEN!$H$12&gt;0,IF(OPFOKLEGHEN!$H$13="serie geschakeld met warmtewisselaar",(O128-(K128-S128)),IF(OPFOKLEGHEN!$H$13="parallel geschakeld met warmtewisselaar",IF(OPFOKLEGHEN!$L$9="ja",IF(OPFOKLEGHEN!$J$18="nee",(N128-(K128-Q128)-(K128-S128)),(Q128-(K128-N128/80%)))))),(O128-(K128-S128))))</f>
        <v>46.580474718086961</v>
      </c>
      <c r="Z128" s="130">
        <f t="shared" si="76"/>
        <v>1</v>
      </c>
      <c r="AA128" s="130"/>
      <c r="AB128" s="130"/>
      <c r="AC128" s="167">
        <f>IF(H128=0,0,IF(OPFOKLEGHEN!$H$11="geen droogtunnel",IF(OPFOKLEGHEN!$H$15="geen warmtewisselaar",(P128-(K128-R128)/R$13),K128-(K128-O128)/I$6-(K128-R128)/95%)+IF(OPFOKLEGHEN!$J$18="ja",(K128-O128)*(1-I$6)),IF(OPFOKLEGHEN!$H$12&gt;=0,IF(OPFOKLEGHEN!$L$9="ja",IF(OPFOKLEGHEN!$J$18="ja",IF(OPFOKLEGHEN!$H$20="ja",O128-(K128-S128),IF(OPFOKLEGHEN!$H$20="nee",(O128-(K128-S128)),(O128-(K128-S128)))),IF(OPFOKLEGHEN!$J$18="nee",IF(OPFOKLEGHEN!$H$20="nee",O128*80%-(K128-S128),0+O128-(K128-S128)))),IF(OPFOKLEGHEN!$L$9="nee",IF(OPFOKLEGHEN!$J$18="nee",IF(OPFOKLEGHEN!$H$20="nee",(O128*80%-(K128-S128)),O128*93%-(K128-S128)),IF(OPFOKLEGHEN!$H$20="nee",IF(OPFOKLEGHEN!$J$18="ja",IF(OPFOKLEGHEN!$L$9="nee",O128-(K128-S128))),O128-(K128-S128))))))))</f>
        <v>23.290237359043481</v>
      </c>
      <c r="AD128" s="167" t="e">
        <f>IF(H128=0,0,IF(OPFOKLEGHEN!$H$11="geen droogtunnel",IF(OPFOKLEGHEN!$H$15="geen warmtewisselaar",(Q128-(K128-R128)/S$13),N128-(K128-R128)),IF(OPFOKLEGHEN!$H$12&gt;=0,IF(OPFOKLEGHEN!$L$9="ja",IF(OPFOKLEGHEN!$J$18="ja",IF(OPFOKLEGHEN!$H$20="ja",Q128-(K128-N128)-(K128-S128),IF(OPFOKLEGHEN!$H$20="nee",(Q128-(K128-N128)-(K128-S128)),(O128-(K128-S128)))),IF(OPFOKLEGHEN!$J$18="nee",IF(OPFOKLEGHEN!$H$20="nee",1*Q128*$N$135-(K128-N128)-(K128-S128),(Q128-(K128-N128)-(K128-S128))*N$135))),IF(OPFOKLEGHEN!$L$9="nee",IF(OPFOKLEGHEN!$J$18="nee",IF(OPFOKLEGHEN!$H$20="nee",(N128*95%-(K128-Q128)/I$4-(K128-S128)),N128-(K128-Q128)/I$4-(K128-S128)),IF(OPFOKLEGHEN!$H$20="nee",IF(OPFOKLEGHEN!$J$18="ja",IF(OPFOKLEGHEN!$L$9="nee",N128-(K128-Q128)/I$4-(K128-S128))),N128-(K128-Q128)/I$4-(K128-S128))))))))</f>
        <v>#DIV/0!</v>
      </c>
      <c r="AE128" s="4"/>
      <c r="AF128" s="6"/>
      <c r="AG128" s="6"/>
      <c r="AH128" s="4"/>
      <c r="AI128" s="6"/>
      <c r="AJ128" s="6"/>
      <c r="AK128" s="4"/>
      <c r="AL128" s="6"/>
      <c r="AM128" s="1">
        <v>17</v>
      </c>
      <c r="AN128" s="1">
        <v>113</v>
      </c>
      <c r="AO128" s="13">
        <f t="shared" ref="AO128:AO133" si="82">AO127+12.9</f>
        <v>1322.9</v>
      </c>
      <c r="AP128" s="5">
        <f t="shared" ref="AP128:AP133" si="83">AP127+8.6</f>
        <v>1143.5999999999999</v>
      </c>
      <c r="AQ128" s="5">
        <f t="shared" si="62"/>
        <v>1233.25</v>
      </c>
      <c r="AR128" s="100"/>
    </row>
    <row r="129" spans="1:44" ht="13" x14ac:dyDescent="0.3">
      <c r="A129" s="1">
        <v>17</v>
      </c>
      <c r="B129" s="1">
        <v>114</v>
      </c>
      <c r="C129" s="4">
        <f t="shared" si="68"/>
        <v>1.6179233439829999</v>
      </c>
      <c r="D129" s="7">
        <f t="shared" si="48"/>
        <v>0</v>
      </c>
      <c r="E129" s="7">
        <f>IF(I$3=0,0,IF(OPFOKLEGHEN!$H$13="parallel geschakeld met warmtewisselaar",0,MIN(I$3,C129)))</f>
        <v>0</v>
      </c>
      <c r="F129" s="7">
        <f>IF(I$3=0,0,IF(OPFOKLEGHEN!$H$13="serie geschakeld met warmtewisselaar",0,IF(C129&lt;$I$3,C129-D129,MIN($I$3,C129-D129))))</f>
        <v>0</v>
      </c>
      <c r="G129" s="137">
        <f>IF(C129&lt;$I$7,MAX(0,C129-D129-E129-F129,IF(OPFOKLEGHEN!$H$15="warmtewisselaar",IF(OPFOKLEGHEN!$H$13="serie geschakeld met warmtewisselaar",MIN(I$7,MAX(0,C129-D129-F129)),MIN(I$7,MAX(0,C129-D129-E129-F129))))),IF(OPFOKLEGHEN!$H$13="parallel geschakeld met warmtewisselaar",MIN(I$7,C129-D129-E129-F129,MIN(I$7,C129-E129-F129)),MIN(I$7,MAX(0,C129-D129-F129))))</f>
        <v>0</v>
      </c>
      <c r="H129" s="7">
        <f>IF(OPFOKLEGHEN!$H$13="parallel geschakeld met warmtewisselaar",IF(OPFOKLEGHEN!$L$9="nee",IF(OPFOKLEGHEN!$J$18="ja",C129-F129-G129,C129-D129-F129-G129),IF(OPFOKLEGHEN!$L$9="ja",IF(OPFOKLEGHEN!$J$18="ja",C129-G129,IF(OPFOKLEGHEN!$J$18="nee",C129-D129-G129)))),IF(OPFOKLEGHEN!$H$13="serie geschakeld met warmtewisselaar",IF(OPFOKLEGHEN!$J$18="ja",C129-G129,C129-D129-F129-G129),C129-D129-F129-G129))</f>
        <v>1.6179233439829999</v>
      </c>
      <c r="I129" s="98">
        <f t="shared" si="49"/>
        <v>1.6179233439829999</v>
      </c>
      <c r="J129" s="99">
        <v>1.6961209966659074</v>
      </c>
      <c r="K129" s="6">
        <f t="shared" si="59"/>
        <v>24.039137291395235</v>
      </c>
      <c r="L129" s="130">
        <f>SUM(K$16:K129)/$K$137</f>
        <v>0.8451033883124951</v>
      </c>
      <c r="M129" s="6">
        <f t="shared" si="60"/>
        <v>0.31283808803870511</v>
      </c>
      <c r="N129" s="6">
        <f t="shared" si="73"/>
        <v>24.039137291395235</v>
      </c>
      <c r="O129" s="6">
        <f>IF(E129&lt;I$3,P129*(1-I$6*D129/C129),IF(OPFOKLEGHEN!$H$11="droogtunnel (platen) 55%",P129*(1-$I$6)+(C129-D129)/C129*(K129-P129*(1-I$6)),P129*(1-$I$6)+(C129-D129)/C129*(K129-P129*(1-I$6))))</f>
        <v>24.039137291395235</v>
      </c>
      <c r="P129" s="129">
        <f t="shared" si="74"/>
        <v>24.039137291395235</v>
      </c>
      <c r="Q129" s="134">
        <f t="shared" si="75"/>
        <v>24.039137291395235</v>
      </c>
      <c r="R129" s="134">
        <f t="shared" si="61"/>
        <v>24.039137291395235</v>
      </c>
      <c r="S129" s="199">
        <f>IF(G129&lt;0.1,K129,IF(C129=F129,S129/(1-I$4),IF(I$3=0,K129-(G129/C129)*K129*S$13,IF(OPFOKLEGHEN!$H$13="Parallel geschakeld met warmtewisselaar",K129-(K129-(K129-Q129)/I$4)*(G129/(C129-F129))*S$13,IF(OPFOKLEGHEN!$H$20="ja",K129-(K129-(K129-P129)/I$4)*(G129/(C129-MIN(D129,I$5)))*S$13,K129-(K129-(K129-P129)/I$4)*(G129/(C129-MIN(D129,I$5)))*S$13)))))</f>
        <v>24.039137291395235</v>
      </c>
      <c r="T129" s="17">
        <f t="shared" si="77"/>
        <v>24.039137291395235</v>
      </c>
      <c r="U129" s="6">
        <f t="shared" si="50"/>
        <v>0</v>
      </c>
      <c r="V129" s="129">
        <f>IF(OPFOKLEGHEN!$J$18="nee",H129/C129*K129,IF(OPFOKLEGHEN!$H$20="ja",O129-(K129-Q129)-(K129-S129),Q129-(K129-O129)-(K129-S129)))</f>
        <v>24.039137291395235</v>
      </c>
      <c r="W129" s="162">
        <f>IF(H129=0,0,IF(OPFOKLEGHEN!$H$11="geen droogtunnel",IF(OPFOKLEGHEN!$H$15="geen warmtewisselaar",Q129-(K129-R129)))+IF(OPFOKLEGHEN!$H$12&gt;0,IF(OPFOKLEGHEN!$H$13="serie geschakeld met warmtewisselaar",(O129*80%-(K129-S129)),(Q129-(K129-S129)-(K129-T129))),(N129-(K129-S129))))</f>
        <v>48.078274582790471</v>
      </c>
      <c r="X129" s="162">
        <f>IF(H129=0,0,IF(OPFOKLEGHEN!$H$11="geen droogtunnel",IF(OPFOKLEGHEN!$H$15="geen warmtewisselaar",Q129-(K129-R129)))+IF(OPFOKLEGHEN!$H$12&gt;0,IF(OPFOKLEGHEN!$H$13="serie geschakeld met warmtewisselaar",3*(O129*80%-(K129-S129)),(Q129-(K129-S129)-(K129-N129))),(N129-(K129-S129))))</f>
        <v>48.078274582790471</v>
      </c>
      <c r="Y129" s="162">
        <f>IF(H129=0,0,IF(OPFOKLEGHEN!$H$11="geen droogtunnel",IF(OPFOKLEGHEN!$H$15="geen warmtewisselaar",Q129-(K129-R129)))+IF(OPFOKLEGHEN!$H$12&gt;0,IF(OPFOKLEGHEN!$H$13="serie geschakeld met warmtewisselaar",(O129-(K129-S129)),IF(OPFOKLEGHEN!$H$13="parallel geschakeld met warmtewisselaar",IF(OPFOKLEGHEN!$L$9="ja",IF(OPFOKLEGHEN!$J$18="nee",(N129-(K129-Q129)-(K129-S129)),(Q129-(K129-N129/80%)))))),(O129-(K129-S129))))</f>
        <v>48.078274582790471</v>
      </c>
      <c r="Z129" s="130">
        <f t="shared" si="76"/>
        <v>1</v>
      </c>
      <c r="AA129" s="130"/>
      <c r="AB129" s="130"/>
      <c r="AC129" s="167">
        <f>IF(H129=0,0,IF(OPFOKLEGHEN!$H$11="geen droogtunnel",IF(OPFOKLEGHEN!$H$15="geen warmtewisselaar",(P129-(K129-R129)/R$13),K129-(K129-O129)/I$6-(K129-R129)/95%)+IF(OPFOKLEGHEN!$J$18="ja",(K129-O129)*(1-I$6)),IF(OPFOKLEGHEN!$H$12&gt;=0,IF(OPFOKLEGHEN!$L$9="ja",IF(OPFOKLEGHEN!$J$18="ja",IF(OPFOKLEGHEN!$H$20="ja",O129-(K129-S129),IF(OPFOKLEGHEN!$H$20="nee",(O129-(K129-S129)),(O129-(K129-S129)))),IF(OPFOKLEGHEN!$J$18="nee",IF(OPFOKLEGHEN!$H$20="nee",O129*80%-(K129-S129),0+O129-(K129-S129)))),IF(OPFOKLEGHEN!$L$9="nee",IF(OPFOKLEGHEN!$J$18="nee",IF(OPFOKLEGHEN!$H$20="nee",(O129*80%-(K129-S129)),O129*93%-(K129-S129)),IF(OPFOKLEGHEN!$H$20="nee",IF(OPFOKLEGHEN!$J$18="ja",IF(OPFOKLEGHEN!$L$9="nee",O129-(K129-S129))),O129-(K129-S129))))))))</f>
        <v>24.039137291395235</v>
      </c>
      <c r="AD129" s="167" t="e">
        <f>IF(H129=0,0,IF(OPFOKLEGHEN!$H$11="geen droogtunnel",IF(OPFOKLEGHEN!$H$15="geen warmtewisselaar",(Q129-(K129-R129)/S$13),N129-(K129-R129)),IF(OPFOKLEGHEN!$H$12&gt;=0,IF(OPFOKLEGHEN!$L$9="ja",IF(OPFOKLEGHEN!$J$18="ja",IF(OPFOKLEGHEN!$H$20="ja",Q129-(K129-N129)-(K129-S129),IF(OPFOKLEGHEN!$H$20="nee",(Q129-(K129-N129)-(K129-S129)),(O129-(K129-S129)))),IF(OPFOKLEGHEN!$J$18="nee",IF(OPFOKLEGHEN!$H$20="nee",1*Q129*$N$135-(K129-N129)-(K129-S129),(Q129-(K129-N129)-(K129-S129))*N$135))),IF(OPFOKLEGHEN!$L$9="nee",IF(OPFOKLEGHEN!$J$18="nee",IF(OPFOKLEGHEN!$H$20="nee",(N129*95%-(K129-Q129)/I$4-(K129-S129)),N129-(K129-Q129)/I$4-(K129-S129)),IF(OPFOKLEGHEN!$H$20="nee",IF(OPFOKLEGHEN!$J$18="ja",IF(OPFOKLEGHEN!$L$9="nee",N129-(K129-Q129)/I$4-(K129-S129))),N129-(K129-Q129)/I$4-(K129-S129))))))))</f>
        <v>#DIV/0!</v>
      </c>
      <c r="AE129" s="4"/>
      <c r="AF129" s="6"/>
      <c r="AG129" s="6"/>
      <c r="AH129" s="4"/>
      <c r="AI129" s="6"/>
      <c r="AJ129" s="6"/>
      <c r="AK129" s="4"/>
      <c r="AL129" s="6"/>
      <c r="AM129" s="1">
        <v>17</v>
      </c>
      <c r="AN129" s="1">
        <v>114</v>
      </c>
      <c r="AO129" s="13">
        <f t="shared" si="82"/>
        <v>1335.8000000000002</v>
      </c>
      <c r="AP129" s="5">
        <f t="shared" si="83"/>
        <v>1152.1999999999998</v>
      </c>
      <c r="AQ129" s="5">
        <f t="shared" si="62"/>
        <v>1244</v>
      </c>
      <c r="AR129" s="100"/>
    </row>
    <row r="130" spans="1:44" ht="13" x14ac:dyDescent="0.3">
      <c r="A130" s="1">
        <v>17</v>
      </c>
      <c r="B130" s="1">
        <v>115</v>
      </c>
      <c r="C130" s="4">
        <f t="shared" si="68"/>
        <v>1.6394699123702499</v>
      </c>
      <c r="D130" s="7">
        <f t="shared" si="48"/>
        <v>0</v>
      </c>
      <c r="E130" s="7">
        <f>IF(I$3=0,0,IF(OPFOKLEGHEN!$H$13="parallel geschakeld met warmtewisselaar",0,MIN(I$3,C130)))</f>
        <v>0</v>
      </c>
      <c r="F130" s="7">
        <f>IF(I$3=0,0,IF(OPFOKLEGHEN!$H$13="serie geschakeld met warmtewisselaar",0,IF(C130&lt;$I$3,C130-D130,MIN($I$3,C130-D130))))</f>
        <v>0</v>
      </c>
      <c r="G130" s="137">
        <f>IF(C130&lt;$I$7,MAX(0,C130-D130-E130-F130,IF(OPFOKLEGHEN!$H$15="warmtewisselaar",IF(OPFOKLEGHEN!$H$13="serie geschakeld met warmtewisselaar",MIN(I$7,MAX(0,C130-D130-F130)),MIN(I$7,MAX(0,C130-D130-E130-F130))))),IF(OPFOKLEGHEN!$H$13="parallel geschakeld met warmtewisselaar",MIN(I$7,C130-D130-E130-F130,MIN(I$7,C130-E130-F130)),MIN(I$7,MAX(0,C130-D130-F130))))</f>
        <v>0</v>
      </c>
      <c r="H130" s="7">
        <f>IF(OPFOKLEGHEN!$H$13="parallel geschakeld met warmtewisselaar",IF(OPFOKLEGHEN!$L$9="nee",IF(OPFOKLEGHEN!$J$18="ja",C130-F130-G130,C130-D130-F130-G130),IF(OPFOKLEGHEN!$L$9="ja",IF(OPFOKLEGHEN!$J$18="ja",C130-G130,IF(OPFOKLEGHEN!$J$18="nee",C130-D130-G130)))),IF(OPFOKLEGHEN!$H$13="serie geschakeld met warmtewisselaar",IF(OPFOKLEGHEN!$J$18="ja",C130-G130,C130-D130-F130-G130),C130-D130-F130-G130))</f>
        <v>1.6394699123702499</v>
      </c>
      <c r="I130" s="98">
        <f t="shared" si="49"/>
        <v>1.6394699123702499</v>
      </c>
      <c r="J130" s="99">
        <v>1.7276185114961276</v>
      </c>
      <c r="K130" s="6">
        <f t="shared" si="59"/>
        <v>24.811636270149574</v>
      </c>
      <c r="L130" s="130">
        <f>SUM(K$16:K130)/$K$137</f>
        <v>0.87415880978839011</v>
      </c>
      <c r="M130" s="6">
        <f t="shared" si="60"/>
        <v>0.32572353550995448</v>
      </c>
      <c r="N130" s="6">
        <f t="shared" si="73"/>
        <v>24.811636270149574</v>
      </c>
      <c r="O130" s="6">
        <f>IF(E130&lt;I$3,P130*(1-I$6*D130/C130),IF(OPFOKLEGHEN!$H$11="droogtunnel (platen) 55%",P130*(1-$I$6)+(C130-D130)/C130*(K130-P130*(1-I$6)),P130*(1-$I$6)+(C130-D130)/C130*(K130-P130*(1-I$6))))</f>
        <v>24.811636270149574</v>
      </c>
      <c r="P130" s="129">
        <f t="shared" si="74"/>
        <v>24.811636270149574</v>
      </c>
      <c r="Q130" s="134">
        <f t="shared" si="75"/>
        <v>24.811636270149574</v>
      </c>
      <c r="R130" s="134">
        <f t="shared" si="61"/>
        <v>24.811636270149574</v>
      </c>
      <c r="S130" s="199">
        <f>IF(G130&lt;0.1,K130,IF(C130=F130,S130/(1-I$4),IF(I$3=0,K130-(G130/C130)*K130*S$13,IF(OPFOKLEGHEN!$H$13="Parallel geschakeld met warmtewisselaar",K130-(K130-(K130-Q130)/I$4)*(G130/(C130-F130))*S$13,IF(OPFOKLEGHEN!$H$20="ja",K130-(K130-(K130-P130)/I$4)*(G130/(C130-MIN(D130,I$5)))*S$13,K130-(K130-(K130-P130)/I$4)*(G130/(C130-MIN(D130,I$5)))*S$13)))))</f>
        <v>24.811636270149574</v>
      </c>
      <c r="T130" s="17">
        <f t="shared" si="77"/>
        <v>24.811636270149574</v>
      </c>
      <c r="U130" s="6">
        <f t="shared" si="50"/>
        <v>0</v>
      </c>
      <c r="V130" s="129">
        <f>IF(OPFOKLEGHEN!$J$18="nee",H130/C130*K130,IF(OPFOKLEGHEN!$H$20="ja",O130-(K130-Q130)-(K130-S130),Q130-(K130-O130)-(K130-S130)))</f>
        <v>24.811636270149574</v>
      </c>
      <c r="W130" s="162">
        <f>IF(H130=0,0,IF(OPFOKLEGHEN!$H$11="geen droogtunnel",IF(OPFOKLEGHEN!$H$15="geen warmtewisselaar",Q130-(K130-R130)))+IF(OPFOKLEGHEN!$H$12&gt;0,IF(OPFOKLEGHEN!$H$13="serie geschakeld met warmtewisselaar",(O130*80%-(K130-S130)),(Q130-(K130-S130)-(K130-T130))),(N130-(K130-S130))))</f>
        <v>49.623272540299148</v>
      </c>
      <c r="X130" s="162">
        <f>IF(H130=0,0,IF(OPFOKLEGHEN!$H$11="geen droogtunnel",IF(OPFOKLEGHEN!$H$15="geen warmtewisselaar",Q130-(K130-R130)))+IF(OPFOKLEGHEN!$H$12&gt;0,IF(OPFOKLEGHEN!$H$13="serie geschakeld met warmtewisselaar",3*(O130*80%-(K130-S130)),(Q130-(K130-S130)-(K130-N130))),(N130-(K130-S130))))</f>
        <v>49.623272540299148</v>
      </c>
      <c r="Y130" s="162">
        <f>IF(H130=0,0,IF(OPFOKLEGHEN!$H$11="geen droogtunnel",IF(OPFOKLEGHEN!$H$15="geen warmtewisselaar",Q130-(K130-R130)))+IF(OPFOKLEGHEN!$H$12&gt;0,IF(OPFOKLEGHEN!$H$13="serie geschakeld met warmtewisselaar",(O130-(K130-S130)),IF(OPFOKLEGHEN!$H$13="parallel geschakeld met warmtewisselaar",IF(OPFOKLEGHEN!$L$9="ja",IF(OPFOKLEGHEN!$J$18="nee",(N130-(K130-Q130)-(K130-S130)),(Q130-(K130-N130/80%)))))),(O130-(K130-S130))))</f>
        <v>49.623272540299148</v>
      </c>
      <c r="Z130" s="130">
        <f t="shared" si="76"/>
        <v>1</v>
      </c>
      <c r="AA130" s="130"/>
      <c r="AB130" s="130"/>
      <c r="AC130" s="167">
        <f>IF(H130=0,0,IF(OPFOKLEGHEN!$H$11="geen droogtunnel",IF(OPFOKLEGHEN!$H$15="geen warmtewisselaar",(P130-(K130-R130)/R$13),K130-(K130-O130)/I$6-(K130-R130)/95%)+IF(OPFOKLEGHEN!$J$18="ja",(K130-O130)*(1-I$6)),IF(OPFOKLEGHEN!$H$12&gt;=0,IF(OPFOKLEGHEN!$L$9="ja",IF(OPFOKLEGHEN!$J$18="ja",IF(OPFOKLEGHEN!$H$20="ja",O130-(K130-S130),IF(OPFOKLEGHEN!$H$20="nee",(O130-(K130-S130)),(O130-(K130-S130)))),IF(OPFOKLEGHEN!$J$18="nee",IF(OPFOKLEGHEN!$H$20="nee",O130*80%-(K130-S130),0+O130-(K130-S130)))),IF(OPFOKLEGHEN!$L$9="nee",IF(OPFOKLEGHEN!$J$18="nee",IF(OPFOKLEGHEN!$H$20="nee",(O130*80%-(K130-S130)),O130*93%-(K130-S130)),IF(OPFOKLEGHEN!$H$20="nee",IF(OPFOKLEGHEN!$J$18="ja",IF(OPFOKLEGHEN!$L$9="nee",O130-(K130-S130))),O130-(K130-S130))))))))</f>
        <v>24.811636270149574</v>
      </c>
      <c r="AD130" s="167" t="e">
        <f>IF(H130=0,0,IF(OPFOKLEGHEN!$H$11="geen droogtunnel",IF(OPFOKLEGHEN!$H$15="geen warmtewisselaar",(Q130-(K130-R130)/S$13),N130-(K130-R130)),IF(OPFOKLEGHEN!$H$12&gt;=0,IF(OPFOKLEGHEN!$L$9="ja",IF(OPFOKLEGHEN!$J$18="ja",IF(OPFOKLEGHEN!$H$20="ja",Q130-(K130-N130)-(K130-S130),IF(OPFOKLEGHEN!$H$20="nee",(Q130-(K130-N130)-(K130-S130)),(O130-(K130-S130)))),IF(OPFOKLEGHEN!$J$18="nee",IF(OPFOKLEGHEN!$H$20="nee",1*Q130*$N$135-(K130-N130)-(K130-S130),(Q130-(K130-N130)-(K130-S130))*N$135))),IF(OPFOKLEGHEN!$L$9="nee",IF(OPFOKLEGHEN!$J$18="nee",IF(OPFOKLEGHEN!$H$20="nee",(N130*95%-(K130-Q130)/I$4-(K130-S130)),N130-(K130-Q130)/I$4-(K130-S130)),IF(OPFOKLEGHEN!$H$20="nee",IF(OPFOKLEGHEN!$J$18="ja",IF(OPFOKLEGHEN!$L$9="nee",N130-(K130-Q130)/I$4-(K130-S130))),N130-(K130-Q130)/I$4-(K130-S130))))))))</f>
        <v>#DIV/0!</v>
      </c>
      <c r="AE130" s="4"/>
      <c r="AF130" s="6"/>
      <c r="AG130" s="6"/>
      <c r="AH130" s="4"/>
      <c r="AI130" s="6"/>
      <c r="AJ130" s="6"/>
      <c r="AK130" s="4"/>
      <c r="AL130" s="6"/>
      <c r="AM130" s="1">
        <v>17</v>
      </c>
      <c r="AN130" s="1">
        <v>115</v>
      </c>
      <c r="AO130" s="13">
        <f t="shared" si="82"/>
        <v>1348.7000000000003</v>
      </c>
      <c r="AP130" s="5">
        <f t="shared" si="83"/>
        <v>1160.7999999999997</v>
      </c>
      <c r="AQ130" s="5">
        <f t="shared" si="62"/>
        <v>1254.75</v>
      </c>
      <c r="AR130" s="100"/>
    </row>
    <row r="131" spans="1:44" ht="13" x14ac:dyDescent="0.3">
      <c r="A131" s="1">
        <v>17</v>
      </c>
      <c r="B131" s="1">
        <v>116</v>
      </c>
      <c r="C131" s="4">
        <f t="shared" si="68"/>
        <v>1.6612715059315002</v>
      </c>
      <c r="D131" s="7">
        <f t="shared" si="48"/>
        <v>0</v>
      </c>
      <c r="E131" s="7">
        <f>IF(I$3=0,0,IF(OPFOKLEGHEN!$H$13="parallel geschakeld met warmtewisselaar",0,MIN(I$3,C131)))</f>
        <v>0</v>
      </c>
      <c r="F131" s="7">
        <f>IF(I$3=0,0,IF(OPFOKLEGHEN!$H$13="serie geschakeld met warmtewisselaar",0,IF(C131&lt;$I$3,C131-D131,MIN($I$3,C131-D131))))</f>
        <v>0</v>
      </c>
      <c r="G131" s="137">
        <f>IF(C131&lt;$I$7,MAX(0,C131-D131-E131-F131,IF(OPFOKLEGHEN!$H$15="warmtewisselaar",IF(OPFOKLEGHEN!$H$13="serie geschakeld met warmtewisselaar",MIN(I$7,MAX(0,C131-D131-F131)),MIN(I$7,MAX(0,C131-D131-E131-F131))))),IF(OPFOKLEGHEN!$H$13="parallel geschakeld met warmtewisselaar",MIN(I$7,C131-D131-E131-F131,MIN(I$7,C131-E131-F131)),MIN(I$7,MAX(0,C131-D131-F131))))</f>
        <v>0</v>
      </c>
      <c r="H131" s="7">
        <f>IF(OPFOKLEGHEN!$H$13="parallel geschakeld met warmtewisselaar",IF(OPFOKLEGHEN!$L$9="nee",IF(OPFOKLEGHEN!$J$18="ja",C131-F131-G131,C131-D131-F131-G131),IF(OPFOKLEGHEN!$L$9="ja",IF(OPFOKLEGHEN!$J$18="ja",C131-G131,IF(OPFOKLEGHEN!$J$18="nee",C131-D131-G131)))),IF(OPFOKLEGHEN!$H$13="serie geschakeld met warmtewisselaar",IF(OPFOKLEGHEN!$J$18="ja",C131-G131,C131-D131-F131-G131),C131-D131-F131-G131))</f>
        <v>1.6612715059315002</v>
      </c>
      <c r="I131" s="98">
        <f t="shared" si="49"/>
        <v>1.6612715059315002</v>
      </c>
      <c r="J131" s="99">
        <v>1.7597009453518353</v>
      </c>
      <c r="K131" s="6">
        <f t="shared" si="59"/>
        <v>25.608467505789857</v>
      </c>
      <c r="L131" s="130">
        <f>SUM(K$16:K131)/$K$137</f>
        <v>0.90414735260882695</v>
      </c>
      <c r="M131" s="6">
        <f t="shared" si="60"/>
        <v>0.33910756057895247</v>
      </c>
      <c r="N131" s="6">
        <f t="shared" si="73"/>
        <v>25.608467505789857</v>
      </c>
      <c r="O131" s="6">
        <f>IF(E131&lt;I$3,P131*(1-I$6*D131/C131),IF(OPFOKLEGHEN!$H$11="droogtunnel (platen) 55%",P131*(1-$I$6)+(C131-D131)/C131*(K131-P131*(1-I$6)),P131*(1-$I$6)+(C131-D131)/C131*(K131-P131*(1-I$6))))</f>
        <v>25.608467505789857</v>
      </c>
      <c r="P131" s="129">
        <f t="shared" si="74"/>
        <v>25.608467505789857</v>
      </c>
      <c r="Q131" s="134">
        <f t="shared" si="75"/>
        <v>25.608467505789857</v>
      </c>
      <c r="R131" s="134">
        <f t="shared" si="61"/>
        <v>25.608467505789857</v>
      </c>
      <c r="S131" s="199">
        <f>IF(G131&lt;0.1,K131,IF(C131=F131,S131/(1-I$4),IF(I$3=0,K131-(G131/C131)*K131*S$13,IF(OPFOKLEGHEN!$H$13="Parallel geschakeld met warmtewisselaar",K131-(K131-(K131-Q131)/I$4)*(G131/(C131-F131))*S$13,IF(OPFOKLEGHEN!$H$20="ja",K131-(K131-(K131-P131)/I$4)*(G131/(C131-MIN(D131,I$5)))*S$13,K131-(K131-(K131-P131)/I$4)*(G131/(C131-MIN(D131,I$5)))*S$13)))))</f>
        <v>25.608467505789857</v>
      </c>
      <c r="T131" s="17">
        <f t="shared" si="77"/>
        <v>25.608467505789857</v>
      </c>
      <c r="U131" s="6">
        <f t="shared" si="50"/>
        <v>0</v>
      </c>
      <c r="V131" s="129">
        <f>IF(OPFOKLEGHEN!$J$18="nee",H131/C131*K131,IF(OPFOKLEGHEN!$H$20="ja",O131-(K131-Q131)-(K131-S131),Q131-(K131-O131)-(K131-S131)))</f>
        <v>25.608467505789857</v>
      </c>
      <c r="W131" s="162">
        <f>IF(H131=0,0,IF(OPFOKLEGHEN!$H$11="geen droogtunnel",IF(OPFOKLEGHEN!$H$15="geen warmtewisselaar",Q131-(K131-R131)))+IF(OPFOKLEGHEN!$H$12&gt;0,IF(OPFOKLEGHEN!$H$13="serie geschakeld met warmtewisselaar",(O131*80%-(K131-S131)),(Q131-(K131-S131)-(K131-T131))),(N131-(K131-S131))))</f>
        <v>51.216935011579714</v>
      </c>
      <c r="X131" s="162">
        <f>IF(H131=0,0,IF(OPFOKLEGHEN!$H$11="geen droogtunnel",IF(OPFOKLEGHEN!$H$15="geen warmtewisselaar",Q131-(K131-R131)))+IF(OPFOKLEGHEN!$H$12&gt;0,IF(OPFOKLEGHEN!$H$13="serie geschakeld met warmtewisselaar",3*(O131*80%-(K131-S131)),(Q131-(K131-S131)-(K131-N131))),(N131-(K131-S131))))</f>
        <v>51.216935011579714</v>
      </c>
      <c r="Y131" s="162">
        <f>IF(H131=0,0,IF(OPFOKLEGHEN!$H$11="geen droogtunnel",IF(OPFOKLEGHEN!$H$15="geen warmtewisselaar",Q131-(K131-R131)))+IF(OPFOKLEGHEN!$H$12&gt;0,IF(OPFOKLEGHEN!$H$13="serie geschakeld met warmtewisselaar",(O131-(K131-S131)),IF(OPFOKLEGHEN!$H$13="parallel geschakeld met warmtewisselaar",IF(OPFOKLEGHEN!$L$9="ja",IF(OPFOKLEGHEN!$J$18="nee",(N131-(K131-Q131)-(K131-S131)),(Q131-(K131-N131/80%)))))),(O131-(K131-S131))))</f>
        <v>51.216935011579714</v>
      </c>
      <c r="Z131" s="130">
        <f t="shared" si="76"/>
        <v>1</v>
      </c>
      <c r="AA131" s="130"/>
      <c r="AB131" s="130"/>
      <c r="AC131" s="167">
        <f>IF(H131=0,0,IF(OPFOKLEGHEN!$H$11="geen droogtunnel",IF(OPFOKLEGHEN!$H$15="geen warmtewisselaar",(P131-(K131-R131)/R$13),K131-(K131-O131)/I$6-(K131-R131)/95%)+IF(OPFOKLEGHEN!$J$18="ja",(K131-O131)*(1-I$6)),IF(OPFOKLEGHEN!$H$12&gt;=0,IF(OPFOKLEGHEN!$L$9="ja",IF(OPFOKLEGHEN!$J$18="ja",IF(OPFOKLEGHEN!$H$20="ja",O131-(K131-S131),IF(OPFOKLEGHEN!$H$20="nee",(O131-(K131-S131)),(O131-(K131-S131)))),IF(OPFOKLEGHEN!$J$18="nee",IF(OPFOKLEGHEN!$H$20="nee",O131*80%-(K131-S131),0+O131-(K131-S131)))),IF(OPFOKLEGHEN!$L$9="nee",IF(OPFOKLEGHEN!$J$18="nee",IF(OPFOKLEGHEN!$H$20="nee",(O131*80%-(K131-S131)),O131*93%-(K131-S131)),IF(OPFOKLEGHEN!$H$20="nee",IF(OPFOKLEGHEN!$J$18="ja",IF(OPFOKLEGHEN!$L$9="nee",O131-(K131-S131))),O131-(K131-S131))))))))</f>
        <v>25.608467505789857</v>
      </c>
      <c r="AD131" s="167" t="e">
        <f>IF(H131=0,0,IF(OPFOKLEGHEN!$H$11="geen droogtunnel",IF(OPFOKLEGHEN!$H$15="geen warmtewisselaar",(Q131-(K131-R131)/S$13),N131-(K131-R131)),IF(OPFOKLEGHEN!$H$12&gt;=0,IF(OPFOKLEGHEN!$L$9="ja",IF(OPFOKLEGHEN!$J$18="ja",IF(OPFOKLEGHEN!$H$20="ja",Q131-(K131-N131)-(K131-S131),IF(OPFOKLEGHEN!$H$20="nee",(Q131-(K131-N131)-(K131-S131)),(O131-(K131-S131)))),IF(OPFOKLEGHEN!$J$18="nee",IF(OPFOKLEGHEN!$H$20="nee",1*Q131*$N$135-(K131-N131)-(K131-S131),(Q131-(K131-N131)-(K131-S131))*N$135))),IF(OPFOKLEGHEN!$L$9="nee",IF(OPFOKLEGHEN!$J$18="nee",IF(OPFOKLEGHEN!$H$20="nee",(N131*95%-(K131-Q131)/I$4-(K131-S131)),N131-(K131-Q131)/I$4-(K131-S131)),IF(OPFOKLEGHEN!$H$20="nee",IF(OPFOKLEGHEN!$J$18="ja",IF(OPFOKLEGHEN!$L$9="nee",N131-(K131-Q131)/I$4-(K131-S131))),N131-(K131-Q131)/I$4-(K131-S131))))))))</f>
        <v>#DIV/0!</v>
      </c>
      <c r="AE131" s="4"/>
      <c r="AF131" s="6"/>
      <c r="AG131" s="6"/>
      <c r="AH131" s="4"/>
      <c r="AI131" s="6"/>
      <c r="AJ131" s="6"/>
      <c r="AK131" s="4"/>
      <c r="AL131" s="6"/>
      <c r="AM131" s="1">
        <v>17</v>
      </c>
      <c r="AN131" s="1">
        <v>116</v>
      </c>
      <c r="AO131" s="13">
        <f t="shared" si="82"/>
        <v>1361.6000000000004</v>
      </c>
      <c r="AP131" s="5">
        <f t="shared" si="83"/>
        <v>1169.3999999999996</v>
      </c>
      <c r="AQ131" s="5">
        <f t="shared" si="62"/>
        <v>1265.5</v>
      </c>
      <c r="AR131" s="100"/>
    </row>
    <row r="132" spans="1:44" ht="13" x14ac:dyDescent="0.3">
      <c r="A132" s="1">
        <v>17</v>
      </c>
      <c r="B132" s="1">
        <v>117</v>
      </c>
      <c r="C132" s="4">
        <f t="shared" si="68"/>
        <v>1.6833309869187498</v>
      </c>
      <c r="D132" s="7">
        <f t="shared" si="48"/>
        <v>0</v>
      </c>
      <c r="E132" s="7">
        <f>IF(I$3=0,0,IF(OPFOKLEGHEN!$H$13="parallel geschakeld met warmtewisselaar",0,MIN(I$3,C132)))</f>
        <v>0</v>
      </c>
      <c r="F132" s="7">
        <f>IF(I$3=0,0,IF(OPFOKLEGHEN!$H$13="serie geschakeld met warmtewisselaar",0,IF(C132&lt;$I$3,C132-D132,MIN($I$3,C132-D132))))</f>
        <v>0</v>
      </c>
      <c r="G132" s="137">
        <f>IF(C132&lt;$I$7,MAX(0,C132-D132-E132-F132,IF(OPFOKLEGHEN!$H$15="warmtewisselaar",IF(OPFOKLEGHEN!$H$13="serie geschakeld met warmtewisselaar",MIN(I$7,MAX(0,C132-D132-F132)),MIN(I$7,MAX(0,C132-D132-E132-F132))))),IF(OPFOKLEGHEN!$H$13="parallel geschakeld met warmtewisselaar",MIN(I$7,C132-D132-E132-F132,MIN(I$7,C132-E132-F132)),MIN(I$7,MAX(0,C132-D132-F132))))</f>
        <v>0</v>
      </c>
      <c r="H132" s="7">
        <f>IF(OPFOKLEGHEN!$H$13="parallel geschakeld met warmtewisselaar",IF(OPFOKLEGHEN!$L$9="nee",IF(OPFOKLEGHEN!$J$18="ja",C132-F132-G132,C132-D132-F132-G132),IF(OPFOKLEGHEN!$L$9="ja",IF(OPFOKLEGHEN!$J$18="ja",C132-G132,IF(OPFOKLEGHEN!$J$18="nee",C132-D132-G132)))),IF(OPFOKLEGHEN!$H$13="serie geschakeld met warmtewisselaar",IF(OPFOKLEGHEN!$J$18="ja",C132-G132,C132-D132-F132-G132),C132-D132-F132-G132))</f>
        <v>1.6833309869187498</v>
      </c>
      <c r="I132" s="98">
        <f t="shared" si="49"/>
        <v>1.6833309869187498</v>
      </c>
      <c r="J132" s="99">
        <v>1.7923791603682901</v>
      </c>
      <c r="K132" s="6">
        <f t="shared" si="59"/>
        <v>26.430386257168902</v>
      </c>
      <c r="L132" s="130">
        <f>SUM(K$16:K132)/$K$137</f>
        <v>0.93509839526120719</v>
      </c>
      <c r="M132" s="6">
        <f t="shared" si="60"/>
        <v>0.35300858357177645</v>
      </c>
      <c r="N132" s="6">
        <f t="shared" si="73"/>
        <v>26.430386257168902</v>
      </c>
      <c r="O132" s="6">
        <f>IF(E132&lt;I$3,P132*(1-I$6*D132/C132),IF(OPFOKLEGHEN!$H$11="droogtunnel (platen) 55%",P132*(1-$I$6)+(C132-D132)/C132*(K132-P132*(1-I$6)),P132*(1-$I$6)+(C132-D132)/C132*(K132-P132*(1-I$6))))</f>
        <v>26.430386257168902</v>
      </c>
      <c r="P132" s="129">
        <f t="shared" si="74"/>
        <v>26.430386257168902</v>
      </c>
      <c r="Q132" s="134">
        <f t="shared" si="75"/>
        <v>26.430386257168902</v>
      </c>
      <c r="R132" s="134">
        <f t="shared" si="61"/>
        <v>26.430386257168902</v>
      </c>
      <c r="S132" s="199">
        <f>IF(G132&lt;0.1,K132,IF(C132=F132,S132/(1-I$4),IF(I$3=0,K132-(G132/C132)*K132*S$13,IF(OPFOKLEGHEN!$H$13="Parallel geschakeld met warmtewisselaar",K132-(K132-(K132-Q132)/I$4)*(G132/(C132-F132))*S$13,IF(OPFOKLEGHEN!$H$20="ja",K132-(K132-(K132-P132)/I$4)*(G132/(C132-MIN(D132,I$5)))*S$13,K132-(K132-(K132-P132)/I$4)*(G132/(C132-MIN(D132,I$5)))*S$13)))))</f>
        <v>26.430386257168902</v>
      </c>
      <c r="T132" s="17">
        <f t="shared" si="77"/>
        <v>26.430386257168902</v>
      </c>
      <c r="U132" s="6">
        <f t="shared" si="50"/>
        <v>0</v>
      </c>
      <c r="V132" s="129">
        <f>IF(OPFOKLEGHEN!$J$18="nee",H132/C132*K132,IF(OPFOKLEGHEN!$H$20="ja",O132-(K132-Q132)-(K132-S132),Q132-(K132-O132)-(K132-S132)))</f>
        <v>26.430386257168902</v>
      </c>
      <c r="W132" s="162">
        <f>IF(H132=0,0,IF(OPFOKLEGHEN!$H$11="geen droogtunnel",IF(OPFOKLEGHEN!$H$15="geen warmtewisselaar",Q132-(K132-R132)))+IF(OPFOKLEGHEN!$H$12&gt;0,IF(OPFOKLEGHEN!$H$13="serie geschakeld met warmtewisselaar",(O132*80%-(K132-S132)),(Q132-(K132-S132)-(K132-T132))),(N132-(K132-S132))))</f>
        <v>52.860772514337803</v>
      </c>
      <c r="X132" s="162">
        <f>IF(H132=0,0,IF(OPFOKLEGHEN!$H$11="geen droogtunnel",IF(OPFOKLEGHEN!$H$15="geen warmtewisselaar",Q132-(K132-R132)))+IF(OPFOKLEGHEN!$H$12&gt;0,IF(OPFOKLEGHEN!$H$13="serie geschakeld met warmtewisselaar",3*(O132*80%-(K132-S132)),(Q132-(K132-S132)-(K132-N132))),(N132-(K132-S132))))</f>
        <v>52.860772514337803</v>
      </c>
      <c r="Y132" s="162">
        <f>IF(H132=0,0,IF(OPFOKLEGHEN!$H$11="geen droogtunnel",IF(OPFOKLEGHEN!$H$15="geen warmtewisselaar",Q132-(K132-R132)))+IF(OPFOKLEGHEN!$H$12&gt;0,IF(OPFOKLEGHEN!$H$13="serie geschakeld met warmtewisselaar",(O132-(K132-S132)),IF(OPFOKLEGHEN!$H$13="parallel geschakeld met warmtewisselaar",IF(OPFOKLEGHEN!$L$9="ja",IF(OPFOKLEGHEN!$J$18="nee",(N132-(K132-Q132)-(K132-S132)),(Q132-(K132-N132/80%)))))),(O132-(K132-S132))))</f>
        <v>52.860772514337803</v>
      </c>
      <c r="Z132" s="130">
        <f t="shared" si="76"/>
        <v>1</v>
      </c>
      <c r="AA132" s="130"/>
      <c r="AB132" s="130"/>
      <c r="AC132" s="167">
        <f>IF(H132=0,0,IF(OPFOKLEGHEN!$H$11="geen droogtunnel",IF(OPFOKLEGHEN!$H$15="geen warmtewisselaar",(P132-(K132-R132)/R$13),K132-(K132-O132)/I$6-(K132-R132)/95%)+IF(OPFOKLEGHEN!$J$18="ja",(K132-O132)*(1-I$6)),IF(OPFOKLEGHEN!$H$12&gt;=0,IF(OPFOKLEGHEN!$L$9="ja",IF(OPFOKLEGHEN!$J$18="ja",IF(OPFOKLEGHEN!$H$20="ja",O132-(K132-S132),IF(OPFOKLEGHEN!$H$20="nee",(O132-(K132-S132)),(O132-(K132-S132)))),IF(OPFOKLEGHEN!$J$18="nee",IF(OPFOKLEGHEN!$H$20="nee",O132*80%-(K132-S132),0+O132-(K132-S132)))),IF(OPFOKLEGHEN!$L$9="nee",IF(OPFOKLEGHEN!$J$18="nee",IF(OPFOKLEGHEN!$H$20="nee",(O132*80%-(K132-S132)),O132*93%-(K132-S132)),IF(OPFOKLEGHEN!$H$20="nee",IF(OPFOKLEGHEN!$J$18="ja",IF(OPFOKLEGHEN!$L$9="nee",O132-(K132-S132))),O132-(K132-S132))))))))</f>
        <v>26.430386257168902</v>
      </c>
      <c r="AD132" s="167" t="e">
        <f>IF(H132=0,0,IF(OPFOKLEGHEN!$H$11="geen droogtunnel",IF(OPFOKLEGHEN!$H$15="geen warmtewisselaar",(Q132-(K132-R132)/S$13),N132-(K132-R132)),IF(OPFOKLEGHEN!$H$12&gt;=0,IF(OPFOKLEGHEN!$L$9="ja",IF(OPFOKLEGHEN!$J$18="ja",IF(OPFOKLEGHEN!$H$20="ja",Q132-(K132-N132)-(K132-S132),IF(OPFOKLEGHEN!$H$20="nee",(Q132-(K132-N132)-(K132-S132)),(O132-(K132-S132)))),IF(OPFOKLEGHEN!$J$18="nee",IF(OPFOKLEGHEN!$H$20="nee",1*Q132*$N$135-(K132-N132)-(K132-S132),(Q132-(K132-N132)-(K132-S132))*N$135))),IF(OPFOKLEGHEN!$L$9="nee",IF(OPFOKLEGHEN!$J$18="nee",IF(OPFOKLEGHEN!$H$20="nee",(N132*95%-(K132-Q132)/I$4-(K132-S132)),N132-(K132-Q132)/I$4-(K132-S132)),IF(OPFOKLEGHEN!$H$20="nee",IF(OPFOKLEGHEN!$J$18="ja",IF(OPFOKLEGHEN!$L$9="nee",N132-(K132-Q132)/I$4-(K132-S132))),N132-(K132-Q132)/I$4-(K132-S132))))))))</f>
        <v>#DIV/0!</v>
      </c>
      <c r="AE132" s="4"/>
      <c r="AF132" s="6"/>
      <c r="AG132" s="6"/>
      <c r="AH132" s="4"/>
      <c r="AI132" s="6"/>
      <c r="AJ132" s="6"/>
      <c r="AK132" s="4"/>
      <c r="AL132" s="6"/>
      <c r="AM132" s="1">
        <v>17</v>
      </c>
      <c r="AN132" s="1">
        <v>117</v>
      </c>
      <c r="AO132" s="13">
        <f t="shared" si="82"/>
        <v>1374.5000000000005</v>
      </c>
      <c r="AP132" s="5">
        <f t="shared" si="83"/>
        <v>1177.9999999999995</v>
      </c>
      <c r="AQ132" s="5">
        <f t="shared" si="62"/>
        <v>1276.25</v>
      </c>
      <c r="AR132" s="100"/>
    </row>
    <row r="133" spans="1:44" ht="13" x14ac:dyDescent="0.3">
      <c r="A133" s="1">
        <v>17</v>
      </c>
      <c r="B133" s="1">
        <v>118</v>
      </c>
      <c r="C133" s="4">
        <f t="shared" si="68"/>
        <v>1.705651217584</v>
      </c>
      <c r="D133" s="7">
        <f t="shared" si="48"/>
        <v>0</v>
      </c>
      <c r="E133" s="7">
        <f>IF(I$3=0,0,IF(OPFOKLEGHEN!$H$13="parallel geschakeld met warmtewisselaar",0,MIN(I$3,C133)))</f>
        <v>0</v>
      </c>
      <c r="F133" s="7">
        <f>IF(I$3=0,0,IF(OPFOKLEGHEN!$H$13="serie geschakeld met warmtewisselaar",0,IF(C133&lt;$I$3,C133-D133,MIN($I$3,C133-D133))))</f>
        <v>0</v>
      </c>
      <c r="G133" s="194">
        <f>IF(C133&lt;$I$7,MAX(0,C133-D133-E133-F133,IF(OPFOKLEGHEN!$H$15="warmtewisselaar",IF(OPFOKLEGHEN!$H$13="serie geschakeld met warmtewisselaar",MIN(I$7,MAX(0,C133-D133-F133)),MIN(I$7,MAX(0,C133-D133-E133-F133))))),IF(OPFOKLEGHEN!$H$13="parallel geschakeld met warmtewisselaar",MIN(I$7,C133-D133-E133-F133,MIN(I$7,C133-E133-F133)),MIN(I$7,MAX(0,C133-D133-F133))))</f>
        <v>0</v>
      </c>
      <c r="H133" s="7">
        <f>IF(OPFOKLEGHEN!$H$13="parallel geschakeld met warmtewisselaar",IF(OPFOKLEGHEN!$L$9="nee",IF(OPFOKLEGHEN!$J$18="ja",C133-F133-G133,C133-D133-F133-G133),IF(OPFOKLEGHEN!$L$9="ja",IF(OPFOKLEGHEN!$J$18="ja",C133-G133,IF(OPFOKLEGHEN!$J$18="nee",C133-D133-G133)))),IF(OPFOKLEGHEN!$H$13="serie geschakeld met warmtewisselaar",IF(OPFOKLEGHEN!$J$18="ja",C133-G133,C133-D133-F133-G133),C133-D133-F133-G133))</f>
        <v>1.705651217584</v>
      </c>
      <c r="I133" s="98">
        <f t="shared" si="49"/>
        <v>1.705651217584</v>
      </c>
      <c r="J133" s="99">
        <v>1.8256642203941094</v>
      </c>
      <c r="K133" s="6">
        <f t="shared" si="59"/>
        <v>27.27817046763327</v>
      </c>
      <c r="L133" s="130">
        <f>SUM(K$16:K133)/$K$137</f>
        <v>0.96704222723580102</v>
      </c>
      <c r="M133" s="6">
        <f t="shared" si="60"/>
        <v>0.36744567524894123</v>
      </c>
      <c r="N133" s="6">
        <f t="shared" si="73"/>
        <v>27.27817046763327</v>
      </c>
      <c r="O133" s="6">
        <f>IF(E133&lt;I$3,P133*(1-I$6*D133/C133),IF(OPFOKLEGHEN!$H$11="droogtunnel (platen) 55%",P133*(1-$I$6)+(C133-D133)/C133*(K133-P133*(1-I$6)),P133*(1-$I$6)+(C133-D133)/C133*(K133-P133*(1-I$6))))</f>
        <v>27.27817046763327</v>
      </c>
      <c r="P133" s="129">
        <f t="shared" si="74"/>
        <v>27.27817046763327</v>
      </c>
      <c r="Q133" s="134">
        <f t="shared" si="75"/>
        <v>27.27817046763327</v>
      </c>
      <c r="R133" s="134">
        <f t="shared" si="61"/>
        <v>27.27817046763327</v>
      </c>
      <c r="S133" s="199">
        <f>IF(G133&lt;0.1,K133,IF(C133=F133,S133/(1-I$4),IF(I$3=0,K133-(G133/C133)*K133*S$13,IF(OPFOKLEGHEN!$H$13="Parallel geschakeld met warmtewisselaar",K133-(K133-(K133-Q133)/I$4)*(G133/(C133-F133))*S$13,IF(OPFOKLEGHEN!$H$20="ja",K133-(K133-(K133-P133)/I$4)*(G133/(C133-MIN(D133,I$5)))*S$13,K133-(K133-(K133-P133)/I$4)*(G133/(C133-MIN(D133,I$5)))*S$13)))))</f>
        <v>27.27817046763327</v>
      </c>
      <c r="T133" s="17">
        <f t="shared" si="77"/>
        <v>27.27817046763327</v>
      </c>
      <c r="U133" s="6">
        <f t="shared" si="50"/>
        <v>0</v>
      </c>
      <c r="V133" s="129">
        <f>IF(OPFOKLEGHEN!$J$18="nee",H133/C133*K133,IF(OPFOKLEGHEN!$H$20="ja",O133-(K133-Q133)-(K133-S133),Q133-(K133-O133)-(K133-S133)))</f>
        <v>27.27817046763327</v>
      </c>
      <c r="W133" s="162">
        <f>IF(H133=0,0,IF(OPFOKLEGHEN!$H$11="geen droogtunnel",IF(OPFOKLEGHEN!$H$15="geen warmtewisselaar",Q133-(K133-R133)))+IF(OPFOKLEGHEN!$H$12&gt;0,IF(OPFOKLEGHEN!$H$13="serie geschakeld met warmtewisselaar",(O133*80%-(K133-S133)),(Q133-(K133-S133)-(K133-T133))),(N133-(K133-S133))))</f>
        <v>54.55634093526654</v>
      </c>
      <c r="X133" s="162">
        <f>IF(H133=0,0,IF(OPFOKLEGHEN!$H$11="geen droogtunnel",IF(OPFOKLEGHEN!$H$15="geen warmtewisselaar",Q133-(K133-R133)))+IF(OPFOKLEGHEN!$H$12&gt;0,IF(OPFOKLEGHEN!$H$13="serie geschakeld met warmtewisselaar",3*(O133*80%-(K133-S133)),(Q133-(K133-S133)-(K133-N133))),(N133-(K133-S133))))</f>
        <v>54.55634093526654</v>
      </c>
      <c r="Y133" s="162">
        <f>IF(H133=0,0,IF(OPFOKLEGHEN!$H$11="geen droogtunnel",IF(OPFOKLEGHEN!$H$15="geen warmtewisselaar",Q133-(K133-R133)))+IF(OPFOKLEGHEN!$H$12&gt;0,IF(OPFOKLEGHEN!$H$13="serie geschakeld met warmtewisselaar",(O133-(K133-S133)),IF(OPFOKLEGHEN!$H$13="parallel geschakeld met warmtewisselaar",IF(OPFOKLEGHEN!$L$9="ja",IF(OPFOKLEGHEN!$J$18="nee",(N133-(K133-Q133)-(K133-S133)),(Q133-(K133-N133/80%)))))),(O133-(K133-S133))))</f>
        <v>54.55634093526654</v>
      </c>
      <c r="Z133" s="130">
        <f t="shared" si="76"/>
        <v>1</v>
      </c>
      <c r="AA133" s="130"/>
      <c r="AB133" s="130"/>
      <c r="AC133" s="167">
        <f>IF(H133=0,0,IF(OPFOKLEGHEN!$H$11="geen droogtunnel",IF(OPFOKLEGHEN!$H$15="geen warmtewisselaar",(P133-(K133-R133)/R$13),K133-(K133-O133)/I$6-(K133-R133)/95%)+IF(OPFOKLEGHEN!$J$18="ja",(K133-O133)*(1-I$6)),IF(OPFOKLEGHEN!$H$12&gt;=0,IF(OPFOKLEGHEN!$L$9="ja",IF(OPFOKLEGHEN!$J$18="ja",IF(OPFOKLEGHEN!$H$20="ja",O133-(K133-S133),IF(OPFOKLEGHEN!$H$20="nee",(O133-(K133-S133)),(O133-(K133-S133)))),IF(OPFOKLEGHEN!$J$18="nee",IF(OPFOKLEGHEN!$H$20="nee",O133*80%-(K133-S133),0+O133-(K133-S133)))),IF(OPFOKLEGHEN!$L$9="nee",IF(OPFOKLEGHEN!$J$18="nee",IF(OPFOKLEGHEN!$H$20="nee",(O133*80%-(K133-S133)),O133*93%-(K133-S133)),IF(OPFOKLEGHEN!$H$20="nee",IF(OPFOKLEGHEN!$J$18="ja",IF(OPFOKLEGHEN!$L$9="nee",O133-(K133-S133))),O133-(K133-S133))))))))</f>
        <v>27.27817046763327</v>
      </c>
      <c r="AD133" s="167" t="e">
        <f>IF(H133=0,0,IF(OPFOKLEGHEN!$H$11="geen droogtunnel",IF(OPFOKLEGHEN!$H$15="geen warmtewisselaar",(Q133-(K133-R133)/S$13),N133-(K133-R133)),IF(OPFOKLEGHEN!$H$12&gt;=0,IF(OPFOKLEGHEN!$L$9="ja",IF(OPFOKLEGHEN!$J$18="ja",IF(OPFOKLEGHEN!$H$20="ja",Q133-(K133-N133)-(K133-S133),IF(OPFOKLEGHEN!$H$20="nee",(Q133-(K133-N133)-(K133-S133)),(O133-(K133-S133)))),IF(OPFOKLEGHEN!$J$18="nee",IF(OPFOKLEGHEN!$H$20="nee",1*Q133*$N$135-(K133-N133)-(K133-S133),(Q133-(K133-N133)-(K133-S133))*N$135))),IF(OPFOKLEGHEN!$L$9="nee",IF(OPFOKLEGHEN!$J$18="nee",IF(OPFOKLEGHEN!$H$20="nee",(N133*95%-(K133-Q133)/I$4-(K133-S133)),N133-(K133-Q133)/I$4-(K133-S133)),IF(OPFOKLEGHEN!$H$20="nee",IF(OPFOKLEGHEN!$J$18="ja",IF(OPFOKLEGHEN!$L$9="nee",N133-(K133-Q133)/I$4-(K133-S133))),N133-(K133-Q133)/I$4-(K133-S133))))))))</f>
        <v>#DIV/0!</v>
      </c>
      <c r="AE133" s="4"/>
      <c r="AF133" s="6"/>
      <c r="AG133" s="6"/>
      <c r="AH133" s="4"/>
      <c r="AI133" s="6"/>
      <c r="AJ133" s="6"/>
      <c r="AK133" s="4"/>
      <c r="AL133" s="6"/>
      <c r="AM133" s="1">
        <v>17</v>
      </c>
      <c r="AN133" s="1">
        <v>118</v>
      </c>
      <c r="AO133" s="13">
        <f t="shared" si="82"/>
        <v>1387.4000000000005</v>
      </c>
      <c r="AP133" s="5">
        <f t="shared" si="83"/>
        <v>1186.5999999999995</v>
      </c>
      <c r="AQ133" s="5">
        <f t="shared" si="62"/>
        <v>1287</v>
      </c>
      <c r="AR133" s="100"/>
    </row>
    <row r="134" spans="1:44" ht="13" x14ac:dyDescent="0.3">
      <c r="A134" s="1">
        <v>17</v>
      </c>
      <c r="B134" s="1">
        <v>119</v>
      </c>
      <c r="C134" s="4">
        <f t="shared" si="68"/>
        <v>1.7277068391474997</v>
      </c>
      <c r="D134" s="7">
        <f>MIN(C134,J$5)</f>
        <v>0</v>
      </c>
      <c r="E134" s="7">
        <f>IF(I$3=0,0,IF(OPFOKLEGHEN!$H$13="parallel geschakeld met warmtewisselaar",0,MIN(I$3,C134)))</f>
        <v>0</v>
      </c>
      <c r="F134" s="7">
        <f>IF(I$3=0,0,IF(OPFOKLEGHEN!$H$13="serie geschakeld met warmtewisselaar",0,IF(C134&lt;$I$3,C134-D134,MIN($I$3,C134-D134))))</f>
        <v>0</v>
      </c>
      <c r="G134" s="194">
        <f>IF(C134&lt;$I$7,MAX(0,C134-D134-E134-F134,IF(OPFOKLEGHEN!$H$15="warmtewisselaar",IF(OPFOKLEGHEN!$H$13="serie geschakeld met warmtewisselaar",MIN(I$7,MAX(0,C134-D134-F134)),MIN(I$7,MAX(0,C134-D134-E134-F134))))),IF(OPFOKLEGHEN!$H$13="parallel geschakeld met warmtewisselaar",MIN(I$7,C134-D134-E134-F134,MIN(I$7,C134-E134-F134)),MIN(I$7,MAX(0,C134-D134-F134))))</f>
        <v>0</v>
      </c>
      <c r="H134" s="7">
        <f>IF(OPFOKLEGHEN!$H$13="parallel geschakeld met warmtewisselaar",IF(OPFOKLEGHEN!$L$9="nee",IF(OPFOKLEGHEN!$J$18="ja",C134-F134-G134,C134-D134-F134-G134),IF(OPFOKLEGHEN!$L$9="ja",IF(OPFOKLEGHEN!$J$18="ja",C134-G134,IF(OPFOKLEGHEN!$J$18="nee",C134-D134-G134)))),IF(OPFOKLEGHEN!$H$13="serie geschakeld met warmtewisselaar",IF(OPFOKLEGHEN!$J$18="ja",C134-G134,C134-D134-F134-G134),C134-D134-F134-G134))</f>
        <v>1.7277068391474997</v>
      </c>
      <c r="I134" s="98">
        <f t="shared" si="49"/>
        <v>1.7277068391474997</v>
      </c>
      <c r="J134" s="99">
        <v>1.8595673947371558</v>
      </c>
      <c r="K134" s="6">
        <f t="shared" si="59"/>
        <v>28.144016798309401</v>
      </c>
      <c r="L134" s="130">
        <f>SUM(K$16:K134)/$K$137</f>
        <v>1</v>
      </c>
      <c r="M134" s="6">
        <f t="shared" si="60"/>
        <v>0.38232168938342681</v>
      </c>
      <c r="N134" s="6">
        <f t="shared" si="73"/>
        <v>28.144016798309401</v>
      </c>
      <c r="O134" s="6">
        <f>IF(E134&lt;I$3,P134*(1-I$6*D134/C134),IF(OPFOKLEGHEN!$H$11="droogtunnel (platen) 55%",P134*(1-$I$6)+(C134-D134)/C134*(K134-P134*(1-I$6)),P134*(1-$I$6)+(C134-D134)/C134*(K134-P134*(1-I$6))))</f>
        <v>28.144016798309401</v>
      </c>
      <c r="P134" s="129">
        <f t="shared" si="74"/>
        <v>28.144016798309401</v>
      </c>
      <c r="Q134" s="134">
        <f t="shared" si="75"/>
        <v>28.144016798309401</v>
      </c>
      <c r="R134" s="134">
        <f t="shared" si="61"/>
        <v>28.144016798309401</v>
      </c>
      <c r="S134" s="199">
        <f>IF(G134&lt;0.1,K134,IF(C134=F134,S134/(1-I$4),IF(I$3=0,K134-(G134/C134)*K134*S$13,IF(OPFOKLEGHEN!$H$13="Parallel geschakeld met warmtewisselaar",K134-(K134-(K134-Q134)/I$4)*(G134/(C134-F134))*S$13,IF(OPFOKLEGHEN!$H$20="ja",K134-(K134-(K134-P134)/I$4)*(G134/(C134-MIN(D134,I$5)))*S$13,K134-(K134-(K134-P134)/I$4)*(G134/(C134-MIN(D134,I$5)))*S$13)))))</f>
        <v>28.144016798309401</v>
      </c>
      <c r="T134" s="17">
        <f t="shared" si="77"/>
        <v>28.144016798309401</v>
      </c>
      <c r="U134" s="6">
        <f t="shared" si="50"/>
        <v>0</v>
      </c>
      <c r="V134" s="129">
        <f>IF(OPFOKLEGHEN!$J$18="nee",H134/C134*K134,IF(OPFOKLEGHEN!$H$20="ja",O134-(K134-Q134)-(K134-S134),Q134-(K134-O134)-(K134-S134)))</f>
        <v>28.144016798309401</v>
      </c>
      <c r="W134" s="162">
        <f>IF(H134=0,0,IF(OPFOKLEGHEN!$H$11="geen droogtunnel",IF(OPFOKLEGHEN!$H$15="geen warmtewisselaar",Q134-(K134-R134)))+IF(OPFOKLEGHEN!$H$12&gt;0,IF(OPFOKLEGHEN!$H$13="serie geschakeld met warmtewisselaar",(O134*80%-(K134-S134)),(Q134-(K134-S134)-(K134-T134))),(N134-(K134-S134))))</f>
        <v>56.288033596618803</v>
      </c>
      <c r="X134" s="162">
        <f>IF(H134=0,0,IF(OPFOKLEGHEN!$H$11="geen droogtunnel",IF(OPFOKLEGHEN!$H$15="geen warmtewisselaar",Q134-(K134-R134)))+IF(OPFOKLEGHEN!$H$12&gt;0,IF(OPFOKLEGHEN!$H$13="serie geschakeld met warmtewisselaar",3*(O134*80%-(K134-S134)),(Q134-(K134-S134)-(K134-N134))),(N134-(K134-S134))))</f>
        <v>56.288033596618803</v>
      </c>
      <c r="Y134" s="162">
        <f>IF(H134=0,0,IF(OPFOKLEGHEN!$H$11="geen droogtunnel",IF(OPFOKLEGHEN!$H$15="geen warmtewisselaar",Q134-(K134-R134)))+IF(OPFOKLEGHEN!$H$12&gt;0,IF(OPFOKLEGHEN!$H$13="serie geschakeld met warmtewisselaar",(O134-(K134-S134)),IF(OPFOKLEGHEN!$H$13="parallel geschakeld met warmtewisselaar",IF(OPFOKLEGHEN!$L$9="ja",IF(OPFOKLEGHEN!$J$18="nee",(N134-(K134-Q134)-(K134-S134)),(Q134-(K134-N134/80%)))))),(O134-(K134-S134))))</f>
        <v>56.288033596618803</v>
      </c>
      <c r="Z134" s="130">
        <f t="shared" si="76"/>
        <v>1</v>
      </c>
      <c r="AA134" s="130"/>
      <c r="AB134" s="130"/>
      <c r="AC134" s="167">
        <f>IF(H134=0,0,IF(OPFOKLEGHEN!$H$11="geen droogtunnel",IF(OPFOKLEGHEN!$H$15="geen warmtewisselaar",(P134-(K134-R134)/R$13),K134-(K134-O134)/I$6-(K134-R134)/95%)+IF(OPFOKLEGHEN!$J$18="ja",(K134-O134)*(1-I$6)),IF(OPFOKLEGHEN!$H$12&gt;=0,IF(OPFOKLEGHEN!$L$9="ja",IF(OPFOKLEGHEN!$J$18="ja",IF(OPFOKLEGHEN!$H$20="ja",O134-(K134-S134),IF(OPFOKLEGHEN!$H$20="nee",(O134-(K134-S134)),(O134-(K134-S134)))),IF(OPFOKLEGHEN!$J$18="nee",IF(OPFOKLEGHEN!$H$20="nee",O134*80%-(K134-S134),0+O134-(K134-S134)))),IF(OPFOKLEGHEN!$L$9="nee",IF(OPFOKLEGHEN!$J$18="nee",IF(OPFOKLEGHEN!$H$20="nee",(O134*80%-(K134-S134)),O134*93%-(K134-S134)),IF(OPFOKLEGHEN!$H$20="nee",IF(OPFOKLEGHEN!$J$18="ja",IF(OPFOKLEGHEN!$L$9="nee",O134-(K134-S134))),O134-(K134-S134))))))))</f>
        <v>28.144016798309401</v>
      </c>
      <c r="AD134" s="167" t="e">
        <f>IF(H134=0,0,IF(OPFOKLEGHEN!$H$11="geen droogtunnel",IF(OPFOKLEGHEN!$H$15="geen warmtewisselaar",(Q134-(K134-R134)/S$13),N134-(K134-R134)),IF(OPFOKLEGHEN!$H$12&gt;=0,IF(OPFOKLEGHEN!$L$9="ja",IF(OPFOKLEGHEN!$J$18="ja",IF(OPFOKLEGHEN!$H$20="ja",Q134-(K134-N134)-(K134-S134),IF(OPFOKLEGHEN!$H$20="nee",(Q134-(K134-N134)-(K134-S134)),(O134-(K134-S134)))),IF(OPFOKLEGHEN!$J$18="nee",IF(OPFOKLEGHEN!$H$20="nee",1*Q134*$N$135-(K134-N134)-(K134-S134),(Q134-(K134-N134)-(K134-S134))*N$135))),IF(OPFOKLEGHEN!$L$9="nee",IF(OPFOKLEGHEN!$J$18="nee",IF(OPFOKLEGHEN!$H$20="nee",(N134*95%-(K134-Q134)/I$4-(K134-S134)),N134-(K134-Q134)/I$4-(K134-S134)),IF(OPFOKLEGHEN!$H$20="nee",IF(OPFOKLEGHEN!$J$18="ja",IF(OPFOKLEGHEN!$L$9="nee",N134-(K134-Q134)/I$4-(K134-S134))),N134-(K134-Q134)/I$4-(K134-S134))))))))</f>
        <v>#DIV/0!</v>
      </c>
      <c r="AE134" s="4"/>
      <c r="AF134" s="6"/>
      <c r="AG134" s="6"/>
      <c r="AH134" s="4"/>
      <c r="AI134" s="6"/>
      <c r="AJ134" s="6"/>
      <c r="AK134" s="4"/>
      <c r="AL134" s="6"/>
      <c r="AM134" s="1">
        <v>17</v>
      </c>
      <c r="AN134" s="1">
        <v>119</v>
      </c>
      <c r="AO134" s="5">
        <v>1400</v>
      </c>
      <c r="AP134" s="5">
        <v>1195</v>
      </c>
      <c r="AQ134" s="5">
        <f t="shared" si="62"/>
        <v>1297.5</v>
      </c>
      <c r="AR134" s="100"/>
    </row>
    <row r="135" spans="1:44" ht="13" x14ac:dyDescent="0.3">
      <c r="A135" s="5"/>
      <c r="B135" s="3"/>
      <c r="C135" s="4"/>
      <c r="D135" s="7"/>
      <c r="E135" s="7"/>
      <c r="F135" s="7"/>
      <c r="G135" s="137"/>
      <c r="H135" s="137"/>
      <c r="I135" s="98"/>
      <c r="J135" s="99"/>
      <c r="K135" s="6"/>
      <c r="L135" s="6"/>
      <c r="M135" s="6"/>
      <c r="N135" s="130">
        <f>MAX(84%,N134/K134)</f>
        <v>1</v>
      </c>
      <c r="O135" s="157"/>
      <c r="P135" s="129"/>
      <c r="Q135" s="134"/>
      <c r="R135" s="134"/>
      <c r="S135" s="134"/>
      <c r="T135" s="6"/>
      <c r="U135" s="6"/>
      <c r="V135" s="6"/>
      <c r="W135" s="6"/>
      <c r="X135" s="6"/>
      <c r="Y135" s="6"/>
      <c r="Z135" s="139"/>
      <c r="AA135" s="139"/>
      <c r="AB135" s="139"/>
      <c r="AC135" s="139"/>
      <c r="AD135" s="139"/>
      <c r="AE135" s="4"/>
      <c r="AF135" s="6"/>
      <c r="AG135" s="6"/>
      <c r="AH135" s="4"/>
      <c r="AI135" s="6"/>
      <c r="AJ135" s="6"/>
      <c r="AK135" s="4"/>
      <c r="AL135" s="6"/>
      <c r="AM135" s="6"/>
      <c r="AO135" s="100"/>
      <c r="AP135" s="100"/>
      <c r="AQ135" s="100"/>
      <c r="AR135" s="100"/>
    </row>
    <row r="136" spans="1:44" x14ac:dyDescent="0.25">
      <c r="D136" s="20" t="s">
        <v>37</v>
      </c>
      <c r="G136" s="4"/>
      <c r="H136" s="98" t="s">
        <v>37</v>
      </c>
      <c r="K136" s="20" t="s">
        <v>37</v>
      </c>
      <c r="L136" s="20"/>
      <c r="N136" s="1">
        <f>N134/K134</f>
        <v>1</v>
      </c>
      <c r="O136" s="1" t="s">
        <v>170</v>
      </c>
      <c r="Q136" s="15"/>
      <c r="R136" s="15"/>
      <c r="S136" s="15"/>
      <c r="U136" s="1"/>
      <c r="V136" s="1"/>
      <c r="W136" s="1"/>
      <c r="X136" s="1"/>
      <c r="Y136" s="1"/>
      <c r="AD136" s="20" t="s">
        <v>37</v>
      </c>
      <c r="AF136" s="1"/>
      <c r="AJ136"/>
      <c r="AL136" s="1"/>
    </row>
    <row r="137" spans="1:44" ht="13" x14ac:dyDescent="0.3">
      <c r="C137" s="10">
        <f t="shared" ref="C137:F137" si="84">SUM(C16:C134)</f>
        <v>94.818695699867362</v>
      </c>
      <c r="D137" s="10"/>
      <c r="E137" s="10"/>
      <c r="F137" s="10">
        <f t="shared" si="84"/>
        <v>0</v>
      </c>
      <c r="G137" s="10"/>
      <c r="H137" s="10"/>
      <c r="I137" s="10"/>
      <c r="J137" s="10">
        <f>SUM(J16:J134)</f>
        <v>90.576443754598273</v>
      </c>
      <c r="K137" s="10">
        <f t="shared" ref="K137:U137" si="85">SUM(K16:K134)</f>
        <v>853.94170897620143</v>
      </c>
      <c r="L137" s="10"/>
      <c r="M137" s="10">
        <f t="shared" si="85"/>
        <v>9.0396046086671955</v>
      </c>
      <c r="N137" s="10">
        <f t="shared" si="85"/>
        <v>853.94170897620143</v>
      </c>
      <c r="O137" s="10">
        <f t="shared" si="85"/>
        <v>853.94170897620143</v>
      </c>
      <c r="P137" s="10">
        <f t="shared" si="85"/>
        <v>853.94170897620143</v>
      </c>
      <c r="Q137" s="10">
        <f t="shared" si="85"/>
        <v>853.94170897620143</v>
      </c>
      <c r="R137" s="10">
        <f t="shared" si="85"/>
        <v>853.94170897620143</v>
      </c>
      <c r="S137" s="10">
        <f t="shared" si="85"/>
        <v>853.94170897620143</v>
      </c>
      <c r="T137" s="10">
        <f t="shared" si="85"/>
        <v>853.69086185883964</v>
      </c>
      <c r="U137" s="10" t="e">
        <f t="shared" si="85"/>
        <v>#DIV/0!</v>
      </c>
      <c r="V137" s="145">
        <f>SUM(V16:V135)</f>
        <v>853.94170897620143</v>
      </c>
      <c r="W137" s="143">
        <f>SUM(W16:W134)</f>
        <v>1707.8834179524029</v>
      </c>
      <c r="X137" s="143">
        <f t="shared" ref="X137:Y137" si="86">SUM(X16:X134)</f>
        <v>1707.8834179524029</v>
      </c>
      <c r="Y137" s="143">
        <f t="shared" si="86"/>
        <v>1707.8834179524029</v>
      </c>
      <c r="Z137" s="10" t="s">
        <v>37</v>
      </c>
      <c r="AA137" s="10"/>
      <c r="AB137" s="10"/>
      <c r="AC137" s="143">
        <f t="shared" ref="AC137:AD137" si="87">SUM(AC16:AC134)</f>
        <v>853.94170897620143</v>
      </c>
      <c r="AD137" s="143" t="e">
        <f t="shared" si="87"/>
        <v>#DIV/0!</v>
      </c>
      <c r="AF137" s="10">
        <f>SUM(AF16:AF71)</f>
        <v>20.580314798992582</v>
      </c>
      <c r="AG137" s="10">
        <f>SUM(AG16:AG71)</f>
        <v>0</v>
      </c>
      <c r="AH137" s="10"/>
      <c r="AI137" s="10">
        <f>SUM(AI16:AI71)</f>
        <v>20.580314798992582</v>
      </c>
      <c r="AJ137" s="10">
        <f>SUM(AJ16:AJ71)</f>
        <v>0</v>
      </c>
      <c r="AK137" s="10"/>
      <c r="AL137" s="10">
        <f>SUM(AL16:AL71)</f>
        <v>0.34629071839757863</v>
      </c>
      <c r="AM137" s="10">
        <f>SUM(AM16:AM71)</f>
        <v>252</v>
      </c>
      <c r="AO137" s="10"/>
      <c r="AP137" s="10">
        <f>SUM(AP16:AP71)</f>
        <v>15417.6</v>
      </c>
      <c r="AQ137" s="10">
        <f>SUM(AQ16:AQ71)</f>
        <v>16351.7</v>
      </c>
      <c r="AR137" s="10" t="e">
        <f>SUM(AR16:AR71)</f>
        <v>#DIV/0!</v>
      </c>
    </row>
    <row r="138" spans="1:44" ht="13" x14ac:dyDescent="0.3">
      <c r="G138" s="1" t="s">
        <v>37</v>
      </c>
      <c r="J138" s="1" t="s">
        <v>37</v>
      </c>
      <c r="M138" s="19">
        <f t="shared" ref="M138:U138" si="88">($K137-M137)/$K137</f>
        <v>0.989414260348631</v>
      </c>
      <c r="N138" s="19">
        <f>ROUND(($K137-N137)/$K137,2)</f>
        <v>0</v>
      </c>
      <c r="O138" s="76">
        <f>ROUND(($K137-O137)/$K137,2)</f>
        <v>0</v>
      </c>
      <c r="P138" s="76">
        <f>ROUND(($K137-P137)/$K137,2)</f>
        <v>0</v>
      </c>
      <c r="Q138" s="114">
        <f>ROUND(($K137-Q137)/$K137,2)</f>
        <v>0</v>
      </c>
      <c r="R138" s="114">
        <f>MIN(98%,($K137-R137)/$K137)</f>
        <v>0</v>
      </c>
      <c r="S138" s="114">
        <f t="shared" si="88"/>
        <v>0</v>
      </c>
      <c r="T138" s="19">
        <f t="shared" si="88"/>
        <v>2.937520380197019E-4</v>
      </c>
      <c r="U138" s="76" t="e">
        <f t="shared" si="88"/>
        <v>#DIV/0!</v>
      </c>
      <c r="V138" s="76">
        <f>V137/K137</f>
        <v>1</v>
      </c>
      <c r="W138" s="76">
        <f>W137/K137</f>
        <v>2</v>
      </c>
      <c r="X138" s="76">
        <f>X137/K137</f>
        <v>2</v>
      </c>
      <c r="Y138" s="76">
        <f>Y137/$K137</f>
        <v>2</v>
      </c>
      <c r="Z138" s="14">
        <f>AVERAGE(Z16:Z134)</f>
        <v>1</v>
      </c>
      <c r="AA138" s="14"/>
      <c r="AB138" s="14"/>
      <c r="AC138" s="76">
        <f>AC137/$K137</f>
        <v>1</v>
      </c>
      <c r="AD138" s="76" t="e">
        <f>AD137/$K137</f>
        <v>#DIV/0!</v>
      </c>
      <c r="AF138" s="19">
        <f>($J137-AF137)/$J137</f>
        <v>0.77278513103526658</v>
      </c>
      <c r="AG138" s="19">
        <f>($K137-AG137)/$K137</f>
        <v>1</v>
      </c>
      <c r="AH138" s="19"/>
      <c r="AI138" s="19">
        <f>($K137-AI137)/$K137</f>
        <v>0.97589962572074562</v>
      </c>
      <c r="AJ138" s="19">
        <f>($K137-AJ137)/$K137</f>
        <v>1</v>
      </c>
      <c r="AK138" s="19"/>
      <c r="AL138" s="19">
        <f>($K137-AL137)/$K137</f>
        <v>0.99959447967612136</v>
      </c>
      <c r="AM138" s="19">
        <f>($K137-AM137)/$K137</f>
        <v>0.70489789015912441</v>
      </c>
      <c r="AO138" s="19"/>
      <c r="AP138" s="19">
        <f>($K137-AP137)/$K137</f>
        <v>-17.054628129693189</v>
      </c>
      <c r="AQ138" s="19">
        <f>($K137-AQ137)/$K137</f>
        <v>-18.148496704305735</v>
      </c>
      <c r="AR138" s="19" t="e">
        <f>($K137-AR137)/$K137</f>
        <v>#DIV/0!</v>
      </c>
    </row>
    <row r="139" spans="1:44" x14ac:dyDescent="0.25">
      <c r="H139" s="20" t="s">
        <v>37</v>
      </c>
      <c r="K139" s="1">
        <v>63</v>
      </c>
      <c r="O139" s="1" t="s">
        <v>37</v>
      </c>
      <c r="Q139" s="140">
        <f>$Q$138</f>
        <v>0</v>
      </c>
    </row>
    <row r="140" spans="1:44" x14ac:dyDescent="0.25">
      <c r="F140" s="1" t="s">
        <v>37</v>
      </c>
      <c r="G140" s="1" t="s">
        <v>37</v>
      </c>
      <c r="M140" s="20" t="s">
        <v>37</v>
      </c>
      <c r="N140" s="20" t="s">
        <v>37</v>
      </c>
      <c r="O140" s="1" t="s">
        <v>37</v>
      </c>
      <c r="P140" s="1" t="s">
        <v>37</v>
      </c>
      <c r="Q140" s="1" t="s">
        <v>37</v>
      </c>
      <c r="R140" s="200" t="s">
        <v>212</v>
      </c>
      <c r="S140" s="1" t="s">
        <v>37</v>
      </c>
      <c r="AQ140" t="s">
        <v>37</v>
      </c>
    </row>
    <row r="141" spans="1:44" x14ac:dyDescent="0.25">
      <c r="O141" s="1" t="s">
        <v>37</v>
      </c>
      <c r="R141" s="201" t="s">
        <v>37</v>
      </c>
      <c r="S141" s="20"/>
      <c r="U141" s="18" t="s">
        <v>37</v>
      </c>
      <c r="AD141" s="20" t="s">
        <v>37</v>
      </c>
    </row>
    <row r="142" spans="1:44" x14ac:dyDescent="0.25">
      <c r="P142" s="1" t="s">
        <v>37</v>
      </c>
    </row>
    <row r="143" spans="1:44" x14ac:dyDescent="0.25">
      <c r="O143" s="1" t="s">
        <v>37</v>
      </c>
    </row>
  </sheetData>
  <sheetProtection algorithmName="SHA-512" hashValue="ZmoKcGUIadH4t27W2DeK/Z4n+ZVLvUKqotzfXEZap8DAa6t78m1ZfI7YN9JH78aZJYmGoFRZ+kzA1q46ns2Jqw==" saltValue="bPHePIGtRyk8Rszk8/AoCA==" spinCount="100000" sheet="1" objects="1" scenarios="1"/>
  <mergeCells count="1">
    <mergeCell ref="AE14:AM14"/>
  </mergeCells>
  <pageMargins left="0.75" right="0.75" top="1" bottom="1" header="0.5" footer="0.5"/>
  <pageSetup paperSize="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3"/>
  <dimension ref="A1:I46"/>
  <sheetViews>
    <sheetView topLeftCell="AY4" zoomScale="85" zoomScaleNormal="85" workbookViewId="0">
      <selection activeCell="D21" sqref="D21"/>
    </sheetView>
  </sheetViews>
  <sheetFormatPr defaultColWidth="8.90625" defaultRowHeight="11.5" x14ac:dyDescent="0.25"/>
  <cols>
    <col min="1" max="1" width="29.6328125" style="56" hidden="1" customWidth="1"/>
    <col min="2" max="2" width="18.6328125" style="56" hidden="1" customWidth="1"/>
    <col min="3" max="3" width="11.6328125" style="56" hidden="1" customWidth="1"/>
    <col min="4" max="4" width="13.08984375" style="56" hidden="1" customWidth="1"/>
    <col min="5" max="5" width="12" style="56" hidden="1" customWidth="1"/>
    <col min="6" max="6" width="13.36328125" style="56" hidden="1" customWidth="1"/>
    <col min="7" max="7" width="12.08984375" style="56" hidden="1" customWidth="1"/>
    <col min="8" max="8" width="12.36328125" style="56" hidden="1" customWidth="1"/>
    <col min="9" max="9" width="12.90625" style="56" hidden="1" customWidth="1"/>
    <col min="10" max="50" width="0" style="56" hidden="1" customWidth="1"/>
    <col min="51" max="16384" width="8.90625" style="56"/>
  </cols>
  <sheetData>
    <row r="1" spans="1:4" x14ac:dyDescent="0.25">
      <c r="A1" s="55" t="s">
        <v>90</v>
      </c>
    </row>
    <row r="3" spans="1:4" x14ac:dyDescent="0.25">
      <c r="B3" s="57" t="s">
        <v>91</v>
      </c>
    </row>
    <row r="5" spans="1:4" x14ac:dyDescent="0.25">
      <c r="A5" s="58" t="s">
        <v>92</v>
      </c>
    </row>
    <row r="6" spans="1:4" x14ac:dyDescent="0.25">
      <c r="A6" s="56" t="s">
        <v>93</v>
      </c>
      <c r="B6" s="56">
        <f>IF(OPFOKLEGHEN!$L$25="luchtconditioneringsunit",1.73,1.73)</f>
        <v>1.73</v>
      </c>
    </row>
    <row r="7" spans="1:4" x14ac:dyDescent="0.25">
      <c r="A7" s="56" t="s">
        <v>94</v>
      </c>
      <c r="B7" s="56" t="e">
        <f>IF(#REF!="luchtconditioneringsunit",8.01/2,8.01)</f>
        <v>#REF!</v>
      </c>
      <c r="C7" s="56" t="e">
        <f>#REF!</f>
        <v>#REF!</v>
      </c>
    </row>
    <row r="8" spans="1:4" x14ac:dyDescent="0.25">
      <c r="A8" s="56" t="s">
        <v>95</v>
      </c>
      <c r="B8" s="56">
        <v>4.8600000000000003</v>
      </c>
    </row>
    <row r="9" spans="1:4" x14ac:dyDescent="0.25">
      <c r="A9" s="56" t="s">
        <v>96</v>
      </c>
      <c r="B9" s="56">
        <v>15</v>
      </c>
    </row>
    <row r="10" spans="1:4" x14ac:dyDescent="0.25">
      <c r="A10" s="56" t="s">
        <v>97</v>
      </c>
      <c r="B10" s="56">
        <v>6.1761991606700253</v>
      </c>
    </row>
    <row r="11" spans="1:4" x14ac:dyDescent="0.25">
      <c r="A11" s="56" t="s">
        <v>98</v>
      </c>
      <c r="B11" s="56">
        <v>12.35</v>
      </c>
    </row>
    <row r="12" spans="1:4" x14ac:dyDescent="0.25">
      <c r="A12" s="56" t="s">
        <v>99</v>
      </c>
      <c r="B12" s="56">
        <v>24.84</v>
      </c>
    </row>
    <row r="13" spans="1:4" x14ac:dyDescent="0.25">
      <c r="A13" s="56" t="s">
        <v>100</v>
      </c>
      <c r="B13" s="56">
        <v>12.56</v>
      </c>
    </row>
    <row r="16" spans="1:4" x14ac:dyDescent="0.25">
      <c r="A16" s="58" t="s">
        <v>101</v>
      </c>
      <c r="C16" s="59" t="s">
        <v>102</v>
      </c>
      <c r="D16" s="59" t="s">
        <v>103</v>
      </c>
    </row>
    <row r="17" spans="1:9" x14ac:dyDescent="0.25">
      <c r="A17" s="56" t="s">
        <v>93</v>
      </c>
      <c r="B17" s="56" t="s">
        <v>104</v>
      </c>
      <c r="C17" s="60">
        <v>0.81</v>
      </c>
      <c r="D17" s="61">
        <v>0.85</v>
      </c>
      <c r="E17" s="56" t="s">
        <v>105</v>
      </c>
    </row>
    <row r="18" spans="1:9" x14ac:dyDescent="0.25">
      <c r="B18" s="56" t="s">
        <v>106</v>
      </c>
      <c r="C18" s="60">
        <v>0.84499999999999997</v>
      </c>
      <c r="D18" s="61">
        <v>0.85</v>
      </c>
    </row>
    <row r="19" spans="1:9" x14ac:dyDescent="0.25">
      <c r="A19" s="56" t="s">
        <v>94</v>
      </c>
      <c r="B19" s="56" t="s">
        <v>104</v>
      </c>
      <c r="C19" s="60">
        <v>1.835</v>
      </c>
      <c r="D19" s="62">
        <v>2</v>
      </c>
    </row>
    <row r="20" spans="1:9" x14ac:dyDescent="0.25">
      <c r="B20" s="56" t="s">
        <v>106</v>
      </c>
      <c r="C20" s="60">
        <v>1.899</v>
      </c>
      <c r="D20" s="62">
        <v>2</v>
      </c>
    </row>
    <row r="23" spans="1:9" x14ac:dyDescent="0.25">
      <c r="A23" s="58" t="s">
        <v>107</v>
      </c>
    </row>
    <row r="24" spans="1:9" x14ac:dyDescent="0.25">
      <c r="A24" s="57" t="s">
        <v>108</v>
      </c>
    </row>
    <row r="25" spans="1:9" x14ac:dyDescent="0.25">
      <c r="A25" s="63" t="s">
        <v>109</v>
      </c>
      <c r="B25" s="64">
        <v>0.13</v>
      </c>
      <c r="C25" s="63"/>
      <c r="D25" s="64">
        <v>0.31</v>
      </c>
      <c r="E25" s="63"/>
      <c r="F25" s="64">
        <v>0.37</v>
      </c>
      <c r="G25" s="63"/>
      <c r="H25" s="64">
        <v>0.5</v>
      </c>
      <c r="I25" s="63"/>
    </row>
    <row r="26" spans="1:9" x14ac:dyDescent="0.25">
      <c r="B26" s="59" t="s">
        <v>102</v>
      </c>
      <c r="C26" s="59" t="s">
        <v>103</v>
      </c>
      <c r="D26" s="59" t="s">
        <v>102</v>
      </c>
      <c r="E26" s="59" t="s">
        <v>103</v>
      </c>
      <c r="F26" s="59" t="s">
        <v>102</v>
      </c>
      <c r="G26" s="59" t="s">
        <v>103</v>
      </c>
      <c r="H26" s="59" t="s">
        <v>102</v>
      </c>
      <c r="I26" s="59" t="s">
        <v>103</v>
      </c>
    </row>
    <row r="27" spans="1:9" x14ac:dyDescent="0.25">
      <c r="A27" s="56" t="s">
        <v>93</v>
      </c>
      <c r="B27" s="56">
        <v>0.17499999999999999</v>
      </c>
      <c r="C27" s="56">
        <v>0.2</v>
      </c>
      <c r="D27" s="56">
        <v>0.434</v>
      </c>
      <c r="E27" s="65">
        <v>0.4</v>
      </c>
      <c r="F27" s="56">
        <v>0.52700000000000002</v>
      </c>
      <c r="G27" s="56">
        <v>0.55000000000000004</v>
      </c>
      <c r="H27" s="56">
        <v>0.745</v>
      </c>
      <c r="I27" s="56">
        <v>0.8</v>
      </c>
    </row>
    <row r="28" spans="1:9" x14ac:dyDescent="0.25">
      <c r="A28" s="56" t="s">
        <v>94</v>
      </c>
      <c r="B28" s="56">
        <v>0.439</v>
      </c>
      <c r="C28" s="56">
        <v>0.4</v>
      </c>
      <c r="D28" s="56">
        <v>1.048</v>
      </c>
      <c r="E28" s="65">
        <v>1</v>
      </c>
      <c r="F28" s="56">
        <v>1.252</v>
      </c>
      <c r="G28" s="56">
        <v>1.25</v>
      </c>
      <c r="H28" s="56">
        <v>1.708</v>
      </c>
      <c r="I28" s="56">
        <v>1.8</v>
      </c>
    </row>
    <row r="29" spans="1:9" x14ac:dyDescent="0.25">
      <c r="A29" s="56" t="s">
        <v>95</v>
      </c>
      <c r="B29" s="56">
        <v>0.42</v>
      </c>
      <c r="C29" s="56">
        <v>0.4</v>
      </c>
      <c r="D29" s="56">
        <v>1.0469999999999999</v>
      </c>
      <c r="E29" s="65">
        <v>1</v>
      </c>
      <c r="F29" s="56">
        <v>1.2789999999999999</v>
      </c>
      <c r="G29" s="56">
        <v>1.3</v>
      </c>
      <c r="H29" s="56">
        <v>1.84</v>
      </c>
      <c r="I29" s="56">
        <v>1.9</v>
      </c>
    </row>
    <row r="30" spans="1:9" x14ac:dyDescent="0.25">
      <c r="A30" s="56" t="s">
        <v>96</v>
      </c>
      <c r="B30" s="56">
        <v>0.59499999999999997</v>
      </c>
      <c r="C30" s="56">
        <v>0.6</v>
      </c>
      <c r="D30" s="56">
        <v>1.4850000000000001</v>
      </c>
      <c r="E30" s="65">
        <v>1.5</v>
      </c>
      <c r="F30" s="56">
        <v>1.845</v>
      </c>
      <c r="G30" s="56">
        <v>1.85</v>
      </c>
      <c r="H30" s="56">
        <v>2.8450000000000002</v>
      </c>
      <c r="I30" s="56">
        <v>2.9</v>
      </c>
    </row>
    <row r="31" spans="1:9" x14ac:dyDescent="0.25">
      <c r="A31" s="56" t="s">
        <v>97</v>
      </c>
      <c r="B31" s="56">
        <v>0.35699999999999998</v>
      </c>
      <c r="C31" s="56">
        <v>0.35</v>
      </c>
      <c r="D31" s="56">
        <v>1.0009999999999999</v>
      </c>
      <c r="E31" s="65">
        <v>1</v>
      </c>
      <c r="F31" s="56">
        <v>1.27</v>
      </c>
      <c r="G31" s="56">
        <v>1.3</v>
      </c>
      <c r="H31" s="56">
        <v>1.9750000000000001</v>
      </c>
      <c r="I31" s="65">
        <v>2</v>
      </c>
    </row>
    <row r="32" spans="1:9" x14ac:dyDescent="0.25">
      <c r="A32" s="56" t="s">
        <v>98</v>
      </c>
      <c r="B32" s="56">
        <v>1.2450000000000001</v>
      </c>
      <c r="C32" s="56">
        <v>1.1000000000000001</v>
      </c>
      <c r="D32" s="56">
        <v>3.17</v>
      </c>
      <c r="E32" s="65">
        <v>3</v>
      </c>
      <c r="F32" s="56">
        <v>3.86</v>
      </c>
      <c r="G32" s="56">
        <v>3.85</v>
      </c>
      <c r="H32" s="56">
        <v>5.5</v>
      </c>
      <c r="I32" s="56">
        <v>5.6</v>
      </c>
    </row>
    <row r="33" spans="1:9" x14ac:dyDescent="0.25">
      <c r="A33" s="56" t="s">
        <v>99</v>
      </c>
      <c r="B33" s="56">
        <v>2.6949999999999998</v>
      </c>
      <c r="C33" s="56">
        <v>2.5</v>
      </c>
      <c r="D33" s="56">
        <v>6.75</v>
      </c>
      <c r="E33" s="65">
        <v>6.2</v>
      </c>
      <c r="F33" s="56">
        <v>8.1750000000000007</v>
      </c>
      <c r="G33" s="56">
        <v>8.1999999999999993</v>
      </c>
      <c r="H33" s="56">
        <v>11.5</v>
      </c>
      <c r="I33" s="56">
        <v>11.7</v>
      </c>
    </row>
    <row r="34" spans="1:9" x14ac:dyDescent="0.25">
      <c r="A34" s="56" t="s">
        <v>100</v>
      </c>
      <c r="B34" s="56">
        <v>0.88</v>
      </c>
      <c r="C34" s="56">
        <v>0.8</v>
      </c>
      <c r="D34" s="56">
        <v>2.4849999999999999</v>
      </c>
      <c r="E34" s="65">
        <v>2.2999999999999998</v>
      </c>
      <c r="F34" s="56">
        <v>3.12</v>
      </c>
      <c r="G34" s="56">
        <v>3.15</v>
      </c>
      <c r="H34" s="56">
        <v>4.7300000000000004</v>
      </c>
      <c r="I34" s="56">
        <v>4.8</v>
      </c>
    </row>
    <row r="36" spans="1:9" x14ac:dyDescent="0.25">
      <c r="A36" s="57" t="s">
        <v>110</v>
      </c>
    </row>
    <row r="37" spans="1:9" x14ac:dyDescent="0.25">
      <c r="A37" s="63" t="s">
        <v>109</v>
      </c>
      <c r="B37" s="64">
        <v>0.13</v>
      </c>
      <c r="C37" s="63"/>
      <c r="D37" s="64">
        <v>0.31</v>
      </c>
      <c r="E37" s="63"/>
      <c r="F37" s="64">
        <v>0.37</v>
      </c>
      <c r="G37" s="63"/>
      <c r="H37" s="64">
        <v>0.5</v>
      </c>
      <c r="I37" s="63"/>
    </row>
    <row r="38" spans="1:9" x14ac:dyDescent="0.25">
      <c r="B38" s="59" t="s">
        <v>102</v>
      </c>
      <c r="C38" s="59" t="s">
        <v>103</v>
      </c>
      <c r="D38" s="59" t="s">
        <v>102</v>
      </c>
      <c r="E38" s="59" t="s">
        <v>103</v>
      </c>
      <c r="F38" s="59" t="s">
        <v>102</v>
      </c>
      <c r="G38" s="59" t="s">
        <v>103</v>
      </c>
      <c r="H38" s="59" t="s">
        <v>102</v>
      </c>
      <c r="I38" s="59" t="s">
        <v>103</v>
      </c>
    </row>
    <row r="39" spans="1:9" x14ac:dyDescent="0.25">
      <c r="A39" s="56" t="s">
        <v>93</v>
      </c>
      <c r="B39" s="56">
        <v>0.14099999999999999</v>
      </c>
      <c r="C39" s="56">
        <v>0.15</v>
      </c>
      <c r="D39" s="56">
        <v>0.34599999999999997</v>
      </c>
      <c r="E39" s="62">
        <v>0.35</v>
      </c>
      <c r="F39" s="56">
        <v>0.41799999999999998</v>
      </c>
      <c r="G39" s="56">
        <v>0.4</v>
      </c>
      <c r="H39" s="56">
        <v>0.58099999999999996</v>
      </c>
      <c r="I39" s="56">
        <v>0.6</v>
      </c>
    </row>
    <row r="40" spans="1:9" x14ac:dyDescent="0.25">
      <c r="A40" s="56" t="s">
        <v>94</v>
      </c>
      <c r="B40" s="56">
        <v>0.35499999999999998</v>
      </c>
      <c r="C40" s="56">
        <v>0.35</v>
      </c>
      <c r="D40" s="56">
        <v>0.84699999999999998</v>
      </c>
      <c r="E40" s="65">
        <v>0.85</v>
      </c>
      <c r="F40" s="56">
        <v>1.012</v>
      </c>
      <c r="G40" s="65">
        <v>1</v>
      </c>
      <c r="H40" s="56">
        <v>1.369</v>
      </c>
      <c r="I40" s="56">
        <v>1.4</v>
      </c>
    </row>
    <row r="41" spans="1:9" x14ac:dyDescent="0.25">
      <c r="A41" s="56" t="s">
        <v>95</v>
      </c>
      <c r="B41" s="56">
        <v>0.33700000000000002</v>
      </c>
      <c r="C41" s="56">
        <v>0.35</v>
      </c>
      <c r="D41" s="56">
        <v>0.83099999999999996</v>
      </c>
      <c r="E41" s="65">
        <v>0.85</v>
      </c>
      <c r="F41" s="56">
        <v>1.008</v>
      </c>
      <c r="G41" s="56">
        <v>1.1000000000000001</v>
      </c>
      <c r="H41" s="56">
        <v>1.417</v>
      </c>
      <c r="I41" s="56">
        <v>1.45</v>
      </c>
    </row>
    <row r="42" spans="1:9" x14ac:dyDescent="0.25">
      <c r="A42" s="56" t="s">
        <v>96</v>
      </c>
      <c r="B42" s="56">
        <v>0.48</v>
      </c>
      <c r="C42" s="56">
        <v>0.5</v>
      </c>
      <c r="D42" s="56">
        <v>1.161</v>
      </c>
      <c r="E42" s="65">
        <v>1.2</v>
      </c>
      <c r="F42" s="56">
        <v>1.4219999999999999</v>
      </c>
      <c r="G42" s="56">
        <v>1.5</v>
      </c>
      <c r="H42" s="56">
        <v>2.0750000000000002</v>
      </c>
      <c r="I42" s="56">
        <v>2.1</v>
      </c>
    </row>
    <row r="43" spans="1:9" x14ac:dyDescent="0.25">
      <c r="A43" s="56" t="s">
        <v>97</v>
      </c>
      <c r="B43" s="56">
        <v>0.28499999999999998</v>
      </c>
      <c r="C43" s="56">
        <v>0.3</v>
      </c>
      <c r="D43" s="56">
        <v>0.76500000000000001</v>
      </c>
      <c r="E43" s="65">
        <v>0.75</v>
      </c>
      <c r="F43" s="56">
        <v>0.95799999999999996</v>
      </c>
      <c r="G43" s="65">
        <v>1</v>
      </c>
      <c r="H43" s="56">
        <v>1.4350000000000001</v>
      </c>
      <c r="I43" s="56">
        <v>1.45</v>
      </c>
    </row>
    <row r="44" spans="1:9" x14ac:dyDescent="0.25">
      <c r="A44" s="56" t="s">
        <v>98</v>
      </c>
      <c r="B44" s="56">
        <v>0.999</v>
      </c>
      <c r="C44" s="56">
        <v>0.9</v>
      </c>
      <c r="D44" s="56">
        <v>2.5099999999999998</v>
      </c>
      <c r="E44" s="65">
        <v>2.5</v>
      </c>
      <c r="F44" s="56">
        <v>3.0449999999999999</v>
      </c>
      <c r="G44" s="65">
        <v>3</v>
      </c>
      <c r="H44" s="56">
        <v>4.2699999999999996</v>
      </c>
      <c r="I44" s="56">
        <v>4.3</v>
      </c>
    </row>
    <row r="45" spans="1:9" x14ac:dyDescent="0.25">
      <c r="A45" s="56" t="s">
        <v>99</v>
      </c>
      <c r="B45" s="56">
        <v>2.165</v>
      </c>
      <c r="C45" s="56">
        <v>2.2000000000000002</v>
      </c>
      <c r="D45" s="56">
        <v>5.3579999999999997</v>
      </c>
      <c r="E45" s="65">
        <v>5.3</v>
      </c>
      <c r="F45" s="56">
        <v>6.4749999999999996</v>
      </c>
      <c r="G45" s="56">
        <v>6.2</v>
      </c>
      <c r="H45" s="56">
        <v>9.01</v>
      </c>
      <c r="I45" s="65">
        <v>9</v>
      </c>
    </row>
    <row r="46" spans="1:9" x14ac:dyDescent="0.25">
      <c r="A46" s="56" t="s">
        <v>100</v>
      </c>
      <c r="B46" s="56">
        <v>0.69199999999999995</v>
      </c>
      <c r="C46" s="56">
        <v>0.7</v>
      </c>
      <c r="D46" s="56">
        <v>1.91</v>
      </c>
      <c r="E46" s="65">
        <v>1.9</v>
      </c>
      <c r="F46" s="56">
        <v>2.375</v>
      </c>
      <c r="G46" s="56">
        <v>2.2999999999999998</v>
      </c>
      <c r="H46" s="56">
        <v>3.51</v>
      </c>
      <c r="I46" s="65">
        <v>3.6</v>
      </c>
    </row>
  </sheetData>
  <sheetProtection algorithmName="SHA-512" hashValue="MEQCzN6VUtTTV+B/WqNS0vzguIB9if90M3IPeIDXGWAUfjrQ/6kpwJrVW1dFq47bbI+uOHYinPI5Hmx4aqgTAA==" saltValue="hASpB50tuwW464S2Fw7UeQ==" spinCount="100000" sheet="1" objects="1" scenarios="1"/>
  <pageMargins left="0.7" right="0.7" top="0.75" bottom="0.75" header="0.3" footer="0.3"/>
  <pageSetup paperSize="9" scale="9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Blad5"/>
  <dimension ref="A1:AC58"/>
  <sheetViews>
    <sheetView topLeftCell="AY16" workbookViewId="0">
      <selection activeCell="D21" sqref="D21"/>
    </sheetView>
  </sheetViews>
  <sheetFormatPr defaultColWidth="12.453125" defaultRowHeight="15.5" x14ac:dyDescent="0.35"/>
  <cols>
    <col min="1" max="2" width="7.6328125" style="34" hidden="1" customWidth="1"/>
    <col min="3" max="3" width="7.6328125" style="36" hidden="1" customWidth="1"/>
    <col min="4" max="4" width="7.6328125" style="35" hidden="1" customWidth="1"/>
    <col min="5" max="7" width="7.6328125" style="34" hidden="1" customWidth="1"/>
    <col min="8" max="19" width="8" style="34" hidden="1" customWidth="1"/>
    <col min="20" max="27" width="6.90625" style="34" hidden="1" customWidth="1"/>
    <col min="28" max="50" width="0" style="34" hidden="1" customWidth="1"/>
    <col min="51" max="16384" width="12.453125" style="34"/>
  </cols>
  <sheetData>
    <row r="1" spans="1:29" ht="62" x14ac:dyDescent="0.35">
      <c r="B1" s="38" t="s">
        <v>48</v>
      </c>
      <c r="E1" s="34" t="s">
        <v>38</v>
      </c>
      <c r="F1" s="34" t="s">
        <v>39</v>
      </c>
      <c r="G1" s="34" t="s">
        <v>40</v>
      </c>
      <c r="H1" s="34" t="s">
        <v>41</v>
      </c>
      <c r="I1" s="34" t="s">
        <v>42</v>
      </c>
      <c r="J1" s="34" t="s">
        <v>49</v>
      </c>
      <c r="K1" s="34" t="s">
        <v>43</v>
      </c>
      <c r="L1" s="34" t="s">
        <v>44</v>
      </c>
      <c r="M1" s="34" t="s">
        <v>45</v>
      </c>
      <c r="N1" s="34" t="s">
        <v>46</v>
      </c>
      <c r="O1" s="34" t="s">
        <v>50</v>
      </c>
      <c r="P1" s="34" t="s">
        <v>47</v>
      </c>
      <c r="Q1" s="34" t="s">
        <v>51</v>
      </c>
      <c r="R1" s="34" t="s">
        <v>52</v>
      </c>
      <c r="S1" s="34" t="s">
        <v>53</v>
      </c>
      <c r="T1" s="34" t="s">
        <v>54</v>
      </c>
      <c r="U1" s="34" t="s">
        <v>55</v>
      </c>
      <c r="V1" s="34" t="s">
        <v>56</v>
      </c>
      <c r="W1" s="34" t="s">
        <v>57</v>
      </c>
      <c r="X1" s="34" t="s">
        <v>58</v>
      </c>
      <c r="Y1" s="34" t="s">
        <v>59</v>
      </c>
      <c r="Z1" s="34" t="s">
        <v>60</v>
      </c>
      <c r="AA1" s="34" t="s">
        <v>61</v>
      </c>
      <c r="AB1" s="34" t="s">
        <v>62</v>
      </c>
      <c r="AC1" s="34" t="s">
        <v>63</v>
      </c>
    </row>
    <row r="2" spans="1:29" s="35" customFormat="1" x14ac:dyDescent="0.35">
      <c r="C2" s="39"/>
      <c r="E2" s="40">
        <f>+D3</f>
        <v>0.65</v>
      </c>
      <c r="F2" s="40">
        <f>+D4</f>
        <v>0.4</v>
      </c>
      <c r="G2" s="40">
        <f>+D5</f>
        <v>0.25</v>
      </c>
      <c r="H2" s="40">
        <f>+D6</f>
        <v>0.19999999999999996</v>
      </c>
      <c r="I2" s="40">
        <f>+D8</f>
        <v>0.44999999999999996</v>
      </c>
      <c r="J2" s="40">
        <f>+D9</f>
        <v>0.7</v>
      </c>
      <c r="K2" s="40">
        <f>+D10</f>
        <v>0.45999999999999996</v>
      </c>
      <c r="L2" s="40">
        <f>+D11</f>
        <v>0.51</v>
      </c>
      <c r="M2" s="40">
        <f>+D12</f>
        <v>0.66999999999999993</v>
      </c>
      <c r="N2" s="40">
        <f>+D13</f>
        <v>0.6</v>
      </c>
      <c r="O2" s="40">
        <f>+D14</f>
        <v>0.43000000000000005</v>
      </c>
      <c r="P2" s="40">
        <f>+D15</f>
        <v>0.69</v>
      </c>
      <c r="Q2" s="40">
        <f>+D16</f>
        <v>0.69</v>
      </c>
      <c r="R2" s="40">
        <f>+D17</f>
        <v>0.87</v>
      </c>
      <c r="S2" s="40">
        <f>+D18</f>
        <v>0.87</v>
      </c>
      <c r="T2" s="40">
        <f>+D19</f>
        <v>0.85</v>
      </c>
      <c r="U2" s="40">
        <f>+D20</f>
        <v>0.7</v>
      </c>
      <c r="V2" s="40">
        <f>+D21</f>
        <v>0.8</v>
      </c>
      <c r="W2" s="40">
        <f>+D22</f>
        <v>0.63</v>
      </c>
      <c r="X2" s="40">
        <f>+D23</f>
        <v>0.63</v>
      </c>
      <c r="Y2" s="40">
        <f>+D24</f>
        <v>0.5</v>
      </c>
      <c r="Z2" s="40">
        <f>+D25</f>
        <v>0.5</v>
      </c>
    </row>
    <row r="3" spans="1:29" x14ac:dyDescent="0.35">
      <c r="A3" s="34" t="s">
        <v>38</v>
      </c>
      <c r="B3" s="34" t="s">
        <v>80</v>
      </c>
      <c r="C3" s="36">
        <v>0.35</v>
      </c>
      <c r="D3" s="40">
        <f>+(1-C3)</f>
        <v>0.65</v>
      </c>
      <c r="E3" s="41">
        <f>1-($D$3*E2)</f>
        <v>0.5774999999999999</v>
      </c>
      <c r="F3" s="42">
        <f t="shared" ref="F3:Z3" si="0">1-($D$3*F2)</f>
        <v>0.74</v>
      </c>
      <c r="G3" s="42">
        <f t="shared" si="0"/>
        <v>0.83750000000000002</v>
      </c>
      <c r="H3" s="42">
        <f t="shared" si="0"/>
        <v>0.87</v>
      </c>
      <c r="I3" s="43">
        <f t="shared" si="0"/>
        <v>0.70750000000000002</v>
      </c>
      <c r="J3" s="43">
        <f t="shared" si="0"/>
        <v>0.54500000000000004</v>
      </c>
      <c r="K3" s="42">
        <f t="shared" si="0"/>
        <v>0.70100000000000007</v>
      </c>
      <c r="L3" s="36">
        <f t="shared" si="0"/>
        <v>0.66849999999999998</v>
      </c>
      <c r="M3" s="42">
        <f t="shared" si="0"/>
        <v>0.5645</v>
      </c>
      <c r="N3" s="36">
        <f t="shared" si="0"/>
        <v>0.61</v>
      </c>
      <c r="O3" s="36">
        <f t="shared" si="0"/>
        <v>0.72049999999999992</v>
      </c>
      <c r="P3" s="36">
        <f t="shared" si="0"/>
        <v>0.5515000000000001</v>
      </c>
      <c r="Q3" s="44">
        <f t="shared" si="0"/>
        <v>0.5515000000000001</v>
      </c>
      <c r="R3" s="36">
        <f t="shared" si="0"/>
        <v>0.4345</v>
      </c>
      <c r="S3" s="36">
        <f t="shared" si="0"/>
        <v>0.4345</v>
      </c>
      <c r="T3" s="42">
        <f t="shared" si="0"/>
        <v>0.44750000000000001</v>
      </c>
      <c r="U3" s="36">
        <f t="shared" si="0"/>
        <v>0.54500000000000004</v>
      </c>
      <c r="V3" s="36">
        <f t="shared" si="0"/>
        <v>0.48</v>
      </c>
      <c r="W3" s="36">
        <f t="shared" si="0"/>
        <v>0.59050000000000002</v>
      </c>
      <c r="X3" s="36">
        <f t="shared" si="0"/>
        <v>0.59050000000000002</v>
      </c>
      <c r="Y3" s="44">
        <f t="shared" si="0"/>
        <v>0.67500000000000004</v>
      </c>
      <c r="Z3" s="44">
        <f t="shared" si="0"/>
        <v>0.67500000000000004</v>
      </c>
    </row>
    <row r="4" spans="1:29" x14ac:dyDescent="0.35">
      <c r="A4" s="34" t="s">
        <v>39</v>
      </c>
      <c r="B4" s="34" t="s">
        <v>64</v>
      </c>
      <c r="C4" s="36">
        <v>0.6</v>
      </c>
      <c r="D4" s="40">
        <f t="shared" ref="D4:D25" si="1">+(1-C4)</f>
        <v>0.4</v>
      </c>
      <c r="E4" s="42">
        <f>1-+$D$4*E2</f>
        <v>0.74</v>
      </c>
      <c r="F4" s="41">
        <f t="shared" ref="F4:Z4" si="2">1-+$D$4*F2</f>
        <v>0.84</v>
      </c>
      <c r="G4" s="42">
        <f t="shared" si="2"/>
        <v>0.9</v>
      </c>
      <c r="H4" s="42">
        <f t="shared" si="2"/>
        <v>0.92</v>
      </c>
      <c r="I4" s="42">
        <f t="shared" si="2"/>
        <v>0.82000000000000006</v>
      </c>
      <c r="J4" s="42">
        <f t="shared" si="2"/>
        <v>0.72</v>
      </c>
      <c r="K4" s="42">
        <f t="shared" si="2"/>
        <v>0.81600000000000006</v>
      </c>
      <c r="L4" s="36">
        <f t="shared" si="2"/>
        <v>0.79600000000000004</v>
      </c>
      <c r="M4" s="42">
        <f t="shared" si="2"/>
        <v>0.73199999999999998</v>
      </c>
      <c r="N4" s="36">
        <f t="shared" si="2"/>
        <v>0.76</v>
      </c>
      <c r="O4" s="36">
        <f t="shared" si="2"/>
        <v>0.82799999999999996</v>
      </c>
      <c r="P4" s="42">
        <f t="shared" si="2"/>
        <v>0.72399999999999998</v>
      </c>
      <c r="Q4" s="42">
        <f t="shared" si="2"/>
        <v>0.72399999999999998</v>
      </c>
      <c r="R4" s="42">
        <f t="shared" si="2"/>
        <v>0.65199999999999991</v>
      </c>
      <c r="S4" s="42">
        <f t="shared" si="2"/>
        <v>0.65199999999999991</v>
      </c>
      <c r="T4" s="42">
        <f t="shared" si="2"/>
        <v>0.65999999999999992</v>
      </c>
      <c r="U4" s="36">
        <f t="shared" si="2"/>
        <v>0.72</v>
      </c>
      <c r="V4" s="36">
        <f t="shared" si="2"/>
        <v>0.67999999999999994</v>
      </c>
      <c r="W4" s="42">
        <f t="shared" si="2"/>
        <v>0.748</v>
      </c>
      <c r="X4" s="42">
        <f t="shared" si="2"/>
        <v>0.748</v>
      </c>
      <c r="Y4" s="42">
        <f t="shared" si="2"/>
        <v>0.8</v>
      </c>
      <c r="Z4" s="42">
        <f t="shared" si="2"/>
        <v>0.8</v>
      </c>
    </row>
    <row r="5" spans="1:29" x14ac:dyDescent="0.35">
      <c r="A5" s="34" t="s">
        <v>40</v>
      </c>
      <c r="B5" s="34" t="s">
        <v>65</v>
      </c>
      <c r="C5" s="36">
        <v>0.75</v>
      </c>
      <c r="D5" s="40">
        <f t="shared" si="1"/>
        <v>0.25</v>
      </c>
      <c r="E5" s="42">
        <f>1-+$D$5*E2</f>
        <v>0.83750000000000002</v>
      </c>
      <c r="F5" s="42">
        <f t="shared" ref="F5:Z5" si="3">1-+$D$5*F2</f>
        <v>0.9</v>
      </c>
      <c r="G5" s="41">
        <f t="shared" si="3"/>
        <v>0.9375</v>
      </c>
      <c r="H5" s="42">
        <f t="shared" si="3"/>
        <v>0.95</v>
      </c>
      <c r="I5" s="42">
        <f t="shared" si="3"/>
        <v>0.88749999999999996</v>
      </c>
      <c r="J5" s="42">
        <f t="shared" si="3"/>
        <v>0.82499999999999996</v>
      </c>
      <c r="K5" s="42">
        <f t="shared" si="3"/>
        <v>0.88500000000000001</v>
      </c>
      <c r="L5" s="36">
        <f t="shared" si="3"/>
        <v>0.87250000000000005</v>
      </c>
      <c r="M5" s="42">
        <f t="shared" si="3"/>
        <v>0.83250000000000002</v>
      </c>
      <c r="N5" s="36">
        <f t="shared" si="3"/>
        <v>0.85</v>
      </c>
      <c r="O5" s="36">
        <f t="shared" si="3"/>
        <v>0.89249999999999996</v>
      </c>
      <c r="P5" s="42">
        <f t="shared" si="3"/>
        <v>0.82750000000000001</v>
      </c>
      <c r="Q5" s="42">
        <f t="shared" si="3"/>
        <v>0.82750000000000001</v>
      </c>
      <c r="R5" s="42">
        <f t="shared" si="3"/>
        <v>0.78249999999999997</v>
      </c>
      <c r="S5" s="42">
        <f t="shared" si="3"/>
        <v>0.78249999999999997</v>
      </c>
      <c r="T5" s="42">
        <f t="shared" si="3"/>
        <v>0.78749999999999998</v>
      </c>
      <c r="U5" s="36">
        <f t="shared" si="3"/>
        <v>0.82499999999999996</v>
      </c>
      <c r="V5" s="36">
        <f t="shared" si="3"/>
        <v>0.8</v>
      </c>
      <c r="W5" s="42">
        <f t="shared" si="3"/>
        <v>0.84250000000000003</v>
      </c>
      <c r="X5" s="42">
        <f t="shared" si="3"/>
        <v>0.84250000000000003</v>
      </c>
      <c r="Y5" s="42">
        <f t="shared" si="3"/>
        <v>0.875</v>
      </c>
      <c r="Z5" s="42">
        <f t="shared" si="3"/>
        <v>0.875</v>
      </c>
    </row>
    <row r="6" spans="1:29" x14ac:dyDescent="0.35">
      <c r="A6" s="34" t="s">
        <v>41</v>
      </c>
      <c r="B6" s="34" t="s">
        <v>66</v>
      </c>
      <c r="C6" s="36">
        <v>0.8</v>
      </c>
      <c r="D6" s="40">
        <f t="shared" si="1"/>
        <v>0.19999999999999996</v>
      </c>
      <c r="E6" s="42">
        <f>1-+$D$6*E2</f>
        <v>0.87</v>
      </c>
      <c r="F6" s="42">
        <f t="shared" ref="F6:Z6" si="4">1-+$D$6*F2</f>
        <v>0.92</v>
      </c>
      <c r="G6" s="42">
        <f t="shared" si="4"/>
        <v>0.95</v>
      </c>
      <c r="H6" s="41">
        <f t="shared" si="4"/>
        <v>0.96</v>
      </c>
      <c r="I6" s="42">
        <f t="shared" si="4"/>
        <v>0.91</v>
      </c>
      <c r="J6" s="42">
        <f t="shared" si="4"/>
        <v>0.8600000000000001</v>
      </c>
      <c r="K6" s="42">
        <f t="shared" si="4"/>
        <v>0.90800000000000003</v>
      </c>
      <c r="L6" s="36">
        <f t="shared" si="4"/>
        <v>0.89800000000000002</v>
      </c>
      <c r="M6" s="42">
        <f t="shared" si="4"/>
        <v>0.8660000000000001</v>
      </c>
      <c r="N6" s="36">
        <f t="shared" si="4"/>
        <v>0.88</v>
      </c>
      <c r="O6" s="36">
        <f t="shared" si="4"/>
        <v>0.91400000000000003</v>
      </c>
      <c r="P6" s="42">
        <f t="shared" si="4"/>
        <v>0.8620000000000001</v>
      </c>
      <c r="Q6" s="42">
        <f t="shared" si="4"/>
        <v>0.8620000000000001</v>
      </c>
      <c r="R6" s="42">
        <f t="shared" si="4"/>
        <v>0.82600000000000007</v>
      </c>
      <c r="S6" s="42">
        <f t="shared" si="4"/>
        <v>0.82600000000000007</v>
      </c>
      <c r="T6" s="42">
        <f t="shared" si="4"/>
        <v>0.83000000000000007</v>
      </c>
      <c r="U6" s="36">
        <f t="shared" si="4"/>
        <v>0.8600000000000001</v>
      </c>
      <c r="V6" s="36">
        <f t="shared" si="4"/>
        <v>0.84000000000000008</v>
      </c>
      <c r="W6" s="42">
        <f t="shared" si="4"/>
        <v>0.874</v>
      </c>
      <c r="X6" s="42">
        <f t="shared" si="4"/>
        <v>0.874</v>
      </c>
      <c r="Y6" s="42">
        <f t="shared" si="4"/>
        <v>0.9</v>
      </c>
      <c r="Z6" s="42">
        <f t="shared" si="4"/>
        <v>0.9</v>
      </c>
    </row>
    <row r="7" spans="1:29" x14ac:dyDescent="0.35">
      <c r="B7" s="34" t="s">
        <v>112</v>
      </c>
      <c r="D7" s="40"/>
      <c r="E7" s="42"/>
      <c r="F7" s="42"/>
      <c r="G7" s="42"/>
      <c r="H7" s="41"/>
      <c r="I7" s="42"/>
      <c r="J7" s="42"/>
      <c r="K7" s="42"/>
      <c r="L7" s="36"/>
      <c r="M7" s="42"/>
      <c r="N7" s="36"/>
      <c r="O7" s="36"/>
      <c r="P7" s="42"/>
      <c r="Q7" s="42"/>
      <c r="R7" s="42"/>
      <c r="S7" s="42"/>
      <c r="T7" s="42"/>
      <c r="U7" s="36"/>
      <c r="V7" s="36"/>
      <c r="W7" s="42"/>
      <c r="X7" s="42"/>
      <c r="Y7" s="42"/>
      <c r="Z7" s="42"/>
    </row>
    <row r="8" spans="1:29" x14ac:dyDescent="0.35">
      <c r="A8" s="34" t="s">
        <v>42</v>
      </c>
      <c r="B8" s="34" t="s">
        <v>113</v>
      </c>
      <c r="C8" s="36">
        <v>0.55000000000000004</v>
      </c>
      <c r="D8" s="40">
        <f t="shared" si="1"/>
        <v>0.44999999999999996</v>
      </c>
      <c r="E8" s="43">
        <f>1-+$D$8*E2</f>
        <v>0.70750000000000002</v>
      </c>
      <c r="F8" s="42">
        <f t="shared" ref="F8:Z8" si="5">1-+$D$8*F2</f>
        <v>0.82000000000000006</v>
      </c>
      <c r="G8" s="42">
        <f t="shared" si="5"/>
        <v>0.88749999999999996</v>
      </c>
      <c r="H8" s="42">
        <f t="shared" si="5"/>
        <v>0.91</v>
      </c>
      <c r="I8" s="41">
        <f t="shared" si="5"/>
        <v>0.7975000000000001</v>
      </c>
      <c r="J8" s="36">
        <f t="shared" si="5"/>
        <v>0.68500000000000005</v>
      </c>
      <c r="K8" s="42">
        <f t="shared" si="5"/>
        <v>0.79300000000000004</v>
      </c>
      <c r="L8" s="42">
        <f t="shared" si="5"/>
        <v>0.77049999999999996</v>
      </c>
      <c r="M8" s="44">
        <f t="shared" si="5"/>
        <v>0.69850000000000012</v>
      </c>
      <c r="N8" s="44">
        <f t="shared" si="5"/>
        <v>0.73</v>
      </c>
      <c r="O8" s="44">
        <f t="shared" si="5"/>
        <v>0.80649999999999999</v>
      </c>
      <c r="P8" s="45">
        <f t="shared" si="5"/>
        <v>0.6895</v>
      </c>
      <c r="Q8" s="45">
        <f t="shared" si="5"/>
        <v>0.6895</v>
      </c>
      <c r="R8" s="45">
        <f t="shared" si="5"/>
        <v>0.60850000000000004</v>
      </c>
      <c r="S8" s="45">
        <f t="shared" si="5"/>
        <v>0.60850000000000004</v>
      </c>
      <c r="T8" s="42">
        <f t="shared" si="5"/>
        <v>0.61750000000000005</v>
      </c>
      <c r="U8" s="36">
        <f t="shared" si="5"/>
        <v>0.68500000000000005</v>
      </c>
      <c r="V8" s="36">
        <f t="shared" si="5"/>
        <v>0.64</v>
      </c>
      <c r="W8" s="45">
        <f t="shared" si="5"/>
        <v>0.71650000000000003</v>
      </c>
      <c r="X8" s="45">
        <f t="shared" si="5"/>
        <v>0.71650000000000003</v>
      </c>
      <c r="Y8" s="36">
        <f t="shared" si="5"/>
        <v>0.77500000000000002</v>
      </c>
      <c r="Z8" s="45">
        <f t="shared" si="5"/>
        <v>0.77500000000000002</v>
      </c>
    </row>
    <row r="9" spans="1:29" x14ac:dyDescent="0.35">
      <c r="A9" s="34" t="s">
        <v>49</v>
      </c>
      <c r="B9" s="34" t="s">
        <v>114</v>
      </c>
      <c r="C9" s="36">
        <v>0.3</v>
      </c>
      <c r="D9" s="40">
        <f t="shared" si="1"/>
        <v>0.7</v>
      </c>
      <c r="E9" s="43">
        <f>1-+$D$9*E2</f>
        <v>0.54500000000000004</v>
      </c>
      <c r="F9" s="42">
        <f t="shared" ref="F9:Z9" si="6">1-+$D$9*F2</f>
        <v>0.72</v>
      </c>
      <c r="G9" s="42">
        <f t="shared" si="6"/>
        <v>0.82499999999999996</v>
      </c>
      <c r="H9" s="42">
        <f t="shared" si="6"/>
        <v>0.8600000000000001</v>
      </c>
      <c r="I9" s="42">
        <f t="shared" si="6"/>
        <v>0.68500000000000005</v>
      </c>
      <c r="J9" s="41">
        <f t="shared" si="6"/>
        <v>0.51</v>
      </c>
      <c r="K9" s="42">
        <f t="shared" si="6"/>
        <v>0.67800000000000005</v>
      </c>
      <c r="L9" s="42">
        <f t="shared" si="6"/>
        <v>0.64300000000000002</v>
      </c>
      <c r="M9" s="36">
        <f t="shared" si="6"/>
        <v>0.53100000000000014</v>
      </c>
      <c r="N9" s="36">
        <f t="shared" si="6"/>
        <v>0.58000000000000007</v>
      </c>
      <c r="O9" s="36">
        <f t="shared" si="6"/>
        <v>0.69900000000000007</v>
      </c>
      <c r="P9" s="45">
        <f t="shared" si="6"/>
        <v>0.51700000000000013</v>
      </c>
      <c r="Q9" s="45">
        <f t="shared" si="6"/>
        <v>0.51700000000000013</v>
      </c>
      <c r="R9" s="45">
        <f t="shared" si="6"/>
        <v>0.39100000000000001</v>
      </c>
      <c r="S9" s="45">
        <f t="shared" si="6"/>
        <v>0.39100000000000001</v>
      </c>
      <c r="T9" s="42">
        <f t="shared" si="6"/>
        <v>0.40500000000000003</v>
      </c>
      <c r="U9" s="36">
        <f t="shared" si="6"/>
        <v>0.51</v>
      </c>
      <c r="V9" s="36">
        <f t="shared" si="6"/>
        <v>0.44000000000000006</v>
      </c>
      <c r="W9" s="45">
        <f t="shared" si="6"/>
        <v>0.55900000000000005</v>
      </c>
      <c r="X9" s="45">
        <f t="shared" si="6"/>
        <v>0.55900000000000005</v>
      </c>
      <c r="Y9" s="45">
        <f t="shared" si="6"/>
        <v>0.65</v>
      </c>
      <c r="Z9" s="45">
        <f t="shared" si="6"/>
        <v>0.65</v>
      </c>
    </row>
    <row r="10" spans="1:29" x14ac:dyDescent="0.35">
      <c r="A10" s="34" t="s">
        <v>43</v>
      </c>
      <c r="B10" s="34" t="s">
        <v>115</v>
      </c>
      <c r="C10" s="36">
        <v>0.54</v>
      </c>
      <c r="D10" s="40">
        <f t="shared" si="1"/>
        <v>0.45999999999999996</v>
      </c>
      <c r="E10" s="42">
        <f>1-+$D$10*E2</f>
        <v>0.70100000000000007</v>
      </c>
      <c r="F10" s="42">
        <f t="shared" ref="F10:Z10" si="7">1-+$D$10*F2</f>
        <v>0.81600000000000006</v>
      </c>
      <c r="G10" s="42">
        <f t="shared" si="7"/>
        <v>0.88500000000000001</v>
      </c>
      <c r="H10" s="42">
        <f t="shared" si="7"/>
        <v>0.90800000000000003</v>
      </c>
      <c r="I10" s="42">
        <f t="shared" si="7"/>
        <v>0.79300000000000004</v>
      </c>
      <c r="J10" s="42">
        <f t="shared" si="7"/>
        <v>0.67800000000000005</v>
      </c>
      <c r="K10" s="41">
        <f t="shared" si="7"/>
        <v>0.78839999999999999</v>
      </c>
      <c r="L10" s="42">
        <f t="shared" si="7"/>
        <v>0.76540000000000008</v>
      </c>
      <c r="M10" s="42">
        <f t="shared" si="7"/>
        <v>0.69180000000000008</v>
      </c>
      <c r="N10" s="42">
        <f t="shared" si="7"/>
        <v>0.72399999999999998</v>
      </c>
      <c r="O10" s="42">
        <f t="shared" si="7"/>
        <v>0.80220000000000002</v>
      </c>
      <c r="P10" s="42">
        <f t="shared" si="7"/>
        <v>0.6826000000000001</v>
      </c>
      <c r="Q10" s="42">
        <f t="shared" si="7"/>
        <v>0.6826000000000001</v>
      </c>
      <c r="R10" s="42">
        <f t="shared" si="7"/>
        <v>0.59980000000000011</v>
      </c>
      <c r="S10" s="42">
        <f t="shared" si="7"/>
        <v>0.59980000000000011</v>
      </c>
      <c r="T10" s="42">
        <f t="shared" si="7"/>
        <v>0.60899999999999999</v>
      </c>
      <c r="U10" s="42">
        <f t="shared" si="7"/>
        <v>0.67800000000000005</v>
      </c>
      <c r="V10" s="42">
        <f t="shared" si="7"/>
        <v>0.63200000000000001</v>
      </c>
      <c r="W10" s="42">
        <f t="shared" si="7"/>
        <v>0.71019999999999994</v>
      </c>
      <c r="X10" s="42">
        <f t="shared" si="7"/>
        <v>0.71019999999999994</v>
      </c>
      <c r="Y10" s="42">
        <f t="shared" si="7"/>
        <v>0.77</v>
      </c>
      <c r="Z10" s="42">
        <f t="shared" si="7"/>
        <v>0.77</v>
      </c>
    </row>
    <row r="11" spans="1:29" x14ac:dyDescent="0.35">
      <c r="A11" s="34" t="s">
        <v>44</v>
      </c>
      <c r="B11" s="34" t="s">
        <v>68</v>
      </c>
      <c r="C11" s="36">
        <v>0.49</v>
      </c>
      <c r="D11" s="40">
        <f t="shared" si="1"/>
        <v>0.51</v>
      </c>
      <c r="E11" s="36">
        <f>1-+$D$11*E2</f>
        <v>0.66849999999999998</v>
      </c>
      <c r="F11" s="36">
        <f t="shared" ref="F11:Z11" si="8">1-+$D$11*F2</f>
        <v>0.79600000000000004</v>
      </c>
      <c r="G11" s="36">
        <f t="shared" si="8"/>
        <v>0.87250000000000005</v>
      </c>
      <c r="H11" s="36">
        <f t="shared" si="8"/>
        <v>0.89800000000000002</v>
      </c>
      <c r="I11" s="42">
        <f t="shared" si="8"/>
        <v>0.77049999999999996</v>
      </c>
      <c r="J11" s="42">
        <f t="shared" si="8"/>
        <v>0.64300000000000002</v>
      </c>
      <c r="K11" s="42">
        <f t="shared" si="8"/>
        <v>0.76540000000000008</v>
      </c>
      <c r="L11" s="41">
        <f t="shared" si="8"/>
        <v>0.7399</v>
      </c>
      <c r="M11" s="36">
        <f t="shared" si="8"/>
        <v>0.65830000000000011</v>
      </c>
      <c r="N11" s="36">
        <f t="shared" si="8"/>
        <v>0.69399999999999995</v>
      </c>
      <c r="O11" s="36">
        <f t="shared" si="8"/>
        <v>0.78069999999999995</v>
      </c>
      <c r="P11" s="36">
        <f t="shared" si="8"/>
        <v>0.64810000000000001</v>
      </c>
      <c r="Q11" s="36">
        <f t="shared" si="8"/>
        <v>0.64810000000000001</v>
      </c>
      <c r="R11" s="36">
        <f t="shared" si="8"/>
        <v>0.55630000000000002</v>
      </c>
      <c r="S11" s="36">
        <f t="shared" si="8"/>
        <v>0.55630000000000002</v>
      </c>
      <c r="T11" s="42">
        <f t="shared" si="8"/>
        <v>0.5665</v>
      </c>
      <c r="U11" s="42">
        <f t="shared" si="8"/>
        <v>0.64300000000000002</v>
      </c>
      <c r="V11" s="42">
        <f t="shared" si="8"/>
        <v>0.59199999999999997</v>
      </c>
      <c r="W11" s="36">
        <f t="shared" si="8"/>
        <v>0.67869999999999997</v>
      </c>
      <c r="X11" s="36">
        <f t="shared" si="8"/>
        <v>0.67869999999999997</v>
      </c>
      <c r="Y11" s="36">
        <f t="shared" si="8"/>
        <v>0.745</v>
      </c>
      <c r="Z11" s="36">
        <f t="shared" si="8"/>
        <v>0.745</v>
      </c>
    </row>
    <row r="12" spans="1:29" x14ac:dyDescent="0.35">
      <c r="A12" s="34" t="s">
        <v>45</v>
      </c>
      <c r="B12" s="34" t="s">
        <v>69</v>
      </c>
      <c r="C12" s="36">
        <v>0.33</v>
      </c>
      <c r="D12" s="40">
        <f t="shared" si="1"/>
        <v>0.66999999999999993</v>
      </c>
      <c r="E12" s="42">
        <f>1-+$D$12*E2</f>
        <v>0.5645</v>
      </c>
      <c r="F12" s="42">
        <f t="shared" ref="F12:Z12" si="9">1-+$D$12*F2</f>
        <v>0.73199999999999998</v>
      </c>
      <c r="G12" s="42">
        <f t="shared" si="9"/>
        <v>0.83250000000000002</v>
      </c>
      <c r="H12" s="42">
        <f t="shared" si="9"/>
        <v>0.8660000000000001</v>
      </c>
      <c r="I12" s="44">
        <f t="shared" si="9"/>
        <v>0.69850000000000012</v>
      </c>
      <c r="J12" s="36">
        <f t="shared" si="9"/>
        <v>0.53100000000000014</v>
      </c>
      <c r="K12" s="42">
        <f t="shared" si="9"/>
        <v>0.69180000000000008</v>
      </c>
      <c r="L12" s="36">
        <f t="shared" si="9"/>
        <v>0.65830000000000011</v>
      </c>
      <c r="M12" s="41">
        <f t="shared" si="9"/>
        <v>0.55110000000000015</v>
      </c>
      <c r="N12" s="36">
        <f t="shared" si="9"/>
        <v>0.59800000000000009</v>
      </c>
      <c r="O12" s="36">
        <f t="shared" si="9"/>
        <v>0.71189999999999998</v>
      </c>
      <c r="P12" s="44">
        <f t="shared" si="9"/>
        <v>0.53770000000000007</v>
      </c>
      <c r="Q12" s="44">
        <f t="shared" si="9"/>
        <v>0.53770000000000007</v>
      </c>
      <c r="R12" s="36">
        <f t="shared" si="9"/>
        <v>0.41710000000000003</v>
      </c>
      <c r="S12" s="36">
        <f t="shared" si="9"/>
        <v>0.41710000000000003</v>
      </c>
      <c r="T12" s="42">
        <f t="shared" si="9"/>
        <v>0.4305000000000001</v>
      </c>
      <c r="U12" s="36">
        <f t="shared" si="9"/>
        <v>0.53100000000000014</v>
      </c>
      <c r="V12" s="36">
        <f t="shared" si="9"/>
        <v>0.46400000000000008</v>
      </c>
      <c r="W12" s="36">
        <f t="shared" si="9"/>
        <v>0.57790000000000008</v>
      </c>
      <c r="X12" s="36">
        <f t="shared" si="9"/>
        <v>0.57790000000000008</v>
      </c>
      <c r="Y12" s="36">
        <f t="shared" si="9"/>
        <v>0.66500000000000004</v>
      </c>
      <c r="Z12" s="44">
        <f t="shared" si="9"/>
        <v>0.66500000000000004</v>
      </c>
    </row>
    <row r="13" spans="1:29" x14ac:dyDescent="0.35">
      <c r="A13" s="34" t="s">
        <v>46</v>
      </c>
      <c r="B13" s="34" t="s">
        <v>70</v>
      </c>
      <c r="C13" s="36">
        <v>0.4</v>
      </c>
      <c r="D13" s="40">
        <f t="shared" si="1"/>
        <v>0.6</v>
      </c>
      <c r="E13" s="36">
        <f>1-+$D$13*E2</f>
        <v>0.61</v>
      </c>
      <c r="F13" s="36">
        <f t="shared" ref="F13:Z13" si="10">1-+$D$13*F2</f>
        <v>0.76</v>
      </c>
      <c r="G13" s="36">
        <f t="shared" si="10"/>
        <v>0.85</v>
      </c>
      <c r="H13" s="36">
        <f t="shared" si="10"/>
        <v>0.88</v>
      </c>
      <c r="I13" s="44">
        <f t="shared" si="10"/>
        <v>0.73</v>
      </c>
      <c r="J13" s="36">
        <f t="shared" si="10"/>
        <v>0.58000000000000007</v>
      </c>
      <c r="K13" s="42">
        <f t="shared" si="10"/>
        <v>0.72399999999999998</v>
      </c>
      <c r="L13" s="36">
        <f t="shared" si="10"/>
        <v>0.69399999999999995</v>
      </c>
      <c r="M13" s="36">
        <f t="shared" si="10"/>
        <v>0.59800000000000009</v>
      </c>
      <c r="N13" s="41">
        <f t="shared" si="10"/>
        <v>0.64</v>
      </c>
      <c r="O13" s="36">
        <f t="shared" si="10"/>
        <v>0.74199999999999999</v>
      </c>
      <c r="P13" s="36">
        <f t="shared" si="10"/>
        <v>0.58600000000000008</v>
      </c>
      <c r="Q13" s="44">
        <f t="shared" si="10"/>
        <v>0.58600000000000008</v>
      </c>
      <c r="R13" s="36">
        <f t="shared" si="10"/>
        <v>0.47799999999999998</v>
      </c>
      <c r="S13" s="36">
        <f t="shared" si="10"/>
        <v>0.47799999999999998</v>
      </c>
      <c r="T13" s="42">
        <f t="shared" si="10"/>
        <v>0.49</v>
      </c>
      <c r="U13" s="36">
        <f t="shared" si="10"/>
        <v>0.58000000000000007</v>
      </c>
      <c r="V13" s="36">
        <f t="shared" si="10"/>
        <v>0.52</v>
      </c>
      <c r="W13" s="36">
        <f t="shared" si="10"/>
        <v>0.622</v>
      </c>
      <c r="X13" s="36">
        <f t="shared" si="10"/>
        <v>0.622</v>
      </c>
      <c r="Y13" s="36">
        <f t="shared" si="10"/>
        <v>0.7</v>
      </c>
      <c r="Z13" s="36">
        <f t="shared" si="10"/>
        <v>0.7</v>
      </c>
    </row>
    <row r="14" spans="1:29" x14ac:dyDescent="0.35">
      <c r="A14" s="34" t="s">
        <v>50</v>
      </c>
      <c r="B14" s="34" t="s">
        <v>36</v>
      </c>
      <c r="C14" s="36">
        <v>0.56999999999999995</v>
      </c>
      <c r="D14" s="40">
        <f t="shared" si="1"/>
        <v>0.43000000000000005</v>
      </c>
      <c r="E14" s="36">
        <f>1-+$D$14*E2</f>
        <v>0.72049999999999992</v>
      </c>
      <c r="F14" s="36">
        <f t="shared" ref="F14:Z14" si="11">1-+$D$14*F2</f>
        <v>0.82799999999999996</v>
      </c>
      <c r="G14" s="36">
        <f t="shared" si="11"/>
        <v>0.89249999999999996</v>
      </c>
      <c r="H14" s="36">
        <f t="shared" si="11"/>
        <v>0.91400000000000003</v>
      </c>
      <c r="I14" s="44">
        <f t="shared" si="11"/>
        <v>0.80649999999999999</v>
      </c>
      <c r="J14" s="36">
        <f t="shared" si="11"/>
        <v>0.69900000000000007</v>
      </c>
      <c r="K14" s="42">
        <f t="shared" si="11"/>
        <v>0.80220000000000002</v>
      </c>
      <c r="L14" s="36">
        <f t="shared" si="11"/>
        <v>0.78069999999999995</v>
      </c>
      <c r="M14" s="36">
        <f t="shared" si="11"/>
        <v>0.71189999999999998</v>
      </c>
      <c r="N14" s="36">
        <f t="shared" si="11"/>
        <v>0.74199999999999999</v>
      </c>
      <c r="O14" s="41">
        <f t="shared" si="11"/>
        <v>0.81509999999999994</v>
      </c>
      <c r="P14" s="44">
        <f t="shared" si="11"/>
        <v>0.70330000000000004</v>
      </c>
      <c r="Q14" s="44">
        <f t="shared" si="11"/>
        <v>0.70330000000000004</v>
      </c>
      <c r="R14" s="36">
        <f t="shared" si="11"/>
        <v>0.6258999999999999</v>
      </c>
      <c r="S14" s="44">
        <f t="shared" si="11"/>
        <v>0.6258999999999999</v>
      </c>
      <c r="T14" s="42">
        <f t="shared" si="11"/>
        <v>0.63449999999999995</v>
      </c>
      <c r="U14" s="36">
        <f t="shared" si="11"/>
        <v>0.69900000000000007</v>
      </c>
      <c r="V14" s="36">
        <f t="shared" si="11"/>
        <v>0.65599999999999992</v>
      </c>
      <c r="W14" s="36">
        <f t="shared" si="11"/>
        <v>0.72909999999999997</v>
      </c>
      <c r="X14" s="36">
        <f t="shared" si="11"/>
        <v>0.72909999999999997</v>
      </c>
      <c r="Y14" s="36">
        <f t="shared" si="11"/>
        <v>0.78499999999999992</v>
      </c>
      <c r="Z14" s="44">
        <f t="shared" si="11"/>
        <v>0.78499999999999992</v>
      </c>
    </row>
    <row r="15" spans="1:29" x14ac:dyDescent="0.35">
      <c r="A15" s="34" t="s">
        <v>47</v>
      </c>
      <c r="B15" s="34" t="s">
        <v>81</v>
      </c>
      <c r="C15" s="36">
        <v>0.31</v>
      </c>
      <c r="D15" s="40">
        <f t="shared" si="1"/>
        <v>0.69</v>
      </c>
      <c r="E15" s="36">
        <f>1-+$D$15*E2</f>
        <v>0.5515000000000001</v>
      </c>
      <c r="F15" s="42">
        <f t="shared" ref="F15:Z15" si="12">1-+$D$15*F2</f>
        <v>0.72399999999999998</v>
      </c>
      <c r="G15" s="42">
        <f t="shared" si="12"/>
        <v>0.82750000000000001</v>
      </c>
      <c r="H15" s="42">
        <f t="shared" si="12"/>
        <v>0.8620000000000001</v>
      </c>
      <c r="I15" s="45">
        <f t="shared" si="12"/>
        <v>0.6895</v>
      </c>
      <c r="J15" s="45">
        <f t="shared" si="12"/>
        <v>0.51700000000000013</v>
      </c>
      <c r="K15" s="42">
        <f t="shared" si="12"/>
        <v>0.6826000000000001</v>
      </c>
      <c r="L15" s="36">
        <f t="shared" si="12"/>
        <v>0.64810000000000001</v>
      </c>
      <c r="M15" s="44">
        <f t="shared" si="12"/>
        <v>0.53770000000000007</v>
      </c>
      <c r="N15" s="36">
        <f t="shared" si="12"/>
        <v>0.58600000000000008</v>
      </c>
      <c r="O15" s="44">
        <f t="shared" si="12"/>
        <v>0.70330000000000004</v>
      </c>
      <c r="P15" s="41">
        <f t="shared" si="12"/>
        <v>0.52390000000000003</v>
      </c>
      <c r="Q15" s="41">
        <f t="shared" si="12"/>
        <v>0.52390000000000003</v>
      </c>
      <c r="R15" s="42">
        <f t="shared" si="12"/>
        <v>0.39970000000000006</v>
      </c>
      <c r="S15" s="42">
        <f t="shared" si="12"/>
        <v>0.39970000000000006</v>
      </c>
      <c r="T15" s="42">
        <f t="shared" si="12"/>
        <v>0.41350000000000009</v>
      </c>
      <c r="U15" s="45">
        <f t="shared" si="12"/>
        <v>0.51700000000000013</v>
      </c>
      <c r="V15" s="45">
        <f t="shared" si="12"/>
        <v>0.44800000000000006</v>
      </c>
      <c r="W15" s="36">
        <f t="shared" si="12"/>
        <v>0.56530000000000002</v>
      </c>
      <c r="X15" s="36">
        <f t="shared" si="12"/>
        <v>0.56530000000000002</v>
      </c>
      <c r="Y15" s="42">
        <f t="shared" si="12"/>
        <v>0.65500000000000003</v>
      </c>
      <c r="Z15" s="42">
        <f t="shared" si="12"/>
        <v>0.65500000000000003</v>
      </c>
    </row>
    <row r="16" spans="1:29" x14ac:dyDescent="0.35">
      <c r="A16" s="34" t="s">
        <v>51</v>
      </c>
      <c r="B16" s="34" t="s">
        <v>82</v>
      </c>
      <c r="C16" s="36">
        <v>0.31</v>
      </c>
      <c r="D16" s="40">
        <f t="shared" si="1"/>
        <v>0.69</v>
      </c>
      <c r="E16" s="43">
        <f>1-+$D$16*E2</f>
        <v>0.5515000000000001</v>
      </c>
      <c r="F16" s="42">
        <f t="shared" ref="F16:Z16" si="13">1-+$D$16*F2</f>
        <v>0.72399999999999998</v>
      </c>
      <c r="G16" s="42">
        <f t="shared" si="13"/>
        <v>0.82750000000000001</v>
      </c>
      <c r="H16" s="42">
        <f t="shared" si="13"/>
        <v>0.8620000000000001</v>
      </c>
      <c r="I16" s="45">
        <f t="shared" si="13"/>
        <v>0.6895</v>
      </c>
      <c r="J16" s="45">
        <f t="shared" si="13"/>
        <v>0.51700000000000013</v>
      </c>
      <c r="K16" s="42">
        <f t="shared" si="13"/>
        <v>0.6826000000000001</v>
      </c>
      <c r="L16" s="36">
        <f t="shared" si="13"/>
        <v>0.64810000000000001</v>
      </c>
      <c r="M16" s="44">
        <f t="shared" si="13"/>
        <v>0.53770000000000007</v>
      </c>
      <c r="N16" s="44">
        <f t="shared" si="13"/>
        <v>0.58600000000000008</v>
      </c>
      <c r="O16" s="44">
        <f t="shared" si="13"/>
        <v>0.70330000000000004</v>
      </c>
      <c r="P16" s="41">
        <f t="shared" si="13"/>
        <v>0.52390000000000003</v>
      </c>
      <c r="Q16" s="41">
        <f t="shared" si="13"/>
        <v>0.52390000000000003</v>
      </c>
      <c r="R16" s="42">
        <f t="shared" si="13"/>
        <v>0.39970000000000006</v>
      </c>
      <c r="S16" s="42">
        <f t="shared" si="13"/>
        <v>0.39970000000000006</v>
      </c>
      <c r="T16" s="42">
        <f t="shared" si="13"/>
        <v>0.41350000000000009</v>
      </c>
      <c r="U16" s="44">
        <f t="shared" si="13"/>
        <v>0.51700000000000013</v>
      </c>
      <c r="V16" s="44">
        <f t="shared" si="13"/>
        <v>0.44800000000000006</v>
      </c>
      <c r="W16" s="36">
        <f t="shared" si="13"/>
        <v>0.56530000000000002</v>
      </c>
      <c r="X16" s="36">
        <f t="shared" si="13"/>
        <v>0.56530000000000002</v>
      </c>
      <c r="Y16" s="42">
        <f t="shared" si="13"/>
        <v>0.65500000000000003</v>
      </c>
      <c r="Z16" s="42">
        <f t="shared" si="13"/>
        <v>0.65500000000000003</v>
      </c>
    </row>
    <row r="17" spans="1:26" x14ac:dyDescent="0.35">
      <c r="A17" s="34" t="s">
        <v>52</v>
      </c>
      <c r="B17" s="34" t="s">
        <v>83</v>
      </c>
      <c r="C17" s="36">
        <v>0.13</v>
      </c>
      <c r="D17" s="40">
        <f t="shared" si="1"/>
        <v>0.87</v>
      </c>
      <c r="E17" s="46">
        <f>1-+$D$17*E2</f>
        <v>0.4345</v>
      </c>
      <c r="F17" s="42">
        <f t="shared" ref="F17:Z17" si="14">1-+$D$17*F2</f>
        <v>0.65199999999999991</v>
      </c>
      <c r="G17" s="42">
        <f t="shared" si="14"/>
        <v>0.78249999999999997</v>
      </c>
      <c r="H17" s="42">
        <f t="shared" si="14"/>
        <v>0.82600000000000007</v>
      </c>
      <c r="I17" s="45">
        <f t="shared" si="14"/>
        <v>0.60850000000000004</v>
      </c>
      <c r="J17" s="45">
        <f t="shared" si="14"/>
        <v>0.39100000000000001</v>
      </c>
      <c r="K17" s="42">
        <f t="shared" si="14"/>
        <v>0.59980000000000011</v>
      </c>
      <c r="L17" s="36">
        <f t="shared" si="14"/>
        <v>0.55630000000000002</v>
      </c>
      <c r="M17" s="36">
        <f t="shared" si="14"/>
        <v>0.41710000000000003</v>
      </c>
      <c r="N17" s="36">
        <f t="shared" si="14"/>
        <v>0.47799999999999998</v>
      </c>
      <c r="O17" s="36">
        <f t="shared" si="14"/>
        <v>0.6258999999999999</v>
      </c>
      <c r="P17" s="42">
        <f t="shared" si="14"/>
        <v>0.39970000000000006</v>
      </c>
      <c r="Q17" s="42">
        <f t="shared" si="14"/>
        <v>0.39970000000000006</v>
      </c>
      <c r="R17" s="41">
        <f t="shared" si="14"/>
        <v>0.24309999999999998</v>
      </c>
      <c r="S17" s="41">
        <f t="shared" si="14"/>
        <v>0.24309999999999998</v>
      </c>
      <c r="T17" s="42">
        <f t="shared" si="14"/>
        <v>0.26050000000000006</v>
      </c>
      <c r="U17" s="44">
        <f t="shared" si="14"/>
        <v>0.39100000000000001</v>
      </c>
      <c r="V17" s="44">
        <f t="shared" si="14"/>
        <v>0.30399999999999994</v>
      </c>
      <c r="W17" s="36">
        <f t="shared" si="14"/>
        <v>0.45189999999999997</v>
      </c>
      <c r="X17" s="36">
        <f t="shared" si="14"/>
        <v>0.45189999999999997</v>
      </c>
      <c r="Y17" s="42">
        <f t="shared" si="14"/>
        <v>0.56499999999999995</v>
      </c>
      <c r="Z17" s="42">
        <f t="shared" si="14"/>
        <v>0.56499999999999995</v>
      </c>
    </row>
    <row r="18" spans="1:26" x14ac:dyDescent="0.35">
      <c r="A18" s="34" t="s">
        <v>53</v>
      </c>
      <c r="B18" s="34" t="s">
        <v>84</v>
      </c>
      <c r="C18" s="36">
        <v>0.13</v>
      </c>
      <c r="D18" s="40">
        <f t="shared" si="1"/>
        <v>0.87</v>
      </c>
      <c r="E18" s="36">
        <f>1-+$D$18*E2</f>
        <v>0.4345</v>
      </c>
      <c r="F18" s="42">
        <f t="shared" ref="F18:Z18" si="15">1-+$D$18*F2</f>
        <v>0.65199999999999991</v>
      </c>
      <c r="G18" s="42">
        <f t="shared" si="15"/>
        <v>0.78249999999999997</v>
      </c>
      <c r="H18" s="42">
        <f t="shared" si="15"/>
        <v>0.82600000000000007</v>
      </c>
      <c r="I18" s="45">
        <f t="shared" si="15"/>
        <v>0.60850000000000004</v>
      </c>
      <c r="J18" s="45">
        <f t="shared" si="15"/>
        <v>0.39100000000000001</v>
      </c>
      <c r="K18" s="42">
        <f t="shared" si="15"/>
        <v>0.59980000000000011</v>
      </c>
      <c r="L18" s="36">
        <f t="shared" si="15"/>
        <v>0.55630000000000002</v>
      </c>
      <c r="M18" s="36">
        <f t="shared" si="15"/>
        <v>0.41710000000000003</v>
      </c>
      <c r="N18" s="36">
        <f t="shared" si="15"/>
        <v>0.47799999999999998</v>
      </c>
      <c r="O18" s="44">
        <f t="shared" si="15"/>
        <v>0.6258999999999999</v>
      </c>
      <c r="P18" s="42">
        <f t="shared" si="15"/>
        <v>0.39970000000000006</v>
      </c>
      <c r="Q18" s="42">
        <f t="shared" si="15"/>
        <v>0.39970000000000006</v>
      </c>
      <c r="R18" s="41">
        <f t="shared" si="15"/>
        <v>0.24309999999999998</v>
      </c>
      <c r="S18" s="41">
        <f t="shared" si="15"/>
        <v>0.24309999999999998</v>
      </c>
      <c r="T18" s="42">
        <f t="shared" si="15"/>
        <v>0.26050000000000006</v>
      </c>
      <c r="U18" s="36">
        <f t="shared" si="15"/>
        <v>0.39100000000000001</v>
      </c>
      <c r="V18" s="36">
        <f t="shared" si="15"/>
        <v>0.30399999999999994</v>
      </c>
      <c r="W18" s="36">
        <f t="shared" si="15"/>
        <v>0.45189999999999997</v>
      </c>
      <c r="X18" s="36">
        <f t="shared" si="15"/>
        <v>0.45189999999999997</v>
      </c>
      <c r="Y18" s="42">
        <f t="shared" si="15"/>
        <v>0.56499999999999995</v>
      </c>
      <c r="Z18" s="42">
        <f t="shared" si="15"/>
        <v>0.56499999999999995</v>
      </c>
    </row>
    <row r="19" spans="1:26" x14ac:dyDescent="0.35">
      <c r="A19" s="34" t="s">
        <v>54</v>
      </c>
      <c r="B19" s="34" t="s">
        <v>71</v>
      </c>
      <c r="C19" s="36">
        <v>0.15</v>
      </c>
      <c r="D19" s="40">
        <f t="shared" si="1"/>
        <v>0.85</v>
      </c>
      <c r="E19" s="42">
        <f>1-+$D$19*E2</f>
        <v>0.44750000000000001</v>
      </c>
      <c r="F19" s="42">
        <f t="shared" ref="F19:Z19" si="16">1-+$D$19*F2</f>
        <v>0.65999999999999992</v>
      </c>
      <c r="G19" s="42">
        <f t="shared" si="16"/>
        <v>0.78749999999999998</v>
      </c>
      <c r="H19" s="42">
        <f t="shared" si="16"/>
        <v>0.83000000000000007</v>
      </c>
      <c r="I19" s="45">
        <f t="shared" si="16"/>
        <v>0.61750000000000005</v>
      </c>
      <c r="J19" s="45">
        <f t="shared" si="16"/>
        <v>0.40500000000000003</v>
      </c>
      <c r="K19" s="42">
        <f t="shared" si="16"/>
        <v>0.60899999999999999</v>
      </c>
      <c r="L19" s="42">
        <f t="shared" si="16"/>
        <v>0.5665</v>
      </c>
      <c r="M19" s="42">
        <f t="shared" si="16"/>
        <v>0.4305000000000001</v>
      </c>
      <c r="N19" s="42">
        <f t="shared" si="16"/>
        <v>0.49</v>
      </c>
      <c r="O19" s="42">
        <f t="shared" si="16"/>
        <v>0.63449999999999995</v>
      </c>
      <c r="P19" s="42">
        <f t="shared" si="16"/>
        <v>0.41350000000000009</v>
      </c>
      <c r="Q19" s="42">
        <f t="shared" si="16"/>
        <v>0.41350000000000009</v>
      </c>
      <c r="R19" s="42">
        <f t="shared" si="16"/>
        <v>0.26050000000000006</v>
      </c>
      <c r="S19" s="42">
        <f t="shared" si="16"/>
        <v>0.26050000000000006</v>
      </c>
      <c r="T19" s="41">
        <f t="shared" si="16"/>
        <v>0.27750000000000008</v>
      </c>
      <c r="U19" s="36">
        <f t="shared" si="16"/>
        <v>0.40500000000000003</v>
      </c>
      <c r="V19" s="42">
        <f t="shared" si="16"/>
        <v>0.31999999999999995</v>
      </c>
      <c r="W19" s="36">
        <f t="shared" si="16"/>
        <v>0.46450000000000002</v>
      </c>
      <c r="X19" s="36">
        <f t="shared" si="16"/>
        <v>0.46450000000000002</v>
      </c>
      <c r="Y19" s="42">
        <f t="shared" si="16"/>
        <v>0.57499999999999996</v>
      </c>
      <c r="Z19" s="42">
        <f t="shared" si="16"/>
        <v>0.57499999999999996</v>
      </c>
    </row>
    <row r="20" spans="1:26" x14ac:dyDescent="0.35">
      <c r="A20" s="34" t="s">
        <v>55</v>
      </c>
      <c r="B20" s="34" t="s">
        <v>67</v>
      </c>
      <c r="C20" s="36">
        <v>0.3</v>
      </c>
      <c r="D20" s="40">
        <f t="shared" si="1"/>
        <v>0.7</v>
      </c>
      <c r="E20" s="36">
        <f>1-+$D$20*E2</f>
        <v>0.54500000000000004</v>
      </c>
      <c r="F20" s="36">
        <f t="shared" ref="F20:Z20" si="17">1-+$D$20*F2</f>
        <v>0.72</v>
      </c>
      <c r="G20" s="36">
        <f t="shared" si="17"/>
        <v>0.82499999999999996</v>
      </c>
      <c r="H20" s="36">
        <f t="shared" si="17"/>
        <v>0.8600000000000001</v>
      </c>
      <c r="I20" s="36">
        <f t="shared" si="17"/>
        <v>0.68500000000000005</v>
      </c>
      <c r="J20" s="36">
        <f t="shared" si="17"/>
        <v>0.51</v>
      </c>
      <c r="K20" s="42">
        <f t="shared" si="17"/>
        <v>0.67800000000000005</v>
      </c>
      <c r="L20" s="42">
        <f t="shared" si="17"/>
        <v>0.64300000000000002</v>
      </c>
      <c r="M20" s="36">
        <f t="shared" si="17"/>
        <v>0.53100000000000014</v>
      </c>
      <c r="N20" s="36">
        <f t="shared" si="17"/>
        <v>0.58000000000000007</v>
      </c>
      <c r="O20" s="36">
        <f t="shared" si="17"/>
        <v>0.69900000000000007</v>
      </c>
      <c r="P20" s="45">
        <f t="shared" si="17"/>
        <v>0.51700000000000013</v>
      </c>
      <c r="Q20" s="44">
        <f t="shared" si="17"/>
        <v>0.51700000000000013</v>
      </c>
      <c r="R20" s="44">
        <f t="shared" si="17"/>
        <v>0.39100000000000001</v>
      </c>
      <c r="S20" s="36">
        <f t="shared" si="17"/>
        <v>0.39100000000000001</v>
      </c>
      <c r="T20" s="42">
        <f t="shared" si="17"/>
        <v>0.40500000000000003</v>
      </c>
      <c r="U20" s="41">
        <f t="shared" si="17"/>
        <v>0.51</v>
      </c>
      <c r="V20" s="42">
        <f t="shared" si="17"/>
        <v>0.44000000000000006</v>
      </c>
      <c r="W20" s="44">
        <f t="shared" si="17"/>
        <v>0.55900000000000005</v>
      </c>
      <c r="X20" s="44">
        <f t="shared" si="17"/>
        <v>0.55900000000000005</v>
      </c>
      <c r="Y20" s="44">
        <f t="shared" si="17"/>
        <v>0.65</v>
      </c>
      <c r="Z20" s="36">
        <f t="shared" si="17"/>
        <v>0.65</v>
      </c>
    </row>
    <row r="21" spans="1:26" x14ac:dyDescent="0.35">
      <c r="A21" s="34" t="s">
        <v>56</v>
      </c>
      <c r="B21" s="34" t="s">
        <v>72</v>
      </c>
      <c r="C21" s="36">
        <v>0.2</v>
      </c>
      <c r="D21" s="40">
        <f t="shared" si="1"/>
        <v>0.8</v>
      </c>
      <c r="E21" s="36">
        <f>1-+$D$21*E2</f>
        <v>0.48</v>
      </c>
      <c r="F21" s="36">
        <f t="shared" ref="F21:Z21" si="18">1-+$D$21*F2</f>
        <v>0.67999999999999994</v>
      </c>
      <c r="G21" s="36">
        <f t="shared" si="18"/>
        <v>0.8</v>
      </c>
      <c r="H21" s="36">
        <f t="shared" si="18"/>
        <v>0.84000000000000008</v>
      </c>
      <c r="I21" s="36">
        <f t="shared" si="18"/>
        <v>0.64</v>
      </c>
      <c r="J21" s="36">
        <f t="shared" si="18"/>
        <v>0.44000000000000006</v>
      </c>
      <c r="K21" s="42">
        <f t="shared" si="18"/>
        <v>0.63200000000000001</v>
      </c>
      <c r="L21" s="42">
        <f t="shared" si="18"/>
        <v>0.59199999999999997</v>
      </c>
      <c r="M21" s="36">
        <f t="shared" si="18"/>
        <v>0.46400000000000008</v>
      </c>
      <c r="N21" s="36">
        <f t="shared" si="18"/>
        <v>0.52</v>
      </c>
      <c r="O21" s="36">
        <f t="shared" si="18"/>
        <v>0.65599999999999992</v>
      </c>
      <c r="P21" s="45">
        <f t="shared" si="18"/>
        <v>0.44800000000000006</v>
      </c>
      <c r="Q21" s="44">
        <f t="shared" si="18"/>
        <v>0.44800000000000006</v>
      </c>
      <c r="R21" s="44">
        <f t="shared" si="18"/>
        <v>0.30399999999999994</v>
      </c>
      <c r="S21" s="36">
        <f t="shared" si="18"/>
        <v>0.30399999999999994</v>
      </c>
      <c r="T21" s="42">
        <f t="shared" si="18"/>
        <v>0.31999999999999995</v>
      </c>
      <c r="U21" s="42">
        <f t="shared" si="18"/>
        <v>0.44000000000000006</v>
      </c>
      <c r="V21" s="41">
        <f t="shared" si="18"/>
        <v>0.35999999999999988</v>
      </c>
      <c r="W21" s="44">
        <f t="shared" si="18"/>
        <v>0.496</v>
      </c>
      <c r="X21" s="44">
        <f t="shared" si="18"/>
        <v>0.496</v>
      </c>
      <c r="Y21" s="44">
        <f t="shared" si="18"/>
        <v>0.6</v>
      </c>
      <c r="Z21" s="36">
        <f t="shared" si="18"/>
        <v>0.6</v>
      </c>
    </row>
    <row r="22" spans="1:26" x14ac:dyDescent="0.35">
      <c r="A22" s="34" t="s">
        <v>57</v>
      </c>
      <c r="B22" s="34" t="s">
        <v>85</v>
      </c>
      <c r="C22" s="36">
        <v>0.37</v>
      </c>
      <c r="D22" s="40">
        <f t="shared" si="1"/>
        <v>0.63</v>
      </c>
      <c r="E22" s="36">
        <f>1-+$D$22*E2</f>
        <v>0.59050000000000002</v>
      </c>
      <c r="F22" s="42">
        <f t="shared" ref="F22:Z22" si="19">1-+$D$22*F2</f>
        <v>0.748</v>
      </c>
      <c r="G22" s="42">
        <f t="shared" si="19"/>
        <v>0.84250000000000003</v>
      </c>
      <c r="H22" s="42">
        <f t="shared" si="19"/>
        <v>0.874</v>
      </c>
      <c r="I22" s="45">
        <f t="shared" si="19"/>
        <v>0.71650000000000003</v>
      </c>
      <c r="J22" s="45">
        <f t="shared" si="19"/>
        <v>0.55900000000000005</v>
      </c>
      <c r="K22" s="42">
        <f t="shared" si="19"/>
        <v>0.71019999999999994</v>
      </c>
      <c r="L22" s="36">
        <f t="shared" si="19"/>
        <v>0.67869999999999997</v>
      </c>
      <c r="M22" s="36">
        <f t="shared" si="19"/>
        <v>0.57790000000000008</v>
      </c>
      <c r="N22" s="36">
        <f t="shared" si="19"/>
        <v>0.622</v>
      </c>
      <c r="O22" s="36">
        <f t="shared" si="19"/>
        <v>0.72909999999999997</v>
      </c>
      <c r="P22" s="42">
        <f t="shared" si="19"/>
        <v>0.56530000000000002</v>
      </c>
      <c r="Q22" s="42">
        <f t="shared" si="19"/>
        <v>0.56530000000000002</v>
      </c>
      <c r="R22" s="42">
        <f t="shared" si="19"/>
        <v>0.45189999999999997</v>
      </c>
      <c r="S22" s="42">
        <f t="shared" si="19"/>
        <v>0.45189999999999997</v>
      </c>
      <c r="T22" s="42">
        <f t="shared" si="19"/>
        <v>0.46450000000000002</v>
      </c>
      <c r="U22" s="44">
        <f t="shared" si="19"/>
        <v>0.55900000000000005</v>
      </c>
      <c r="V22" s="44">
        <f t="shared" si="19"/>
        <v>0.496</v>
      </c>
      <c r="W22" s="41">
        <f t="shared" si="19"/>
        <v>0.60309999999999997</v>
      </c>
      <c r="X22" s="41">
        <f t="shared" si="19"/>
        <v>0.60309999999999997</v>
      </c>
      <c r="Y22" s="42">
        <f t="shared" si="19"/>
        <v>0.68500000000000005</v>
      </c>
      <c r="Z22" s="42">
        <f t="shared" si="19"/>
        <v>0.68500000000000005</v>
      </c>
    </row>
    <row r="23" spans="1:26" x14ac:dyDescent="0.35">
      <c r="A23" s="34" t="s">
        <v>58</v>
      </c>
      <c r="B23" s="34" t="s">
        <v>86</v>
      </c>
      <c r="C23" s="36">
        <v>0.37</v>
      </c>
      <c r="D23" s="40">
        <f t="shared" si="1"/>
        <v>0.63</v>
      </c>
      <c r="E23" s="36">
        <f>1-+$D$23*E2</f>
        <v>0.59050000000000002</v>
      </c>
      <c r="F23" s="42">
        <f t="shared" ref="F23:Z23" si="20">1-+$D$23*F2</f>
        <v>0.748</v>
      </c>
      <c r="G23" s="42">
        <f t="shared" si="20"/>
        <v>0.84250000000000003</v>
      </c>
      <c r="H23" s="42">
        <f t="shared" si="20"/>
        <v>0.874</v>
      </c>
      <c r="I23" s="45">
        <f t="shared" si="20"/>
        <v>0.71650000000000003</v>
      </c>
      <c r="J23" s="45">
        <f t="shared" si="20"/>
        <v>0.55900000000000005</v>
      </c>
      <c r="K23" s="42">
        <f t="shared" si="20"/>
        <v>0.71019999999999994</v>
      </c>
      <c r="L23" s="36">
        <f t="shared" si="20"/>
        <v>0.67869999999999997</v>
      </c>
      <c r="M23" s="36">
        <f t="shared" si="20"/>
        <v>0.57790000000000008</v>
      </c>
      <c r="N23" s="36">
        <f t="shared" si="20"/>
        <v>0.622</v>
      </c>
      <c r="O23" s="36">
        <f t="shared" si="20"/>
        <v>0.72909999999999997</v>
      </c>
      <c r="P23" s="42">
        <f t="shared" si="20"/>
        <v>0.56530000000000002</v>
      </c>
      <c r="Q23" s="42">
        <f t="shared" si="20"/>
        <v>0.56530000000000002</v>
      </c>
      <c r="R23" s="42">
        <f t="shared" si="20"/>
        <v>0.45189999999999997</v>
      </c>
      <c r="S23" s="42">
        <f t="shared" si="20"/>
        <v>0.45189999999999997</v>
      </c>
      <c r="T23" s="42">
        <f t="shared" si="20"/>
        <v>0.46450000000000002</v>
      </c>
      <c r="U23" s="44">
        <f t="shared" si="20"/>
        <v>0.55900000000000005</v>
      </c>
      <c r="V23" s="44">
        <f t="shared" si="20"/>
        <v>0.496</v>
      </c>
      <c r="W23" s="41">
        <f t="shared" si="20"/>
        <v>0.60309999999999997</v>
      </c>
      <c r="X23" s="41">
        <f t="shared" si="20"/>
        <v>0.60309999999999997</v>
      </c>
      <c r="Y23" s="42">
        <f t="shared" si="20"/>
        <v>0.68500000000000005</v>
      </c>
      <c r="Z23" s="42">
        <f t="shared" si="20"/>
        <v>0.68500000000000005</v>
      </c>
    </row>
    <row r="24" spans="1:26" x14ac:dyDescent="0.35">
      <c r="A24" s="34" t="s">
        <v>59</v>
      </c>
      <c r="B24" s="34" t="s">
        <v>87</v>
      </c>
      <c r="C24" s="36">
        <v>0.5</v>
      </c>
      <c r="D24" s="40">
        <f t="shared" si="1"/>
        <v>0.5</v>
      </c>
      <c r="E24" s="44">
        <f>1-+$D$24*E2</f>
        <v>0.67500000000000004</v>
      </c>
      <c r="F24" s="42">
        <f t="shared" ref="F24:Z24" si="21">1-+$D$24*F2</f>
        <v>0.8</v>
      </c>
      <c r="G24" s="42">
        <f t="shared" si="21"/>
        <v>0.875</v>
      </c>
      <c r="H24" s="42">
        <f t="shared" si="21"/>
        <v>0.9</v>
      </c>
      <c r="I24" s="45">
        <f t="shared" si="21"/>
        <v>0.77500000000000002</v>
      </c>
      <c r="J24" s="45">
        <f t="shared" si="21"/>
        <v>0.65</v>
      </c>
      <c r="K24" s="42">
        <f t="shared" si="21"/>
        <v>0.77</v>
      </c>
      <c r="L24" s="36">
        <f t="shared" si="21"/>
        <v>0.745</v>
      </c>
      <c r="M24" s="36">
        <f t="shared" si="21"/>
        <v>0.66500000000000004</v>
      </c>
      <c r="N24" s="36">
        <f t="shared" si="21"/>
        <v>0.7</v>
      </c>
      <c r="O24" s="36">
        <f t="shared" si="21"/>
        <v>0.78499999999999992</v>
      </c>
      <c r="P24" s="42">
        <f t="shared" si="21"/>
        <v>0.65500000000000003</v>
      </c>
      <c r="Q24" s="42">
        <f t="shared" si="21"/>
        <v>0.65500000000000003</v>
      </c>
      <c r="R24" s="42">
        <f t="shared" si="21"/>
        <v>0.56499999999999995</v>
      </c>
      <c r="S24" s="42">
        <f t="shared" si="21"/>
        <v>0.56499999999999995</v>
      </c>
      <c r="T24" s="42">
        <f t="shared" si="21"/>
        <v>0.57499999999999996</v>
      </c>
      <c r="U24" s="44">
        <f t="shared" si="21"/>
        <v>0.65</v>
      </c>
      <c r="V24" s="44">
        <f t="shared" si="21"/>
        <v>0.6</v>
      </c>
      <c r="W24" s="42">
        <f t="shared" si="21"/>
        <v>0.68500000000000005</v>
      </c>
      <c r="X24" s="42">
        <f t="shared" si="21"/>
        <v>0.68500000000000005</v>
      </c>
      <c r="Y24" s="41">
        <f t="shared" si="21"/>
        <v>0.75</v>
      </c>
      <c r="Z24" s="41">
        <f t="shared" si="21"/>
        <v>0.75</v>
      </c>
    </row>
    <row r="25" spans="1:26" x14ac:dyDescent="0.35">
      <c r="A25" s="34" t="s">
        <v>60</v>
      </c>
      <c r="B25" s="34" t="s">
        <v>88</v>
      </c>
      <c r="C25" s="36">
        <v>0.5</v>
      </c>
      <c r="D25" s="40">
        <f t="shared" si="1"/>
        <v>0.5</v>
      </c>
      <c r="E25" s="44">
        <f>1-+$D$25*E2</f>
        <v>0.67500000000000004</v>
      </c>
      <c r="F25" s="42">
        <f t="shared" ref="F25:Z25" si="22">1-+$D$25*F2</f>
        <v>0.8</v>
      </c>
      <c r="G25" s="42">
        <f t="shared" si="22"/>
        <v>0.875</v>
      </c>
      <c r="H25" s="42">
        <f t="shared" si="22"/>
        <v>0.9</v>
      </c>
      <c r="I25" s="45">
        <f t="shared" si="22"/>
        <v>0.77500000000000002</v>
      </c>
      <c r="J25" s="45">
        <f t="shared" si="22"/>
        <v>0.65</v>
      </c>
      <c r="K25" s="42">
        <f t="shared" si="22"/>
        <v>0.77</v>
      </c>
      <c r="L25" s="36">
        <f t="shared" si="22"/>
        <v>0.745</v>
      </c>
      <c r="M25" s="44">
        <f t="shared" si="22"/>
        <v>0.66500000000000004</v>
      </c>
      <c r="N25" s="36">
        <f t="shared" si="22"/>
        <v>0.7</v>
      </c>
      <c r="O25" s="44">
        <f t="shared" si="22"/>
        <v>0.78499999999999992</v>
      </c>
      <c r="P25" s="42">
        <f t="shared" si="22"/>
        <v>0.65500000000000003</v>
      </c>
      <c r="Q25" s="42">
        <f t="shared" si="22"/>
        <v>0.65500000000000003</v>
      </c>
      <c r="R25" s="42">
        <f t="shared" si="22"/>
        <v>0.56499999999999995</v>
      </c>
      <c r="S25" s="42">
        <f t="shared" si="22"/>
        <v>0.56499999999999995</v>
      </c>
      <c r="T25" s="42">
        <f t="shared" si="22"/>
        <v>0.57499999999999996</v>
      </c>
      <c r="U25" s="36">
        <f t="shared" si="22"/>
        <v>0.65</v>
      </c>
      <c r="V25" s="36">
        <f t="shared" si="22"/>
        <v>0.6</v>
      </c>
      <c r="W25" s="42">
        <f t="shared" si="22"/>
        <v>0.68500000000000005</v>
      </c>
      <c r="X25" s="42">
        <f t="shared" si="22"/>
        <v>0.68500000000000005</v>
      </c>
      <c r="Y25" s="41">
        <f t="shared" si="22"/>
        <v>0.75</v>
      </c>
      <c r="Z25" s="41">
        <f t="shared" si="22"/>
        <v>0.75</v>
      </c>
    </row>
    <row r="26" spans="1:26" x14ac:dyDescent="0.35">
      <c r="E26" s="37"/>
      <c r="F26" s="37"/>
      <c r="G26" s="37"/>
      <c r="H26" s="37"/>
      <c r="I26" s="37"/>
      <c r="J26" s="37"/>
      <c r="K26" s="37"/>
      <c r="L26" s="37"/>
      <c r="M26" s="37"/>
      <c r="N26" s="37"/>
      <c r="O26" s="37"/>
      <c r="P26" s="37"/>
      <c r="Q26" s="37"/>
      <c r="R26" s="37"/>
      <c r="S26" s="47"/>
    </row>
    <row r="27" spans="1:26" x14ac:dyDescent="0.35">
      <c r="E27" s="37"/>
      <c r="F27" s="37"/>
      <c r="G27" s="37"/>
      <c r="H27" s="37"/>
      <c r="I27" s="37"/>
      <c r="J27" s="37"/>
      <c r="K27" s="37"/>
      <c r="L27" s="37"/>
      <c r="M27" s="37"/>
      <c r="N27" s="37"/>
      <c r="O27" s="37"/>
      <c r="P27" s="37"/>
      <c r="Q27" s="37"/>
      <c r="R27" s="37"/>
      <c r="S27" s="37"/>
    </row>
    <row r="28" spans="1:26" x14ac:dyDescent="0.35">
      <c r="B28" s="34" t="s">
        <v>73</v>
      </c>
      <c r="E28" s="47"/>
      <c r="F28" s="47"/>
      <c r="G28" s="47"/>
      <c r="H28" s="47"/>
      <c r="I28" s="37"/>
      <c r="J28" s="37"/>
      <c r="K28" s="37"/>
      <c r="L28" s="37"/>
      <c r="M28" s="37"/>
      <c r="N28" s="37"/>
      <c r="O28" s="37"/>
      <c r="P28" s="37"/>
      <c r="Q28" s="37"/>
      <c r="R28" s="37"/>
      <c r="S28" s="37"/>
    </row>
    <row r="29" spans="1:26" x14ac:dyDescent="0.35">
      <c r="B29" s="34" t="s">
        <v>74</v>
      </c>
      <c r="C29" s="36" t="s">
        <v>75</v>
      </c>
      <c r="E29" s="37"/>
      <c r="F29" s="37"/>
      <c r="G29" s="37"/>
      <c r="H29" s="37"/>
      <c r="I29" s="37"/>
      <c r="J29" s="37"/>
      <c r="K29" s="37"/>
      <c r="L29" s="37"/>
      <c r="M29" s="37"/>
      <c r="N29" s="37"/>
      <c r="O29" s="37"/>
      <c r="P29" s="37"/>
      <c r="Q29" s="37"/>
      <c r="R29" s="37"/>
      <c r="S29" s="47"/>
    </row>
    <row r="30" spans="1:26" x14ac:dyDescent="0.35">
      <c r="B30" s="34" t="s">
        <v>76</v>
      </c>
      <c r="C30" s="36" t="s">
        <v>77</v>
      </c>
      <c r="E30" s="47"/>
      <c r="F30" s="47"/>
      <c r="G30" s="47"/>
      <c r="H30" s="47"/>
      <c r="I30" s="37"/>
      <c r="J30" s="37"/>
      <c r="K30" s="37"/>
      <c r="L30" s="37"/>
      <c r="M30" s="37"/>
      <c r="N30" s="37"/>
      <c r="O30" s="37"/>
      <c r="P30" s="37"/>
      <c r="Q30" s="37"/>
      <c r="R30" s="37"/>
      <c r="S30" s="47"/>
    </row>
    <row r="31" spans="1:26" x14ac:dyDescent="0.35">
      <c r="B31" s="34" t="s">
        <v>78</v>
      </c>
      <c r="C31" s="36" t="s">
        <v>79</v>
      </c>
      <c r="E31" s="47"/>
      <c r="F31" s="47"/>
      <c r="G31" s="47"/>
      <c r="H31" s="47"/>
      <c r="I31" s="37"/>
      <c r="J31" s="37"/>
      <c r="K31" s="37"/>
      <c r="L31" s="37"/>
      <c r="M31" s="37"/>
      <c r="N31" s="37"/>
      <c r="O31" s="37"/>
      <c r="P31" s="37"/>
      <c r="Q31" s="37"/>
      <c r="R31" s="37"/>
      <c r="S31" s="47"/>
    </row>
    <row r="32" spans="1:26" x14ac:dyDescent="0.35">
      <c r="B32" s="34" t="s">
        <v>131</v>
      </c>
      <c r="E32" s="37"/>
      <c r="F32" s="37"/>
      <c r="G32" s="37"/>
      <c r="H32" s="37"/>
      <c r="I32" s="37"/>
      <c r="J32" s="37"/>
      <c r="K32" s="37"/>
      <c r="L32" s="37"/>
      <c r="M32" s="37"/>
      <c r="N32" s="37"/>
      <c r="O32" s="37"/>
      <c r="P32" s="37"/>
      <c r="Q32" s="37"/>
      <c r="R32" s="37"/>
      <c r="S32" s="47"/>
    </row>
    <row r="33" spans="2:19" x14ac:dyDescent="0.35">
      <c r="B33" s="34" t="s">
        <v>202</v>
      </c>
      <c r="C33" s="36" t="s">
        <v>134</v>
      </c>
      <c r="E33" s="37"/>
      <c r="F33" s="37"/>
      <c r="G33" s="37"/>
      <c r="H33" s="37"/>
      <c r="I33" s="37"/>
      <c r="J33" s="37"/>
      <c r="K33" s="37"/>
      <c r="L33" s="37"/>
      <c r="M33" s="37"/>
      <c r="N33" s="37"/>
      <c r="O33" s="37"/>
      <c r="P33" s="37"/>
      <c r="Q33" s="37"/>
      <c r="R33" s="37"/>
      <c r="S33" s="47"/>
    </row>
    <row r="34" spans="2:19" x14ac:dyDescent="0.35">
      <c r="B34" s="34" t="s">
        <v>203</v>
      </c>
      <c r="E34" s="37"/>
      <c r="F34" s="37"/>
      <c r="G34" s="37"/>
      <c r="H34" s="37"/>
      <c r="I34" s="37"/>
      <c r="J34" s="37"/>
      <c r="K34" s="37"/>
      <c r="L34" s="37"/>
      <c r="M34" s="37"/>
      <c r="N34" s="37"/>
      <c r="O34" s="37"/>
      <c r="P34" s="37"/>
      <c r="Q34" s="37"/>
      <c r="R34" s="37"/>
      <c r="S34" s="47"/>
    </row>
    <row r="35" spans="2:19" x14ac:dyDescent="0.35">
      <c r="B35" s="34" t="s">
        <v>118</v>
      </c>
      <c r="C35" s="36" t="s">
        <v>135</v>
      </c>
      <c r="E35" s="37"/>
      <c r="F35" s="37"/>
      <c r="G35" s="37"/>
      <c r="H35" s="37"/>
      <c r="I35" s="37"/>
      <c r="J35" s="37"/>
      <c r="K35" s="37"/>
      <c r="L35" s="37"/>
      <c r="M35" s="37"/>
      <c r="N35" s="37"/>
      <c r="O35" s="37"/>
      <c r="P35" s="37"/>
      <c r="Q35" s="37"/>
      <c r="R35" s="37"/>
      <c r="S35" s="37"/>
    </row>
    <row r="36" spans="2:19" x14ac:dyDescent="0.35">
      <c r="B36" s="34" t="s">
        <v>119</v>
      </c>
      <c r="E36" s="47"/>
      <c r="F36" s="47"/>
      <c r="G36" s="47" t="e">
        <f>#REF!</f>
        <v>#REF!</v>
      </c>
      <c r="H36" s="47"/>
      <c r="I36" s="47"/>
      <c r="J36" s="47"/>
      <c r="K36" s="37"/>
      <c r="L36" s="37"/>
      <c r="M36" s="47"/>
      <c r="N36" s="47"/>
      <c r="O36" s="37"/>
      <c r="P36" s="37"/>
      <c r="Q36" s="37"/>
      <c r="R36" s="37"/>
      <c r="S36" s="37"/>
    </row>
    <row r="37" spans="2:19" x14ac:dyDescent="0.35">
      <c r="B37" s="34" t="s">
        <v>120</v>
      </c>
      <c r="C37" s="34" t="s">
        <v>131</v>
      </c>
      <c r="E37" s="37"/>
      <c r="F37" s="37"/>
      <c r="G37" s="47" t="e">
        <f>IF(#REF!="Alle lucht moet door de luchtwasser of biofilter. De combinatie met een stoffilter is daarom niet mogelijk.",CHEMISCHE WASSER NIET TOEGESTAAN,"CHEMISCHEWASSER")</f>
        <v>#REF!</v>
      </c>
      <c r="H37" s="37"/>
      <c r="I37" s="37"/>
      <c r="J37" s="37"/>
      <c r="K37" s="37"/>
      <c r="L37" s="37"/>
      <c r="M37" s="37"/>
      <c r="N37" s="37"/>
      <c r="O37" s="37"/>
      <c r="P37" s="37"/>
      <c r="Q37" s="37"/>
      <c r="R37" s="37"/>
      <c r="S37" s="37"/>
    </row>
    <row r="38" spans="2:19" x14ac:dyDescent="0.35">
      <c r="B38" s="34" t="s">
        <v>133</v>
      </c>
      <c r="C38" s="34" t="s">
        <v>133</v>
      </c>
      <c r="E38" s="37"/>
      <c r="F38" s="37"/>
      <c r="G38" s="147" t="s">
        <v>178</v>
      </c>
      <c r="H38" s="37"/>
      <c r="I38" s="37"/>
      <c r="J38" s="37"/>
      <c r="K38" s="37"/>
      <c r="L38" s="37"/>
      <c r="M38" s="37"/>
      <c r="N38" s="37"/>
      <c r="O38" s="37"/>
      <c r="P38" s="37"/>
      <c r="Q38" s="37"/>
      <c r="R38" s="37"/>
      <c r="S38" s="37"/>
    </row>
    <row r="39" spans="2:19" x14ac:dyDescent="0.35">
      <c r="B39" s="34" t="s">
        <v>121</v>
      </c>
      <c r="C39" s="34" t="s">
        <v>121</v>
      </c>
      <c r="E39" s="37"/>
      <c r="F39" s="37"/>
      <c r="G39" s="37"/>
      <c r="H39" s="37"/>
      <c r="I39" s="37"/>
      <c r="J39" s="37"/>
      <c r="K39" s="37"/>
      <c r="L39" s="37"/>
      <c r="M39" s="37"/>
      <c r="N39" s="37"/>
      <c r="O39" s="37"/>
      <c r="P39" s="37"/>
      <c r="Q39" s="37"/>
      <c r="R39" s="37"/>
      <c r="S39" s="37"/>
    </row>
    <row r="40" spans="2:19" x14ac:dyDescent="0.35">
      <c r="B40" s="34" t="s">
        <v>122</v>
      </c>
      <c r="C40" s="34" t="s">
        <v>122</v>
      </c>
      <c r="E40" s="37"/>
      <c r="F40" s="37"/>
      <c r="G40" s="37"/>
      <c r="H40" s="37"/>
      <c r="I40" s="37"/>
      <c r="J40" s="37"/>
      <c r="K40" s="37"/>
      <c r="L40" s="37"/>
      <c r="M40" s="37"/>
      <c r="N40" s="37"/>
      <c r="O40" s="37"/>
      <c r="P40" s="37"/>
      <c r="Q40" s="37"/>
      <c r="R40" s="37"/>
      <c r="S40" s="37"/>
    </row>
    <row r="41" spans="2:19" x14ac:dyDescent="0.35">
      <c r="B41" s="34" t="s">
        <v>179</v>
      </c>
      <c r="E41" s="37"/>
      <c r="F41" s="37"/>
      <c r="G41" s="37"/>
      <c r="H41" s="37"/>
      <c r="I41" s="37"/>
      <c r="J41" s="37"/>
      <c r="K41" s="37"/>
      <c r="L41" s="37"/>
      <c r="M41" s="37"/>
      <c r="N41" s="37"/>
      <c r="O41" s="37"/>
      <c r="P41" s="37"/>
      <c r="Q41" s="37"/>
      <c r="R41" s="37"/>
      <c r="S41" s="37"/>
    </row>
    <row r="42" spans="2:19" x14ac:dyDescent="0.35">
      <c r="B42" s="34" t="s">
        <v>124</v>
      </c>
      <c r="C42" s="36" t="s">
        <v>134</v>
      </c>
    </row>
    <row r="43" spans="2:19" x14ac:dyDescent="0.35">
      <c r="B43" s="34" t="s">
        <v>123</v>
      </c>
      <c r="C43" s="36" t="s">
        <v>137</v>
      </c>
    </row>
    <row r="44" spans="2:19" x14ac:dyDescent="0.35">
      <c r="B44" s="34" t="s">
        <v>125</v>
      </c>
      <c r="C44" s="36" t="s">
        <v>138</v>
      </c>
    </row>
    <row r="45" spans="2:19" x14ac:dyDescent="0.35">
      <c r="B45" s="34" t="s">
        <v>126</v>
      </c>
      <c r="C45" s="36" t="s">
        <v>139</v>
      </c>
    </row>
    <row r="46" spans="2:19" x14ac:dyDescent="0.35">
      <c r="B46" s="34" t="s">
        <v>127</v>
      </c>
    </row>
    <row r="47" spans="2:19" x14ac:dyDescent="0.35">
      <c r="B47" s="34" t="s">
        <v>128</v>
      </c>
    </row>
    <row r="49" spans="2:5" x14ac:dyDescent="0.35">
      <c r="B49" s="34" t="s">
        <v>140</v>
      </c>
    </row>
    <row r="50" spans="2:5" x14ac:dyDescent="0.35">
      <c r="B50" s="34" t="s">
        <v>141</v>
      </c>
    </row>
    <row r="52" spans="2:5" x14ac:dyDescent="0.35">
      <c r="B52" s="34" t="s">
        <v>116</v>
      </c>
      <c r="C52" s="36" t="s">
        <v>116</v>
      </c>
      <c r="E52" s="34" t="e">
        <f>#REF!</f>
        <v>#REF!</v>
      </c>
    </row>
    <row r="53" spans="2:5" x14ac:dyDescent="0.35">
      <c r="B53" s="34" t="s">
        <v>117</v>
      </c>
      <c r="C53" s="36" t="s">
        <v>117</v>
      </c>
    </row>
    <row r="54" spans="2:5" x14ac:dyDescent="0.35">
      <c r="C54" s="36" t="e">
        <f>IF(#REF!="geen techniek","GEEN TECHNIEK","JA")</f>
        <v>#REF!</v>
      </c>
    </row>
    <row r="55" spans="2:5" x14ac:dyDescent="0.35">
      <c r="C55" s="36" t="s">
        <v>117</v>
      </c>
    </row>
    <row r="56" spans="2:5" x14ac:dyDescent="0.35">
      <c r="C56" s="34" t="s">
        <v>206</v>
      </c>
    </row>
    <row r="57" spans="2:5" x14ac:dyDescent="0.35">
      <c r="C57" s="34" t="s">
        <v>207</v>
      </c>
    </row>
    <row r="58" spans="2:5" x14ac:dyDescent="0.35">
      <c r="C58" s="34" t="s">
        <v>208</v>
      </c>
    </row>
  </sheetData>
  <sheetProtection algorithmName="SHA-512" hashValue="R98tWiRoZG8qMQNrbKlbxB66D/tWIzGTiCY8ZrEL/7CzVFej0HYANOFlHO6vphVbsIxo57kCq0ZcBQNF/xEVKA==" saltValue="WZ4VG6HawKj91Y2SS/hvSA==" spinCount="100000" sheet="1" objects="1" scenarios="1"/>
  <pageMargins left="0.75" right="0.75" top="1" bottom="1" header="0.5" footer="0.5"/>
  <pageSetup paperSize="9" orientation="portrait" horizontalDpi="4294967292" verticalDpi="4294967292" r:id="rId1"/>
</worksheet>
</file>

<file path=docMetadata/LabelInfo.xml><?xml version="1.0" encoding="utf-8"?>
<clbl:labelList xmlns:clbl="http://schemas.microsoft.com/office/2020/mipLabelMetadata">
  <clbl:label id="{37276b06-72c2-4081-996b-9af57fe26b63}" enabled="1" method="Standard" siteId="{ac843cea-7a2b-4dc6-9f37-919c3e210fed}"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5</vt:i4>
      </vt:variant>
      <vt:variant>
        <vt:lpstr>Benoemde bereiken</vt:lpstr>
      </vt:variant>
      <vt:variant>
        <vt:i4>2</vt:i4>
      </vt:variant>
    </vt:vector>
  </HeadingPairs>
  <TitlesOfParts>
    <vt:vector size="7" baseType="lpstr">
      <vt:lpstr>OPFOKLEGHEN</vt:lpstr>
      <vt:lpstr>Staltechniek</vt:lpstr>
      <vt:lpstr>opfok WW+droogt</vt:lpstr>
      <vt:lpstr>Max waarden</vt:lpstr>
      <vt:lpstr>Reductietechnieken</vt:lpstr>
      <vt:lpstr>OPFOKLEGHEN!Afdrukbereik</vt:lpstr>
      <vt:lpstr>StalTechDropdown</vt:lpstr>
    </vt:vector>
  </TitlesOfParts>
  <Company>Wageningen UR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Rick van Emous</dc:creator>
  <cp:lastModifiedBy>Vierhuis, Esther (RWS WVL)</cp:lastModifiedBy>
  <cp:lastPrinted>2026-06-02T14:32:08Z</cp:lastPrinted>
  <dcterms:created xsi:type="dcterms:W3CDTF">2010-11-01T16:40:05Z</dcterms:created>
  <dcterms:modified xsi:type="dcterms:W3CDTF">2026-06-29T15:03:51Z</dcterms:modified>
</cp:coreProperties>
</file>