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ageningenur4-my.sharepoint.com/personal/hassan_pishgarkomleh_wur_nl/Documents/75- LVVN Izak model/Models 2026/"/>
    </mc:Choice>
  </mc:AlternateContent>
  <xr:revisionPtr revIDLastSave="358" documentId="13_ncr:1_{D92898CB-C609-4001-B1AD-96E6128547C5}" xr6:coauthVersionLast="47" xr6:coauthVersionMax="47" xr10:uidLastSave="{26FCF770-4768-42C9-B2A6-31BDB2909468}"/>
  <bookViews>
    <workbookView xWindow="28680" yWindow="855" windowWidth="29040" windowHeight="15720" tabRatio="632" xr2:uid="{00000000-000D-0000-FFFF-FFFF00000000}"/>
  </bookViews>
  <sheets>
    <sheet name="OPFOK OUDERDIEREN" sheetId="18" r:id="rId1"/>
    <sheet name="Staltechniek" sheetId="20" state="hidden" r:id="rId2"/>
    <sheet name="wisselend debiet_opfok" sheetId="19" state="hidden" r:id="rId3"/>
    <sheet name="Max waarden" sheetId="15" state="hidden" r:id="rId4"/>
    <sheet name="Reductietechnieken" sheetId="14" state="hidden" r:id="rId5"/>
  </sheets>
  <definedNames>
    <definedName name="_xleta.TIME" hidden="1" xlm="1">#NAME?</definedName>
    <definedName name="_xlnm.Print_Area" localSheetId="0">'OPFOK OUDERDIEREN'!$A$1:$Q$34</definedName>
    <definedName name="_xlnm.Print_Titles" localSheetId="2">'wisselend debiet_opfok'!$A:$A</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4" i="18" l="1"/>
  <c r="F20" i="18"/>
  <c r="M21" i="18" l="1"/>
  <c r="E23" i="18"/>
  <c r="M7" i="19"/>
  <c r="M6" i="19" l="1"/>
  <c r="L19" i="18" l="1"/>
  <c r="E59" i="19" l="1"/>
  <c r="E60" i="19"/>
  <c r="L60" i="19"/>
  <c r="E61" i="19"/>
  <c r="L61" i="19"/>
  <c r="E62" i="19"/>
  <c r="E63" i="19"/>
  <c r="L63" i="19" s="1"/>
  <c r="E64" i="19"/>
  <c r="L64" i="19"/>
  <c r="E65" i="19"/>
  <c r="L65" i="19" s="1"/>
  <c r="E66" i="19"/>
  <c r="E67" i="19"/>
  <c r="L67" i="19"/>
  <c r="E68" i="19"/>
  <c r="L68" i="19"/>
  <c r="E69" i="19"/>
  <c r="L69" i="19"/>
  <c r="E70" i="19"/>
  <c r="E71" i="19"/>
  <c r="L71" i="19"/>
  <c r="E72" i="19"/>
  <c r="L72" i="19" s="1"/>
  <c r="E73" i="19"/>
  <c r="L73" i="19"/>
  <c r="E74" i="19"/>
  <c r="E75" i="19"/>
  <c r="L75" i="19"/>
  <c r="E76" i="19"/>
  <c r="L76" i="19"/>
  <c r="E77" i="19"/>
  <c r="E78" i="19"/>
  <c r="E79" i="19"/>
  <c r="L79" i="19"/>
  <c r="E80" i="19"/>
  <c r="L80" i="19"/>
  <c r="E81" i="19"/>
  <c r="L81" i="19"/>
  <c r="E82" i="19"/>
  <c r="L82" i="19"/>
  <c r="E83" i="19"/>
  <c r="E84" i="19"/>
  <c r="L84" i="19" s="1"/>
  <c r="E85" i="19"/>
  <c r="L85" i="19"/>
  <c r="E86" i="19"/>
  <c r="L86" i="19" s="1"/>
  <c r="E87" i="19"/>
  <c r="E88" i="19"/>
  <c r="L88" i="19"/>
  <c r="E89" i="19"/>
  <c r="E90" i="19"/>
  <c r="L90" i="19"/>
  <c r="E91" i="19"/>
  <c r="E92" i="19"/>
  <c r="L92" i="19"/>
  <c r="E93" i="19"/>
  <c r="E94" i="19"/>
  <c r="L94" i="19" s="1"/>
  <c r="E95" i="19"/>
  <c r="E96" i="19"/>
  <c r="L96" i="19"/>
  <c r="E97" i="19"/>
  <c r="L97" i="19"/>
  <c r="E98" i="19"/>
  <c r="L98" i="19"/>
  <c r="E99" i="19"/>
  <c r="E100" i="19"/>
  <c r="L100" i="19"/>
  <c r="E101" i="19"/>
  <c r="L101" i="19" s="1"/>
  <c r="E102" i="19"/>
  <c r="L102" i="19"/>
  <c r="E103" i="19"/>
  <c r="E104" i="19"/>
  <c r="L104" i="19"/>
  <c r="E105" i="19"/>
  <c r="L105" i="19"/>
  <c r="E106" i="19"/>
  <c r="L106" i="19"/>
  <c r="E107" i="19"/>
  <c r="E108" i="19"/>
  <c r="L108" i="19" s="1"/>
  <c r="E109" i="19"/>
  <c r="L109" i="19"/>
  <c r="E110" i="19"/>
  <c r="E111" i="19"/>
  <c r="E112" i="19"/>
  <c r="L112" i="19"/>
  <c r="E113" i="19"/>
  <c r="L113" i="19" s="1"/>
  <c r="E114" i="19"/>
  <c r="L114" i="19"/>
  <c r="E115" i="19"/>
  <c r="E116" i="19"/>
  <c r="L116" i="19"/>
  <c r="E117" i="19"/>
  <c r="L117" i="19"/>
  <c r="E118" i="19"/>
  <c r="L118" i="19"/>
  <c r="E119" i="19"/>
  <c r="E120" i="19"/>
  <c r="L120" i="19" s="1"/>
  <c r="E121" i="19"/>
  <c r="L121" i="19"/>
  <c r="E122" i="19"/>
  <c r="L122" i="19" s="1"/>
  <c r="E123" i="19"/>
  <c r="E124" i="19"/>
  <c r="L124" i="19"/>
  <c r="E125" i="19"/>
  <c r="L125" i="19"/>
  <c r="E126" i="19"/>
  <c r="L126" i="19"/>
  <c r="E127" i="19"/>
  <c r="L127" i="19"/>
  <c r="E128" i="19"/>
  <c r="E129" i="19"/>
  <c r="L129" i="19" s="1"/>
  <c r="E130" i="19"/>
  <c r="L130" i="19"/>
  <c r="E131" i="19"/>
  <c r="L131" i="19" s="1"/>
  <c r="E132" i="19"/>
  <c r="E133" i="19"/>
  <c r="L133" i="19"/>
  <c r="E134" i="19"/>
  <c r="L134" i="19"/>
  <c r="E135" i="19"/>
  <c r="L135" i="19"/>
  <c r="E136" i="19"/>
  <c r="E137" i="19"/>
  <c r="L137" i="19"/>
  <c r="E138" i="19"/>
  <c r="L138" i="19" s="1"/>
  <c r="E139" i="19"/>
  <c r="L139" i="19"/>
  <c r="E140" i="19"/>
  <c r="E141" i="19"/>
  <c r="L141" i="19"/>
  <c r="E142" i="19"/>
  <c r="E143" i="19"/>
  <c r="L143" i="19" s="1"/>
  <c r="E144" i="19"/>
  <c r="E145" i="19"/>
  <c r="L145" i="19"/>
  <c r="E146" i="19"/>
  <c r="L146" i="19"/>
  <c r="E147" i="19"/>
  <c r="L147" i="19"/>
  <c r="E148" i="19"/>
  <c r="E149" i="19"/>
  <c r="L149" i="19"/>
  <c r="L78" i="19" l="1"/>
  <c r="L119" i="19"/>
  <c r="L136" i="19"/>
  <c r="L132" i="19"/>
  <c r="L128" i="19"/>
  <c r="L144" i="19"/>
  <c r="L140" i="19"/>
  <c r="L110" i="19"/>
  <c r="L142" i="19"/>
  <c r="L148" i="19"/>
  <c r="L123" i="19"/>
  <c r="L115" i="19"/>
  <c r="L99" i="19"/>
  <c r="L111" i="19"/>
  <c r="L107" i="19"/>
  <c r="L103" i="19"/>
  <c r="L95" i="19"/>
  <c r="L87" i="19"/>
  <c r="L91" i="19"/>
  <c r="L83" i="19"/>
  <c r="L93" i="19"/>
  <c r="L89" i="19"/>
  <c r="L77" i="19"/>
  <c r="L74" i="19"/>
  <c r="L70" i="19"/>
  <c r="L66" i="19"/>
  <c r="L62" i="19"/>
  <c r="L59" i="19"/>
  <c r="J25" i="18" l="1"/>
  <c r="E11" i="19" l="1"/>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E51" i="19"/>
  <c r="E52" i="19"/>
  <c r="E53" i="19"/>
  <c r="E54" i="19"/>
  <c r="E55" i="19"/>
  <c r="E56" i="19"/>
  <c r="E57" i="19"/>
  <c r="E58" i="19"/>
  <c r="E10" i="19"/>
  <c r="I35" i="15" l="1"/>
  <c r="G35" i="15"/>
  <c r="E35" i="15"/>
  <c r="C35" i="15"/>
  <c r="L57" i="19" l="1"/>
  <c r="L53" i="19"/>
  <c r="L49" i="19"/>
  <c r="L45" i="19"/>
  <c r="L41" i="19"/>
  <c r="L37" i="19"/>
  <c r="L33" i="19"/>
  <c r="L29" i="19"/>
  <c r="L25" i="19"/>
  <c r="L21" i="19"/>
  <c r="L17" i="19"/>
  <c r="L13" i="19"/>
  <c r="L56" i="19"/>
  <c r="L52" i="19"/>
  <c r="L48" i="19"/>
  <c r="L44" i="19"/>
  <c r="L40" i="19"/>
  <c r="L36" i="19"/>
  <c r="L32" i="19"/>
  <c r="L28" i="19"/>
  <c r="L24" i="19"/>
  <c r="L20" i="19"/>
  <c r="L16" i="19"/>
  <c r="L12" i="19"/>
  <c r="L10" i="19"/>
  <c r="L55" i="19"/>
  <c r="L51" i="19"/>
  <c r="L47" i="19"/>
  <c r="L43" i="19"/>
  <c r="L39" i="19"/>
  <c r="L35" i="19"/>
  <c r="L31" i="19"/>
  <c r="L27" i="19"/>
  <c r="L23" i="19"/>
  <c r="L19" i="19"/>
  <c r="L15" i="19"/>
  <c r="L11" i="19"/>
  <c r="L58" i="19"/>
  <c r="L54" i="19"/>
  <c r="L50" i="19"/>
  <c r="L46" i="19"/>
  <c r="L42" i="19"/>
  <c r="L38" i="19"/>
  <c r="L34" i="19"/>
  <c r="L30" i="19"/>
  <c r="L26" i="19"/>
  <c r="L22" i="19"/>
  <c r="L18" i="19"/>
  <c r="L14" i="19"/>
  <c r="L154" i="19" l="1"/>
  <c r="I15" i="18" l="1"/>
  <c r="I12" i="18" l="1"/>
  <c r="C54" i="14" l="1"/>
  <c r="E154" i="19" l="1"/>
  <c r="E152" i="19"/>
  <c r="AA24" i="19"/>
  <c r="AA23" i="19"/>
  <c r="AF18" i="19"/>
  <c r="AF19" i="19" s="1"/>
  <c r="AF21" i="19" s="1"/>
  <c r="AE18" i="19"/>
  <c r="AE19" i="19" s="1"/>
  <c r="AE21" i="19" s="1"/>
  <c r="AD18" i="19"/>
  <c r="AD19" i="19" s="1"/>
  <c r="AD21" i="19" s="1"/>
  <c r="AC18" i="19"/>
  <c r="AC19" i="19" s="1"/>
  <c r="AC21" i="19" s="1"/>
  <c r="AF12" i="19"/>
  <c r="AE12" i="19"/>
  <c r="AD12" i="19"/>
  <c r="AC12" i="19"/>
  <c r="AF10" i="19"/>
  <c r="AE10" i="19"/>
  <c r="AD10" i="19"/>
  <c r="AC10" i="19"/>
  <c r="J3" i="19"/>
  <c r="AC13" i="19" l="1"/>
  <c r="AC14" i="19" s="1"/>
  <c r="AD13" i="19" l="1"/>
  <c r="AD14" i="19" s="1"/>
  <c r="O167" i="19" l="1"/>
  <c r="AC22" i="19"/>
  <c r="AC23" i="19" s="1"/>
  <c r="AC24" i="19" s="1"/>
  <c r="AD22" i="19"/>
  <c r="AD23" i="19" s="1"/>
  <c r="AD24" i="19" s="1"/>
  <c r="D33" i="18" l="1"/>
  <c r="E20" i="18"/>
  <c r="E6" i="18"/>
  <c r="H19" i="18" l="1"/>
  <c r="M19" i="18" l="1"/>
  <c r="M16" i="18" l="1"/>
  <c r="G16" i="18"/>
  <c r="H14" i="18"/>
  <c r="J14" i="18"/>
  <c r="L11" i="18" s="1"/>
  <c r="D25" i="14" l="1"/>
  <c r="D24" i="14"/>
  <c r="D23" i="14"/>
  <c r="D22" i="14"/>
  <c r="D21" i="14"/>
  <c r="D20" i="14"/>
  <c r="D19" i="14"/>
  <c r="D18" i="14"/>
  <c r="S2" i="14" s="1"/>
  <c r="D17" i="14"/>
  <c r="D16" i="14"/>
  <c r="Q2" i="14" s="1"/>
  <c r="D15" i="14"/>
  <c r="P2" i="14" s="1"/>
  <c r="D14" i="14"/>
  <c r="O2" i="14" s="1"/>
  <c r="D13" i="14"/>
  <c r="D12" i="14"/>
  <c r="D11" i="14"/>
  <c r="D10" i="14"/>
  <c r="D9" i="14"/>
  <c r="D8" i="14"/>
  <c r="I2" i="14" s="1"/>
  <c r="D6" i="14"/>
  <c r="D5" i="14"/>
  <c r="G2" i="14" s="1"/>
  <c r="D4" i="14"/>
  <c r="D3" i="14"/>
  <c r="Q3" i="14" s="1"/>
  <c r="U2" i="14"/>
  <c r="U20" i="14" s="1"/>
  <c r="J2" i="14"/>
  <c r="F2" i="14"/>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H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H20" i="14"/>
  <c r="P20" i="14"/>
  <c r="P24" i="14"/>
  <c r="E17" i="14" l="1"/>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D32" i="18" l="1"/>
  <c r="R5" i="19"/>
  <c r="M10" i="19" s="1"/>
  <c r="J11" i="18"/>
  <c r="I17" i="18" s="1"/>
  <c r="M84" i="19" l="1"/>
  <c r="M148" i="19"/>
  <c r="M20" i="19"/>
  <c r="X20" i="19" s="1"/>
  <c r="M138" i="19"/>
  <c r="M74" i="19"/>
  <c r="M145" i="19"/>
  <c r="M81" i="19"/>
  <c r="M17" i="19"/>
  <c r="X17" i="19" s="1"/>
  <c r="M39" i="19"/>
  <c r="X39" i="19" s="1"/>
  <c r="M102" i="19"/>
  <c r="M38" i="19"/>
  <c r="X38" i="19" s="1"/>
  <c r="M96" i="19"/>
  <c r="M32" i="19"/>
  <c r="X32" i="19" s="1"/>
  <c r="M47" i="19"/>
  <c r="X47" i="19" s="1"/>
  <c r="M109" i="19"/>
  <c r="M45" i="19"/>
  <c r="X45" i="19" s="1"/>
  <c r="M12" i="19"/>
  <c r="X12" i="19" s="1"/>
  <c r="M43" i="19"/>
  <c r="X43" i="19" s="1"/>
  <c r="M25" i="19"/>
  <c r="X25" i="19" s="1"/>
  <c r="M104" i="19"/>
  <c r="M132" i="19"/>
  <c r="M100" i="19"/>
  <c r="M147" i="19"/>
  <c r="M130" i="19"/>
  <c r="M66" i="19"/>
  <c r="M137" i="19"/>
  <c r="M73" i="19"/>
  <c r="M71" i="19"/>
  <c r="M23" i="19"/>
  <c r="X23" i="19" s="1"/>
  <c r="M94" i="19"/>
  <c r="M30" i="19"/>
  <c r="X30" i="19" s="1"/>
  <c r="M88" i="19"/>
  <c r="M24" i="19"/>
  <c r="X24" i="19" s="1"/>
  <c r="M31" i="19"/>
  <c r="X31" i="19" s="1"/>
  <c r="M101" i="19"/>
  <c r="M37" i="19"/>
  <c r="X37" i="19" s="1"/>
  <c r="M131" i="19"/>
  <c r="M35" i="19"/>
  <c r="X35" i="19" s="1"/>
  <c r="M18" i="19"/>
  <c r="X18" i="19" s="1"/>
  <c r="M40" i="19"/>
  <c r="X40" i="19" s="1"/>
  <c r="M124" i="19"/>
  <c r="M92" i="19"/>
  <c r="M139" i="19"/>
  <c r="M122" i="19"/>
  <c r="M58" i="19"/>
  <c r="M129" i="19"/>
  <c r="M65" i="19"/>
  <c r="M143" i="19"/>
  <c r="M86" i="19"/>
  <c r="M22" i="19"/>
  <c r="X22" i="19" s="1"/>
  <c r="M80" i="19"/>
  <c r="M16" i="19"/>
  <c r="X16" i="19" s="1"/>
  <c r="M15" i="19"/>
  <c r="X15" i="19" s="1"/>
  <c r="M93" i="19"/>
  <c r="M29" i="19"/>
  <c r="X29" i="19" s="1"/>
  <c r="M115" i="19"/>
  <c r="M27" i="19"/>
  <c r="X27" i="19" s="1"/>
  <c r="M89" i="19"/>
  <c r="M63" i="19"/>
  <c r="M144" i="19"/>
  <c r="M140" i="19"/>
  <c r="M123" i="19"/>
  <c r="M114" i="19"/>
  <c r="M50" i="19"/>
  <c r="X50" i="19" s="1"/>
  <c r="M121" i="19"/>
  <c r="M57" i="19"/>
  <c r="M127" i="19"/>
  <c r="M142" i="19"/>
  <c r="M78" i="19"/>
  <c r="M14" i="19"/>
  <c r="X14" i="19" s="1"/>
  <c r="M72" i="19"/>
  <c r="M135" i="19"/>
  <c r="M149" i="19"/>
  <c r="M85" i="19"/>
  <c r="M21" i="19"/>
  <c r="X21" i="19" s="1"/>
  <c r="M107" i="19"/>
  <c r="M19" i="19"/>
  <c r="X19" i="19" s="1"/>
  <c r="M146" i="19"/>
  <c r="M53" i="19"/>
  <c r="M116" i="19"/>
  <c r="M76" i="19"/>
  <c r="M99" i="19"/>
  <c r="M106" i="19"/>
  <c r="M42" i="19"/>
  <c r="X42" i="19" s="1"/>
  <c r="M113" i="19"/>
  <c r="M49" i="19"/>
  <c r="X49" i="19" s="1"/>
  <c r="M111" i="19"/>
  <c r="M134" i="19"/>
  <c r="M70" i="19"/>
  <c r="M128" i="19"/>
  <c r="M64" i="19"/>
  <c r="M119" i="19"/>
  <c r="M141" i="19"/>
  <c r="M77" i="19"/>
  <c r="M13" i="19"/>
  <c r="X13" i="19" s="1"/>
  <c r="M91" i="19"/>
  <c r="M82" i="19"/>
  <c r="M46" i="19"/>
  <c r="X46" i="19" s="1"/>
  <c r="M51" i="19"/>
  <c r="X51" i="19" s="1"/>
  <c r="M136" i="19"/>
  <c r="M60" i="19"/>
  <c r="M83" i="19"/>
  <c r="M98" i="19"/>
  <c r="M34" i="19"/>
  <c r="X34" i="19" s="1"/>
  <c r="M105" i="19"/>
  <c r="M41" i="19"/>
  <c r="X41" i="19" s="1"/>
  <c r="M95" i="19"/>
  <c r="M126" i="19"/>
  <c r="M62" i="19"/>
  <c r="M120" i="19"/>
  <c r="M56" i="19"/>
  <c r="M103" i="19"/>
  <c r="M133" i="19"/>
  <c r="M69" i="19"/>
  <c r="M68" i="19"/>
  <c r="M75" i="19"/>
  <c r="M28" i="19"/>
  <c r="X28" i="19" s="1"/>
  <c r="M55" i="19"/>
  <c r="M117" i="19"/>
  <c r="M11" i="19"/>
  <c r="X11" i="19" s="1"/>
  <c r="M44" i="19"/>
  <c r="X44" i="19" s="1"/>
  <c r="M67" i="19"/>
  <c r="M90" i="19"/>
  <c r="M26" i="19"/>
  <c r="X26" i="19" s="1"/>
  <c r="M97" i="19"/>
  <c r="M33" i="19"/>
  <c r="X33" i="19" s="1"/>
  <c r="M79" i="19"/>
  <c r="M118" i="19"/>
  <c r="M54" i="19"/>
  <c r="M112" i="19"/>
  <c r="M48" i="19"/>
  <c r="X48" i="19" s="1"/>
  <c r="M87" i="19"/>
  <c r="M125" i="19"/>
  <c r="M61" i="19"/>
  <c r="M52" i="19"/>
  <c r="M59" i="19"/>
  <c r="M108" i="19"/>
  <c r="M110" i="19"/>
  <c r="M36" i="19"/>
  <c r="X36" i="19" s="1"/>
  <c r="H149" i="19"/>
  <c r="R4" i="19"/>
  <c r="P153" i="19"/>
  <c r="H10" i="18"/>
  <c r="H11" i="18" s="1"/>
  <c r="R7" i="19"/>
  <c r="F16" i="18"/>
  <c r="F21" i="18"/>
  <c r="G60" i="19" l="1"/>
  <c r="H60" i="19" s="1"/>
  <c r="G81" i="19"/>
  <c r="H81" i="19" s="1"/>
  <c r="G88" i="19"/>
  <c r="H88" i="19" s="1"/>
  <c r="G89" i="19"/>
  <c r="H89" i="19" s="1"/>
  <c r="G92" i="19"/>
  <c r="H92" i="19" s="1"/>
  <c r="G126" i="19"/>
  <c r="H126" i="19" s="1"/>
  <c r="G129" i="19"/>
  <c r="H129" i="19" s="1"/>
  <c r="G130" i="19"/>
  <c r="H130" i="19" s="1"/>
  <c r="G134" i="19"/>
  <c r="H134" i="19" s="1"/>
  <c r="G137" i="19"/>
  <c r="H137" i="19" s="1"/>
  <c r="G140" i="19"/>
  <c r="H140" i="19" s="1"/>
  <c r="G141" i="19"/>
  <c r="H141" i="19" s="1"/>
  <c r="G64" i="19"/>
  <c r="H64" i="19" s="1"/>
  <c r="G84" i="19"/>
  <c r="H84" i="19" s="1"/>
  <c r="G101" i="19"/>
  <c r="H101" i="19" s="1"/>
  <c r="G109" i="19"/>
  <c r="H109" i="19" s="1"/>
  <c r="G116" i="19"/>
  <c r="H116" i="19" s="1"/>
  <c r="G124" i="19"/>
  <c r="H124" i="19" s="1"/>
  <c r="G79" i="19"/>
  <c r="H79" i="19" s="1"/>
  <c r="G80" i="19"/>
  <c r="H80" i="19" s="1"/>
  <c r="G85" i="19"/>
  <c r="H85" i="19" s="1"/>
  <c r="G93" i="19"/>
  <c r="H93" i="19" s="1"/>
  <c r="G96" i="19"/>
  <c r="H96" i="19" s="1"/>
  <c r="G97" i="19"/>
  <c r="H97" i="19" s="1"/>
  <c r="G104" i="19"/>
  <c r="H104" i="19" s="1"/>
  <c r="G105" i="19"/>
  <c r="H105" i="19" s="1"/>
  <c r="G112" i="19"/>
  <c r="H112" i="19" s="1"/>
  <c r="G113" i="19"/>
  <c r="H113" i="19" s="1"/>
  <c r="G120" i="19"/>
  <c r="H120" i="19" s="1"/>
  <c r="G121" i="19"/>
  <c r="H121" i="19" s="1"/>
  <c r="G138" i="19"/>
  <c r="H138" i="19" s="1"/>
  <c r="G144" i="19"/>
  <c r="H144" i="19" s="1"/>
  <c r="G145" i="19"/>
  <c r="H145" i="19" s="1"/>
  <c r="G100" i="19"/>
  <c r="H100" i="19" s="1"/>
  <c r="G108" i="19"/>
  <c r="H108" i="19" s="1"/>
  <c r="G133" i="19"/>
  <c r="H133" i="19" s="1"/>
  <c r="G63" i="19"/>
  <c r="H63" i="19" s="1"/>
  <c r="G67" i="19"/>
  <c r="H67" i="19" s="1"/>
  <c r="G71" i="19"/>
  <c r="H71" i="19" s="1"/>
  <c r="G75" i="19"/>
  <c r="H75" i="19" s="1"/>
  <c r="G148" i="19"/>
  <c r="H148" i="19" s="1"/>
  <c r="G149" i="19"/>
  <c r="G68" i="19"/>
  <c r="H68" i="19" s="1"/>
  <c r="G72" i="19"/>
  <c r="H72" i="19" s="1"/>
  <c r="G76" i="19"/>
  <c r="H76" i="19" s="1"/>
  <c r="G95" i="19"/>
  <c r="H95" i="19" s="1"/>
  <c r="G117" i="19"/>
  <c r="H117" i="19" s="1"/>
  <c r="G125" i="19"/>
  <c r="H125" i="19" s="1"/>
  <c r="G106" i="19"/>
  <c r="H106" i="19" s="1"/>
  <c r="G94" i="19"/>
  <c r="H94" i="19" s="1"/>
  <c r="G119" i="19"/>
  <c r="H119" i="19" s="1"/>
  <c r="G142" i="19"/>
  <c r="H142" i="19" s="1"/>
  <c r="G147" i="19"/>
  <c r="H147" i="19" s="1"/>
  <c r="G139" i="19"/>
  <c r="H139" i="19" s="1"/>
  <c r="G115" i="19"/>
  <c r="H115" i="19" s="1"/>
  <c r="G122" i="19"/>
  <c r="H122" i="19" s="1"/>
  <c r="G98" i="19"/>
  <c r="H98" i="19" s="1"/>
  <c r="G91" i="19"/>
  <c r="H91" i="19" s="1"/>
  <c r="G83" i="19"/>
  <c r="H83" i="19" s="1"/>
  <c r="G131" i="19"/>
  <c r="H131" i="19" s="1"/>
  <c r="G73" i="19"/>
  <c r="H73" i="19" s="1"/>
  <c r="G65" i="19"/>
  <c r="H65" i="19" s="1"/>
  <c r="G146" i="19"/>
  <c r="H146" i="19" s="1"/>
  <c r="G102" i="19"/>
  <c r="H102" i="19" s="1"/>
  <c r="G87" i="19"/>
  <c r="H87" i="19" s="1"/>
  <c r="G74" i="19"/>
  <c r="H74" i="19" s="1"/>
  <c r="G70" i="19"/>
  <c r="H70" i="19" s="1"/>
  <c r="G66" i="19"/>
  <c r="H66" i="19" s="1"/>
  <c r="G62" i="19"/>
  <c r="H62" i="19" s="1"/>
  <c r="G69" i="19"/>
  <c r="H69" i="19" s="1"/>
  <c r="G61" i="19"/>
  <c r="H61" i="19" s="1"/>
  <c r="G82" i="19"/>
  <c r="H82" i="19" s="1"/>
  <c r="G78" i="19"/>
  <c r="H78" i="19" s="1"/>
  <c r="G132" i="19"/>
  <c r="H132" i="19" s="1"/>
  <c r="G128" i="19"/>
  <c r="H128" i="19" s="1"/>
  <c r="G110" i="19"/>
  <c r="H110" i="19" s="1"/>
  <c r="G143" i="19"/>
  <c r="H143" i="19" s="1"/>
  <c r="G114" i="19"/>
  <c r="H114" i="19" s="1"/>
  <c r="G111" i="19"/>
  <c r="H111" i="19" s="1"/>
  <c r="G107" i="19"/>
  <c r="H107" i="19" s="1"/>
  <c r="G103" i="19"/>
  <c r="H103" i="19" s="1"/>
  <c r="G59" i="19"/>
  <c r="H59" i="19" s="1"/>
  <c r="G127" i="19"/>
  <c r="H127" i="19" s="1"/>
  <c r="G86" i="19"/>
  <c r="H86" i="19" s="1"/>
  <c r="G136" i="19"/>
  <c r="H136" i="19" s="1"/>
  <c r="G118" i="19"/>
  <c r="H118" i="19" s="1"/>
  <c r="G77" i="19"/>
  <c r="H77" i="19" s="1"/>
  <c r="G135" i="19"/>
  <c r="H135" i="19" s="1"/>
  <c r="G123" i="19"/>
  <c r="H123" i="19" s="1"/>
  <c r="G99" i="19"/>
  <c r="H99" i="19" s="1"/>
  <c r="G90" i="19"/>
  <c r="H90" i="19" s="1"/>
  <c r="M154" i="19"/>
  <c r="G30" i="19"/>
  <c r="F30" i="19" s="1"/>
  <c r="Q30" i="19" s="1"/>
  <c r="G54" i="19"/>
  <c r="H54" i="19" s="1"/>
  <c r="G58" i="19"/>
  <c r="H58" i="19" s="1"/>
  <c r="G53" i="19"/>
  <c r="H53" i="19" s="1"/>
  <c r="G52" i="19"/>
  <c r="H52" i="19" s="1"/>
  <c r="G55" i="19"/>
  <c r="H55" i="19" s="1"/>
  <c r="G57" i="19"/>
  <c r="H57" i="19" s="1"/>
  <c r="G56" i="19"/>
  <c r="H56" i="19" s="1"/>
  <c r="J21" i="18"/>
  <c r="J23" i="18" s="1"/>
  <c r="G23" i="18" s="1"/>
  <c r="J26" i="18" s="1"/>
  <c r="G14" i="19"/>
  <c r="I14" i="19" s="1"/>
  <c r="P14" i="19" s="1"/>
  <c r="G20" i="19"/>
  <c r="H20" i="19" s="1"/>
  <c r="G35" i="19"/>
  <c r="F35" i="19" s="1"/>
  <c r="G47" i="19"/>
  <c r="I47" i="19" s="1"/>
  <c r="P47" i="19" s="1"/>
  <c r="G19" i="19"/>
  <c r="I19" i="19" s="1"/>
  <c r="P19" i="19" s="1"/>
  <c r="G22" i="19"/>
  <c r="H22" i="19" s="1"/>
  <c r="G23" i="19"/>
  <c r="H23" i="19" s="1"/>
  <c r="G34" i="19"/>
  <c r="I34" i="19" s="1"/>
  <c r="P34" i="19" s="1"/>
  <c r="G31" i="19"/>
  <c r="H31" i="19" s="1"/>
  <c r="G48" i="19"/>
  <c r="I48" i="19" s="1"/>
  <c r="P48" i="19" s="1"/>
  <c r="G18" i="19"/>
  <c r="H18" i="19" s="1"/>
  <c r="G12" i="19"/>
  <c r="H12" i="19" s="1"/>
  <c r="G43" i="19"/>
  <c r="F43" i="19" s="1"/>
  <c r="G13" i="19"/>
  <c r="H13" i="19" s="1"/>
  <c r="G26" i="19"/>
  <c r="H26" i="19" s="1"/>
  <c r="G36" i="19"/>
  <c r="I36" i="19" s="1"/>
  <c r="P36" i="19" s="1"/>
  <c r="G45" i="19"/>
  <c r="H45" i="19" s="1"/>
  <c r="G10" i="19"/>
  <c r="H10" i="19" s="1"/>
  <c r="G16" i="19"/>
  <c r="H16" i="19" s="1"/>
  <c r="G24" i="19"/>
  <c r="F24" i="19" s="1"/>
  <c r="G32" i="19"/>
  <c r="I32" i="19" s="1"/>
  <c r="P32" i="19" s="1"/>
  <c r="G44" i="19"/>
  <c r="I44" i="19" s="1"/>
  <c r="P44" i="19" s="1"/>
  <c r="G17" i="19"/>
  <c r="H17" i="19" s="1"/>
  <c r="G39" i="19"/>
  <c r="H39" i="19" s="1"/>
  <c r="G37" i="19"/>
  <c r="H37" i="19" s="1"/>
  <c r="G51" i="19"/>
  <c r="G46" i="19"/>
  <c r="H46" i="19" s="1"/>
  <c r="G11" i="19"/>
  <c r="H11" i="19" s="1"/>
  <c r="G28" i="19"/>
  <c r="H28" i="19" s="1"/>
  <c r="G42" i="19"/>
  <c r="H42" i="19" s="1"/>
  <c r="G50" i="19"/>
  <c r="H50" i="19" s="1"/>
  <c r="G21" i="19"/>
  <c r="I21" i="19" s="1"/>
  <c r="P21" i="19" s="1"/>
  <c r="G33" i="19"/>
  <c r="I33" i="19" s="1"/>
  <c r="P33" i="19" s="1"/>
  <c r="G15" i="19"/>
  <c r="H15" i="19" s="1"/>
  <c r="G38" i="19"/>
  <c r="H38" i="19" s="1"/>
  <c r="G27" i="19"/>
  <c r="H27" i="19" s="1"/>
  <c r="G25" i="19"/>
  <c r="I25" i="19" s="1"/>
  <c r="P25" i="19" s="1"/>
  <c r="G29" i="19"/>
  <c r="H29" i="19" s="1"/>
  <c r="G40" i="19"/>
  <c r="I40" i="19" s="1"/>
  <c r="P40" i="19" s="1"/>
  <c r="G41" i="19"/>
  <c r="I41" i="19" s="1"/>
  <c r="P41" i="19" s="1"/>
  <c r="G49" i="19"/>
  <c r="I49" i="19" s="1"/>
  <c r="P49" i="19" s="1"/>
  <c r="X10" i="19"/>
  <c r="F135" i="19" l="1"/>
  <c r="I135" i="19"/>
  <c r="P135" i="19" s="1"/>
  <c r="F86" i="19"/>
  <c r="I86" i="19"/>
  <c r="P86" i="19" s="1"/>
  <c r="F107" i="19"/>
  <c r="I107" i="19"/>
  <c r="P107" i="19" s="1"/>
  <c r="F110" i="19"/>
  <c r="I110" i="19"/>
  <c r="P110" i="19" s="1"/>
  <c r="F82" i="19"/>
  <c r="I82" i="19"/>
  <c r="P82" i="19" s="1"/>
  <c r="I66" i="19"/>
  <c r="P66" i="19" s="1"/>
  <c r="F66" i="19"/>
  <c r="I102" i="19"/>
  <c r="P102" i="19" s="1"/>
  <c r="F102" i="19"/>
  <c r="F131" i="19"/>
  <c r="I131" i="19"/>
  <c r="P131" i="19" s="1"/>
  <c r="I122" i="19"/>
  <c r="P122" i="19" s="1"/>
  <c r="F122" i="19"/>
  <c r="F142" i="19"/>
  <c r="I142" i="19"/>
  <c r="P142" i="19" s="1"/>
  <c r="I125" i="19"/>
  <c r="P125" i="19" s="1"/>
  <c r="F125" i="19"/>
  <c r="I72" i="19"/>
  <c r="P72" i="19" s="1"/>
  <c r="F72" i="19"/>
  <c r="I75" i="19"/>
  <c r="P75" i="19" s="1"/>
  <c r="F75" i="19"/>
  <c r="I133" i="19"/>
  <c r="P133" i="19" s="1"/>
  <c r="F133" i="19"/>
  <c r="I144" i="19"/>
  <c r="P144" i="19" s="1"/>
  <c r="F144" i="19"/>
  <c r="I113" i="19"/>
  <c r="P113" i="19" s="1"/>
  <c r="F113" i="19"/>
  <c r="F97" i="19"/>
  <c r="I97" i="19"/>
  <c r="P97" i="19" s="1"/>
  <c r="F80" i="19"/>
  <c r="I80" i="19"/>
  <c r="P80" i="19" s="1"/>
  <c r="I109" i="19"/>
  <c r="P109" i="19" s="1"/>
  <c r="F109" i="19"/>
  <c r="F141" i="19"/>
  <c r="I141" i="19"/>
  <c r="P141" i="19" s="1"/>
  <c r="I130" i="19"/>
  <c r="P130" i="19" s="1"/>
  <c r="F130" i="19"/>
  <c r="I89" i="19"/>
  <c r="P89" i="19" s="1"/>
  <c r="F89" i="19"/>
  <c r="F90" i="19"/>
  <c r="I90" i="19"/>
  <c r="P90" i="19" s="1"/>
  <c r="F77" i="19"/>
  <c r="I77" i="19"/>
  <c r="P77" i="19" s="1"/>
  <c r="F127" i="19"/>
  <c r="I127" i="19"/>
  <c r="P127" i="19" s="1"/>
  <c r="I111" i="19"/>
  <c r="P111" i="19" s="1"/>
  <c r="F111" i="19"/>
  <c r="I128" i="19"/>
  <c r="P128" i="19" s="1"/>
  <c r="F128" i="19"/>
  <c r="I61" i="19"/>
  <c r="P61" i="19" s="1"/>
  <c r="F61" i="19"/>
  <c r="F70" i="19"/>
  <c r="I70" i="19"/>
  <c r="P70" i="19" s="1"/>
  <c r="F146" i="19"/>
  <c r="I146" i="19"/>
  <c r="P146" i="19" s="1"/>
  <c r="F83" i="19"/>
  <c r="I83" i="19"/>
  <c r="P83" i="19" s="1"/>
  <c r="F115" i="19"/>
  <c r="I115" i="19"/>
  <c r="P115" i="19" s="1"/>
  <c r="F119" i="19"/>
  <c r="I119" i="19"/>
  <c r="P119" i="19" s="1"/>
  <c r="F117" i="19"/>
  <c r="I117" i="19"/>
  <c r="P117" i="19" s="1"/>
  <c r="I68" i="19"/>
  <c r="P68" i="19" s="1"/>
  <c r="F68" i="19"/>
  <c r="I71" i="19"/>
  <c r="P71" i="19" s="1"/>
  <c r="F71" i="19"/>
  <c r="I108" i="19"/>
  <c r="P108" i="19" s="1"/>
  <c r="F108" i="19"/>
  <c r="F138" i="19"/>
  <c r="I138" i="19"/>
  <c r="P138" i="19" s="1"/>
  <c r="I112" i="19"/>
  <c r="P112" i="19" s="1"/>
  <c r="F112" i="19"/>
  <c r="F96" i="19"/>
  <c r="I96" i="19"/>
  <c r="P96" i="19" s="1"/>
  <c r="F79" i="19"/>
  <c r="I79" i="19"/>
  <c r="P79" i="19" s="1"/>
  <c r="F101" i="19"/>
  <c r="I101" i="19"/>
  <c r="P101" i="19" s="1"/>
  <c r="F140" i="19"/>
  <c r="I140" i="19"/>
  <c r="P140" i="19" s="1"/>
  <c r="I129" i="19"/>
  <c r="P129" i="19" s="1"/>
  <c r="F129" i="19"/>
  <c r="I88" i="19"/>
  <c r="P88" i="19" s="1"/>
  <c r="F88" i="19"/>
  <c r="F99" i="19"/>
  <c r="I99" i="19"/>
  <c r="P99" i="19" s="1"/>
  <c r="I118" i="19"/>
  <c r="P118" i="19" s="1"/>
  <c r="F118" i="19"/>
  <c r="F59" i="19"/>
  <c r="I59" i="19"/>
  <c r="P59" i="19" s="1"/>
  <c r="I114" i="19"/>
  <c r="P114" i="19" s="1"/>
  <c r="F114" i="19"/>
  <c r="F132" i="19"/>
  <c r="I132" i="19"/>
  <c r="P132" i="19" s="1"/>
  <c r="F69" i="19"/>
  <c r="I69" i="19"/>
  <c r="P69" i="19" s="1"/>
  <c r="I74" i="19"/>
  <c r="P74" i="19" s="1"/>
  <c r="F74" i="19"/>
  <c r="I65" i="19"/>
  <c r="P65" i="19" s="1"/>
  <c r="F65" i="19"/>
  <c r="F91" i="19"/>
  <c r="I91" i="19"/>
  <c r="P91" i="19" s="1"/>
  <c r="F139" i="19"/>
  <c r="I139" i="19"/>
  <c r="P139" i="19" s="1"/>
  <c r="F94" i="19"/>
  <c r="I94" i="19"/>
  <c r="P94" i="19" s="1"/>
  <c r="I95" i="19"/>
  <c r="P95" i="19" s="1"/>
  <c r="F95" i="19"/>
  <c r="F149" i="19"/>
  <c r="I149" i="19"/>
  <c r="P149" i="19" s="1"/>
  <c r="I67" i="19"/>
  <c r="P67" i="19" s="1"/>
  <c r="F67" i="19"/>
  <c r="F100" i="19"/>
  <c r="I100" i="19"/>
  <c r="P100" i="19" s="1"/>
  <c r="I121" i="19"/>
  <c r="P121" i="19" s="1"/>
  <c r="F121" i="19"/>
  <c r="I105" i="19"/>
  <c r="P105" i="19" s="1"/>
  <c r="F105" i="19"/>
  <c r="I93" i="19"/>
  <c r="P93" i="19" s="1"/>
  <c r="F93" i="19"/>
  <c r="I124" i="19"/>
  <c r="P124" i="19" s="1"/>
  <c r="F124" i="19"/>
  <c r="I84" i="19"/>
  <c r="P84" i="19" s="1"/>
  <c r="F84" i="19"/>
  <c r="F137" i="19"/>
  <c r="I137" i="19"/>
  <c r="P137" i="19" s="1"/>
  <c r="F126" i="19"/>
  <c r="I126" i="19"/>
  <c r="P126" i="19" s="1"/>
  <c r="I81" i="19"/>
  <c r="P81" i="19" s="1"/>
  <c r="F81" i="19"/>
  <c r="I123" i="19"/>
  <c r="P123" i="19" s="1"/>
  <c r="F123" i="19"/>
  <c r="I136" i="19"/>
  <c r="P136" i="19" s="1"/>
  <c r="F136" i="19"/>
  <c r="F103" i="19"/>
  <c r="I103" i="19"/>
  <c r="P103" i="19" s="1"/>
  <c r="F143" i="19"/>
  <c r="I143" i="19"/>
  <c r="P143" i="19" s="1"/>
  <c r="F78" i="19"/>
  <c r="I78" i="19"/>
  <c r="P78" i="19" s="1"/>
  <c r="F62" i="19"/>
  <c r="I62" i="19"/>
  <c r="P62" i="19" s="1"/>
  <c r="I87" i="19"/>
  <c r="P87" i="19" s="1"/>
  <c r="F87" i="19"/>
  <c r="I73" i="19"/>
  <c r="P73" i="19" s="1"/>
  <c r="F73" i="19"/>
  <c r="I98" i="19"/>
  <c r="P98" i="19" s="1"/>
  <c r="F98" i="19"/>
  <c r="I147" i="19"/>
  <c r="P147" i="19" s="1"/>
  <c r="F147" i="19"/>
  <c r="I106" i="19"/>
  <c r="P106" i="19" s="1"/>
  <c r="F106" i="19"/>
  <c r="I76" i="19"/>
  <c r="P76" i="19" s="1"/>
  <c r="F76" i="19"/>
  <c r="F148" i="19"/>
  <c r="I148" i="19"/>
  <c r="P148" i="19" s="1"/>
  <c r="I63" i="19"/>
  <c r="P63" i="19" s="1"/>
  <c r="F63" i="19"/>
  <c r="F145" i="19"/>
  <c r="I145" i="19"/>
  <c r="P145" i="19" s="1"/>
  <c r="F120" i="19"/>
  <c r="I120" i="19"/>
  <c r="P120" i="19" s="1"/>
  <c r="I104" i="19"/>
  <c r="P104" i="19" s="1"/>
  <c r="F104" i="19"/>
  <c r="I85" i="19"/>
  <c r="P85" i="19" s="1"/>
  <c r="F85" i="19"/>
  <c r="F116" i="19"/>
  <c r="I116" i="19"/>
  <c r="P116" i="19" s="1"/>
  <c r="I64" i="19"/>
  <c r="P64" i="19" s="1"/>
  <c r="F64" i="19"/>
  <c r="I134" i="19"/>
  <c r="P134" i="19" s="1"/>
  <c r="F134" i="19"/>
  <c r="I92" i="19"/>
  <c r="P92" i="19" s="1"/>
  <c r="F92" i="19"/>
  <c r="F60" i="19"/>
  <c r="I60" i="19"/>
  <c r="P60" i="19" s="1"/>
  <c r="H36" i="19"/>
  <c r="H30" i="19"/>
  <c r="I51" i="19"/>
  <c r="P51" i="19" s="1"/>
  <c r="H51" i="19"/>
  <c r="N30" i="19"/>
  <c r="O30" i="19"/>
  <c r="I30" i="19"/>
  <c r="P30" i="19" s="1"/>
  <c r="F55" i="19"/>
  <c r="I55" i="19"/>
  <c r="P55" i="19" s="1"/>
  <c r="I58" i="19"/>
  <c r="P58" i="19" s="1"/>
  <c r="F58" i="19"/>
  <c r="F52" i="19"/>
  <c r="I52" i="19"/>
  <c r="P52" i="19" s="1"/>
  <c r="I53" i="19"/>
  <c r="P53" i="19" s="1"/>
  <c r="F53" i="19"/>
  <c r="I54" i="19"/>
  <c r="P54" i="19" s="1"/>
  <c r="F54" i="19"/>
  <c r="I56" i="19"/>
  <c r="P56" i="19" s="1"/>
  <c r="F56" i="19"/>
  <c r="I57" i="19"/>
  <c r="P57" i="19" s="1"/>
  <c r="F57" i="19"/>
  <c r="F19" i="19"/>
  <c r="Q19" i="19" s="1"/>
  <c r="H48" i="19"/>
  <c r="H41" i="19"/>
  <c r="F22" i="19"/>
  <c r="Q22" i="19" s="1"/>
  <c r="I28" i="19"/>
  <c r="P28" i="19" s="1"/>
  <c r="F45" i="19"/>
  <c r="O45" i="19" s="1"/>
  <c r="R152" i="19" s="1"/>
  <c r="S152" i="19" s="1"/>
  <c r="I22" i="19"/>
  <c r="P22" i="19" s="1"/>
  <c r="F13" i="19"/>
  <c r="Q13" i="19" s="1"/>
  <c r="I37" i="19"/>
  <c r="P37" i="19" s="1"/>
  <c r="I45" i="19"/>
  <c r="P45" i="19" s="1"/>
  <c r="F20" i="19"/>
  <c r="Q20" i="19" s="1"/>
  <c r="F48" i="19"/>
  <c r="N48" i="19" s="1"/>
  <c r="H24" i="19"/>
  <c r="H19" i="19"/>
  <c r="I42" i="19"/>
  <c r="P42" i="19" s="1"/>
  <c r="F14" i="19"/>
  <c r="O14" i="19" s="1"/>
  <c r="I24" i="19"/>
  <c r="P24" i="19" s="1"/>
  <c r="I43" i="19"/>
  <c r="P43" i="19" s="1"/>
  <c r="F31" i="19"/>
  <c r="N31" i="19" s="1"/>
  <c r="F36" i="19"/>
  <c r="O36" i="19" s="1"/>
  <c r="F23" i="19"/>
  <c r="O23" i="19" s="1"/>
  <c r="F32" i="19"/>
  <c r="O32" i="19" s="1"/>
  <c r="H14" i="19"/>
  <c r="H43" i="19"/>
  <c r="I31" i="19"/>
  <c r="P31" i="19" s="1"/>
  <c r="F18" i="19"/>
  <c r="Q18" i="19" s="1"/>
  <c r="H35" i="19"/>
  <c r="F28" i="19"/>
  <c r="O28" i="19" s="1"/>
  <c r="F37" i="19"/>
  <c r="Q37" i="19" s="1"/>
  <c r="F10" i="19"/>
  <c r="N10" i="19" s="1"/>
  <c r="I20" i="19"/>
  <c r="P20" i="19" s="1"/>
  <c r="H32" i="19"/>
  <c r="I13" i="19"/>
  <c r="P13" i="19" s="1"/>
  <c r="I16" i="19"/>
  <c r="P16" i="19" s="1"/>
  <c r="F12" i="19"/>
  <c r="N12" i="19" s="1"/>
  <c r="F46" i="19"/>
  <c r="N46" i="19" s="1"/>
  <c r="F33" i="19"/>
  <c r="Q33" i="19" s="1"/>
  <c r="F16" i="19"/>
  <c r="Q16" i="19" s="1"/>
  <c r="F47" i="19"/>
  <c r="Q47" i="19" s="1"/>
  <c r="H47" i="19"/>
  <c r="I12" i="19"/>
  <c r="P12" i="19" s="1"/>
  <c r="F17" i="19"/>
  <c r="N17" i="19" s="1"/>
  <c r="H34" i="19"/>
  <c r="I46" i="19"/>
  <c r="P46" i="19" s="1"/>
  <c r="I17" i="19"/>
  <c r="P17" i="19" s="1"/>
  <c r="H33" i="19"/>
  <c r="I29" i="19"/>
  <c r="P29" i="19" s="1"/>
  <c r="F34" i="19"/>
  <c r="Q34" i="19" s="1"/>
  <c r="H25" i="19"/>
  <c r="H44" i="19"/>
  <c r="I35" i="19"/>
  <c r="P35" i="19" s="1"/>
  <c r="H49" i="19"/>
  <c r="F42" i="19"/>
  <c r="O42" i="19" s="1"/>
  <c r="F51" i="19"/>
  <c r="N51" i="19" s="1"/>
  <c r="F44" i="19"/>
  <c r="Q44" i="19" s="1"/>
  <c r="I26" i="19"/>
  <c r="P26" i="19" s="1"/>
  <c r="I23" i="19"/>
  <c r="P23" i="19" s="1"/>
  <c r="I18" i="19"/>
  <c r="P18" i="19" s="1"/>
  <c r="F26" i="19"/>
  <c r="N26" i="19" s="1"/>
  <c r="I10" i="19"/>
  <c r="P10" i="19" s="1"/>
  <c r="F49" i="19"/>
  <c r="Q49" i="19" s="1"/>
  <c r="F27" i="19"/>
  <c r="O27" i="19" s="1"/>
  <c r="F25" i="19"/>
  <c r="O25" i="19" s="1"/>
  <c r="H21" i="19"/>
  <c r="F21" i="19"/>
  <c r="O21" i="19" s="1"/>
  <c r="F41" i="19"/>
  <c r="N41" i="19" s="1"/>
  <c r="G154" i="19"/>
  <c r="G155" i="19" s="1"/>
  <c r="F11" i="19"/>
  <c r="N11" i="19" s="1"/>
  <c r="I39" i="19"/>
  <c r="P39" i="19" s="1"/>
  <c r="F29" i="19"/>
  <c r="O29" i="19" s="1"/>
  <c r="I50" i="19"/>
  <c r="P50" i="19" s="1"/>
  <c r="I38" i="19"/>
  <c r="P38" i="19" s="1"/>
  <c r="I11" i="19"/>
  <c r="P11" i="19" s="1"/>
  <c r="F50" i="19"/>
  <c r="N50" i="19" s="1"/>
  <c r="F40" i="19"/>
  <c r="O40" i="19" s="1"/>
  <c r="F38" i="19"/>
  <c r="N38" i="19" s="1"/>
  <c r="F39" i="19"/>
  <c r="O39" i="19" s="1"/>
  <c r="H40" i="19"/>
  <c r="F15" i="19"/>
  <c r="N15" i="19" s="1"/>
  <c r="I27" i="19"/>
  <c r="P27" i="19" s="1"/>
  <c r="I15" i="19"/>
  <c r="P15" i="19" s="1"/>
  <c r="Q35" i="19"/>
  <c r="O35" i="19"/>
  <c r="N35" i="19"/>
  <c r="Q24" i="19"/>
  <c r="N24" i="19"/>
  <c r="O24" i="19"/>
  <c r="N43" i="19"/>
  <c r="Q43" i="19"/>
  <c r="O43" i="19"/>
  <c r="N60" i="19" l="1"/>
  <c r="O60" i="19"/>
  <c r="Q60" i="19"/>
  <c r="O145" i="19"/>
  <c r="Q145" i="19"/>
  <c r="N145" i="19"/>
  <c r="Q148" i="19"/>
  <c r="N148" i="19"/>
  <c r="O148" i="19"/>
  <c r="N78" i="19"/>
  <c r="O78" i="19"/>
  <c r="Q78" i="19"/>
  <c r="O103" i="19"/>
  <c r="Q103" i="19"/>
  <c r="N103" i="19"/>
  <c r="N126" i="19"/>
  <c r="O126" i="19"/>
  <c r="Q126" i="19"/>
  <c r="Q139" i="19"/>
  <c r="O139" i="19"/>
  <c r="N139" i="19"/>
  <c r="O92" i="19"/>
  <c r="N92" i="19"/>
  <c r="Q92" i="19"/>
  <c r="Q64" i="19"/>
  <c r="N64" i="19"/>
  <c r="O64" i="19"/>
  <c r="N85" i="19"/>
  <c r="O85" i="19"/>
  <c r="Q85" i="19"/>
  <c r="N63" i="19"/>
  <c r="Q63" i="19"/>
  <c r="O63" i="19"/>
  <c r="O76" i="19"/>
  <c r="Q76" i="19"/>
  <c r="N76" i="19"/>
  <c r="Q147" i="19"/>
  <c r="N147" i="19"/>
  <c r="O147" i="19"/>
  <c r="Q73" i="19"/>
  <c r="N73" i="19"/>
  <c r="O73" i="19"/>
  <c r="O136" i="19"/>
  <c r="N136" i="19"/>
  <c r="Q136" i="19"/>
  <c r="O81" i="19"/>
  <c r="Q81" i="19"/>
  <c r="N81" i="19"/>
  <c r="O124" i="19"/>
  <c r="N124" i="19"/>
  <c r="Q124" i="19"/>
  <c r="N105" i="19"/>
  <c r="O105" i="19"/>
  <c r="Q105" i="19"/>
  <c r="Q74" i="19"/>
  <c r="N74" i="19"/>
  <c r="O74" i="19"/>
  <c r="O129" i="19"/>
  <c r="Q129" i="19"/>
  <c r="N129" i="19"/>
  <c r="O71" i="19"/>
  <c r="Q71" i="19"/>
  <c r="N71" i="19"/>
  <c r="N61" i="19"/>
  <c r="O61" i="19"/>
  <c r="Q61" i="19"/>
  <c r="O111" i="19"/>
  <c r="Q111" i="19"/>
  <c r="N111" i="19"/>
  <c r="N89" i="19"/>
  <c r="O89" i="19"/>
  <c r="Q89" i="19"/>
  <c r="N113" i="19"/>
  <c r="O113" i="19"/>
  <c r="Q113" i="19"/>
  <c r="O133" i="19"/>
  <c r="Q133" i="19"/>
  <c r="N133" i="19"/>
  <c r="Q72" i="19"/>
  <c r="N72" i="19"/>
  <c r="O72" i="19"/>
  <c r="Q66" i="19"/>
  <c r="O66" i="19"/>
  <c r="N66" i="19"/>
  <c r="N62" i="19"/>
  <c r="Q62" i="19"/>
  <c r="O62" i="19"/>
  <c r="Q100" i="19"/>
  <c r="N100" i="19"/>
  <c r="O100" i="19"/>
  <c r="O149" i="19"/>
  <c r="Q149" i="19"/>
  <c r="N149" i="19"/>
  <c r="Q94" i="19"/>
  <c r="N94" i="19"/>
  <c r="O94" i="19"/>
  <c r="O132" i="19"/>
  <c r="Q132" i="19"/>
  <c r="N132" i="19"/>
  <c r="O59" i="19"/>
  <c r="Q59" i="19"/>
  <c r="N59" i="19"/>
  <c r="O99" i="19"/>
  <c r="Q99" i="19"/>
  <c r="N99" i="19"/>
  <c r="N101" i="19"/>
  <c r="Q101" i="19"/>
  <c r="O101" i="19"/>
  <c r="N96" i="19"/>
  <c r="O96" i="19"/>
  <c r="Q96" i="19"/>
  <c r="N138" i="19"/>
  <c r="O138" i="19"/>
  <c r="Q138" i="19"/>
  <c r="N117" i="19"/>
  <c r="Q117" i="19"/>
  <c r="O117" i="19"/>
  <c r="O115" i="19"/>
  <c r="Q115" i="19"/>
  <c r="N115" i="19"/>
  <c r="N146" i="19"/>
  <c r="Q146" i="19"/>
  <c r="O146" i="19"/>
  <c r="Q77" i="19"/>
  <c r="N77" i="19"/>
  <c r="O77" i="19"/>
  <c r="O141" i="19"/>
  <c r="N141" i="19"/>
  <c r="Q141" i="19"/>
  <c r="O80" i="19"/>
  <c r="Q80" i="19"/>
  <c r="N80" i="19"/>
  <c r="Q142" i="19"/>
  <c r="O142" i="19"/>
  <c r="N142" i="19"/>
  <c r="Q131" i="19"/>
  <c r="N131" i="19"/>
  <c r="O131" i="19"/>
  <c r="Q110" i="19"/>
  <c r="N110" i="19"/>
  <c r="O110" i="19"/>
  <c r="Q86" i="19"/>
  <c r="N86" i="19"/>
  <c r="O86" i="19"/>
  <c r="O120" i="19"/>
  <c r="Q120" i="19"/>
  <c r="N120" i="19"/>
  <c r="Q143" i="19"/>
  <c r="N143" i="19"/>
  <c r="O143" i="19"/>
  <c r="Q137" i="19"/>
  <c r="O137" i="19"/>
  <c r="N137" i="19"/>
  <c r="Q91" i="19"/>
  <c r="N91" i="19"/>
  <c r="O91" i="19"/>
  <c r="N134" i="19"/>
  <c r="O134" i="19"/>
  <c r="Q134" i="19"/>
  <c r="O104" i="19"/>
  <c r="Q104" i="19"/>
  <c r="N104" i="19"/>
  <c r="N106" i="19"/>
  <c r="Q106" i="19"/>
  <c r="O106" i="19"/>
  <c r="O98" i="19"/>
  <c r="Q98" i="19"/>
  <c r="N98" i="19"/>
  <c r="O87" i="19"/>
  <c r="N87" i="19"/>
  <c r="Q87" i="19"/>
  <c r="N123" i="19"/>
  <c r="O123" i="19"/>
  <c r="Q123" i="19"/>
  <c r="O84" i="19"/>
  <c r="N84" i="19"/>
  <c r="Q84" i="19"/>
  <c r="N93" i="19"/>
  <c r="O93" i="19"/>
  <c r="Q93" i="19"/>
  <c r="O121" i="19"/>
  <c r="N121" i="19"/>
  <c r="Q121" i="19"/>
  <c r="O67" i="19"/>
  <c r="Q67" i="19"/>
  <c r="N67" i="19"/>
  <c r="N95" i="19"/>
  <c r="O95" i="19"/>
  <c r="Q95" i="19"/>
  <c r="Q65" i="19"/>
  <c r="N65" i="19"/>
  <c r="O65" i="19"/>
  <c r="N114" i="19"/>
  <c r="Q114" i="19"/>
  <c r="O114" i="19"/>
  <c r="O118" i="19"/>
  <c r="N118" i="19"/>
  <c r="Q118" i="19"/>
  <c r="Q88" i="19"/>
  <c r="N88" i="19"/>
  <c r="O88" i="19"/>
  <c r="N112" i="19"/>
  <c r="Q112" i="19"/>
  <c r="O112" i="19"/>
  <c r="O108" i="19"/>
  <c r="Q108" i="19"/>
  <c r="N108" i="19"/>
  <c r="N68" i="19"/>
  <c r="O68" i="19"/>
  <c r="Q68" i="19"/>
  <c r="N128" i="19"/>
  <c r="Q128" i="19"/>
  <c r="O128" i="19"/>
  <c r="O130" i="19"/>
  <c r="Q130" i="19"/>
  <c r="N130" i="19"/>
  <c r="O109" i="19"/>
  <c r="N109" i="19"/>
  <c r="Q109" i="19"/>
  <c r="N144" i="19"/>
  <c r="O144" i="19"/>
  <c r="Q144" i="19"/>
  <c r="Q75" i="19"/>
  <c r="N75" i="19"/>
  <c r="O75" i="19"/>
  <c r="N125" i="19"/>
  <c r="O125" i="19"/>
  <c r="Q125" i="19"/>
  <c r="N122" i="19"/>
  <c r="Q122" i="19"/>
  <c r="O122" i="19"/>
  <c r="Q102" i="19"/>
  <c r="O102" i="19"/>
  <c r="N102" i="19"/>
  <c r="Q116" i="19"/>
  <c r="N116" i="19"/>
  <c r="O116" i="19"/>
  <c r="N69" i="19"/>
  <c r="O69" i="19"/>
  <c r="Q69" i="19"/>
  <c r="Q140" i="19"/>
  <c r="N140" i="19"/>
  <c r="O140" i="19"/>
  <c r="N79" i="19"/>
  <c r="Q79" i="19"/>
  <c r="O79" i="19"/>
  <c r="Q119" i="19"/>
  <c r="N119" i="19"/>
  <c r="O119" i="19"/>
  <c r="N83" i="19"/>
  <c r="O83" i="19"/>
  <c r="Q83" i="19"/>
  <c r="O70" i="19"/>
  <c r="Q70" i="19"/>
  <c r="N70" i="19"/>
  <c r="N127" i="19"/>
  <c r="O127" i="19"/>
  <c r="Q127" i="19"/>
  <c r="N90" i="19"/>
  <c r="O90" i="19"/>
  <c r="Q90" i="19"/>
  <c r="Q97" i="19"/>
  <c r="N97" i="19"/>
  <c r="O97" i="19"/>
  <c r="O82" i="19"/>
  <c r="Q82" i="19"/>
  <c r="N82" i="19"/>
  <c r="Q107" i="19"/>
  <c r="O107" i="19"/>
  <c r="N107" i="19"/>
  <c r="O135" i="19"/>
  <c r="Q135" i="19"/>
  <c r="N135" i="19"/>
  <c r="P154" i="19"/>
  <c r="P162" i="19"/>
  <c r="P160" i="19"/>
  <c r="N166" i="19"/>
  <c r="P159" i="19"/>
  <c r="R153" i="19"/>
  <c r="O19" i="19"/>
  <c r="N19" i="19"/>
  <c r="Q56" i="19"/>
  <c r="O56" i="19"/>
  <c r="N56" i="19"/>
  <c r="O58" i="19"/>
  <c r="N58" i="19"/>
  <c r="Q58" i="19"/>
  <c r="N52" i="19"/>
  <c r="O52" i="19"/>
  <c r="Q52" i="19"/>
  <c r="N57" i="19"/>
  <c r="Q57" i="19"/>
  <c r="O57" i="19"/>
  <c r="Q54" i="19"/>
  <c r="N54" i="19"/>
  <c r="O54" i="19"/>
  <c r="Q53" i="19"/>
  <c r="N53" i="19"/>
  <c r="O53" i="19"/>
  <c r="O55" i="19"/>
  <c r="Q55" i="19"/>
  <c r="N55" i="19"/>
  <c r="O22" i="19"/>
  <c r="N22" i="19"/>
  <c r="O20" i="19"/>
  <c r="N13" i="19"/>
  <c r="O13" i="19"/>
  <c r="N20" i="19"/>
  <c r="Q48" i="19"/>
  <c r="Q45" i="19"/>
  <c r="O48" i="19"/>
  <c r="N45" i="19"/>
  <c r="N47" i="19"/>
  <c r="N32" i="19"/>
  <c r="Q28" i="19"/>
  <c r="Q32" i="19"/>
  <c r="Q36" i="19"/>
  <c r="Q31" i="19"/>
  <c r="O31" i="19"/>
  <c r="N37" i="19"/>
  <c r="Q14" i="19"/>
  <c r="N14" i="19"/>
  <c r="N28" i="19"/>
  <c r="N34" i="19"/>
  <c r="O12" i="19"/>
  <c r="O10" i="19"/>
  <c r="N36" i="19"/>
  <c r="Q23" i="19"/>
  <c r="Q17" i="19"/>
  <c r="N23" i="19"/>
  <c r="O37" i="19"/>
  <c r="N18" i="19"/>
  <c r="O18" i="19"/>
  <c r="O46" i="19"/>
  <c r="Q29" i="19"/>
  <c r="N42" i="19"/>
  <c r="Q11" i="19"/>
  <c r="N27" i="19"/>
  <c r="O16" i="19"/>
  <c r="O44" i="19"/>
  <c r="Q26" i="19"/>
  <c r="Q46" i="19"/>
  <c r="Q12" i="19"/>
  <c r="O11" i="19"/>
  <c r="Q27" i="19"/>
  <c r="O17" i="19"/>
  <c r="Q10" i="19"/>
  <c r="N16" i="19"/>
  <c r="N44" i="19"/>
  <c r="O26" i="19"/>
  <c r="O41" i="19"/>
  <c r="O49" i="19"/>
  <c r="Q153" i="19" s="1"/>
  <c r="O33" i="19"/>
  <c r="O47" i="19"/>
  <c r="P152" i="19" s="1"/>
  <c r="Q21" i="19"/>
  <c r="N33" i="19"/>
  <c r="Q25" i="19"/>
  <c r="O34" i="19"/>
  <c r="Q38" i="19"/>
  <c r="O15" i="19"/>
  <c r="Q42" i="19"/>
  <c r="N29" i="19"/>
  <c r="N21" i="19"/>
  <c r="N25" i="19"/>
  <c r="Q40" i="19"/>
  <c r="O38" i="19"/>
  <c r="N49" i="19"/>
  <c r="Q15" i="19"/>
  <c r="O51" i="19"/>
  <c r="P161" i="19" s="1"/>
  <c r="Q41" i="19"/>
  <c r="Q51" i="19"/>
  <c r="O50" i="19"/>
  <c r="Q151" i="19" s="1"/>
  <c r="Q39" i="19"/>
  <c r="Q50" i="19"/>
  <c r="N39" i="19"/>
  <c r="F154" i="19"/>
  <c r="F155" i="19" s="1"/>
  <c r="N40" i="19"/>
  <c r="N154" i="19" l="1"/>
  <c r="Q154" i="19"/>
  <c r="O154" i="19"/>
  <c r="N168" i="19"/>
  <c r="O163" i="19"/>
  <c r="N163" i="19" s="1"/>
  <c r="N164" i="19" s="1"/>
  <c r="N165" i="19" s="1"/>
  <c r="P158" i="19"/>
  <c r="AE13" i="19"/>
  <c r="AE14" i="19" s="1"/>
  <c r="AF13" i="19"/>
  <c r="AF14" i="19" s="1"/>
  <c r="Q152" i="19"/>
  <c r="O158" i="19"/>
  <c r="AF22" i="19"/>
  <c r="AF23" i="19" s="1"/>
  <c r="AE22" i="19"/>
  <c r="AE23" i="19" s="1"/>
  <c r="O164" i="19" l="1"/>
  <c r="O165" i="19" s="1"/>
  <c r="O166" i="19" s="1"/>
  <c r="AF24" i="19"/>
  <c r="AF26" i="19" s="1"/>
  <c r="AE24" i="19"/>
  <c r="AE26" i="19" s="1"/>
  <c r="N155" i="19" l="1"/>
  <c r="L155" i="19" l="1"/>
  <c r="Q155" i="19"/>
  <c r="O155" i="19"/>
  <c r="O156" i="19" l="1"/>
  <c r="O8" i="19" s="1"/>
  <c r="Q156" i="19"/>
  <c r="Q8" i="19" s="1"/>
  <c r="L156" i="19"/>
  <c r="L8" i="19" s="1"/>
  <c r="AC25" i="19"/>
  <c r="AD25" i="19"/>
  <c r="N156" i="19"/>
  <c r="N8" i="19" s="1"/>
  <c r="M155" i="19"/>
  <c r="M156" i="19" s="1"/>
  <c r="M8" i="19" s="1"/>
  <c r="P155" i="19"/>
  <c r="P156" i="19" s="1"/>
  <c r="P8" i="19" s="1"/>
  <c r="H20" i="18" l="1"/>
  <c r="F24" i="18" s="1"/>
  <c r="H12" i="18"/>
  <c r="P157" i="19"/>
  <c r="R6" i="19" l="1"/>
  <c r="P7" i="19"/>
  <c r="P9" i="19"/>
  <c r="S54" i="19" l="1"/>
  <c r="T80" i="19"/>
  <c r="R84" i="19"/>
  <c r="R71" i="19"/>
  <c r="R88" i="19"/>
  <c r="T90" i="19"/>
  <c r="R92" i="19"/>
  <c r="V124" i="19"/>
  <c r="R94" i="19"/>
  <c r="W124" i="19"/>
  <c r="R137" i="19"/>
  <c r="R141" i="19"/>
  <c r="R149" i="19"/>
  <c r="T147" i="19"/>
  <c r="V125" i="19"/>
  <c r="T113" i="19"/>
  <c r="S124" i="19"/>
  <c r="R125" i="19"/>
  <c r="R129" i="19"/>
  <c r="R133" i="19"/>
  <c r="T139" i="19"/>
  <c r="T143" i="19"/>
  <c r="V129" i="19"/>
  <c r="V133" i="19"/>
  <c r="W138" i="19"/>
  <c r="R145" i="19"/>
  <c r="W139" i="19"/>
  <c r="W125" i="19"/>
  <c r="W145" i="19"/>
  <c r="T124" i="19"/>
  <c r="T112" i="19"/>
  <c r="T104" i="19"/>
  <c r="W149" i="19"/>
  <c r="S137" i="19"/>
  <c r="S130" i="19"/>
  <c r="U125" i="19"/>
  <c r="W133" i="19"/>
  <c r="R144" i="19"/>
  <c r="S145" i="19"/>
  <c r="T141" i="19"/>
  <c r="V135" i="19"/>
  <c r="U131" i="19"/>
  <c r="T126" i="19"/>
  <c r="R119" i="19"/>
  <c r="S85" i="19"/>
  <c r="S116" i="19"/>
  <c r="V113" i="19"/>
  <c r="U108" i="19"/>
  <c r="V92" i="19"/>
  <c r="R120" i="19"/>
  <c r="U84" i="19"/>
  <c r="R138" i="19"/>
  <c r="R126" i="19"/>
  <c r="U113" i="19"/>
  <c r="V108" i="19"/>
  <c r="V104" i="19"/>
  <c r="T100" i="19"/>
  <c r="S90" i="19"/>
  <c r="W109" i="19"/>
  <c r="W105" i="19"/>
  <c r="W92" i="19"/>
  <c r="W88" i="19"/>
  <c r="R63" i="19"/>
  <c r="S108" i="19"/>
  <c r="V100" i="19"/>
  <c r="T92" i="19"/>
  <c r="W80" i="19"/>
  <c r="T71" i="19"/>
  <c r="U71" i="19"/>
  <c r="W81" i="19"/>
  <c r="U69" i="19"/>
  <c r="U65" i="19"/>
  <c r="R89" i="19"/>
  <c r="S84" i="19"/>
  <c r="W75" i="19"/>
  <c r="W71" i="19"/>
  <c r="W67" i="19"/>
  <c r="W63" i="19"/>
  <c r="S75" i="19"/>
  <c r="R64" i="19"/>
  <c r="U92" i="19"/>
  <c r="S79" i="19"/>
  <c r="S72" i="19"/>
  <c r="U67" i="19"/>
  <c r="R79" i="19"/>
  <c r="V65" i="19"/>
  <c r="S88" i="19"/>
  <c r="V79" i="19"/>
  <c r="V76" i="19"/>
  <c r="W72" i="19"/>
  <c r="W68" i="19"/>
  <c r="W60" i="19"/>
  <c r="S63" i="19"/>
  <c r="S113" i="19"/>
  <c r="U129" i="19"/>
  <c r="U135" i="19"/>
  <c r="W127" i="19"/>
  <c r="T120" i="19"/>
  <c r="U122" i="19"/>
  <c r="W134" i="19"/>
  <c r="W130" i="19"/>
  <c r="R121" i="19"/>
  <c r="W113" i="19"/>
  <c r="S133" i="19"/>
  <c r="W120" i="19"/>
  <c r="S97" i="19"/>
  <c r="U86" i="19"/>
  <c r="V72" i="19"/>
  <c r="W90" i="19"/>
  <c r="T79" i="19"/>
  <c r="R109" i="19"/>
  <c r="W96" i="19"/>
  <c r="W94" i="19"/>
  <c r="R83" i="19"/>
  <c r="S64" i="19"/>
  <c r="T72" i="19"/>
  <c r="T60" i="19"/>
  <c r="R85" i="19"/>
  <c r="V75" i="19"/>
  <c r="V71" i="19"/>
  <c r="V67" i="19"/>
  <c r="R73" i="19"/>
  <c r="R61" i="19"/>
  <c r="T138" i="19"/>
  <c r="W147" i="19"/>
  <c r="W143" i="19"/>
  <c r="W137" i="19"/>
  <c r="R124" i="19"/>
  <c r="W146" i="19"/>
  <c r="R132" i="19"/>
  <c r="S126" i="19"/>
  <c r="T108" i="19"/>
  <c r="W129" i="19"/>
  <c r="V149" i="19"/>
  <c r="S149" i="19"/>
  <c r="T145" i="19"/>
  <c r="V131" i="19"/>
  <c r="U127" i="19"/>
  <c r="R108" i="19"/>
  <c r="S109" i="19"/>
  <c r="U104" i="19"/>
  <c r="U88" i="19"/>
  <c r="T75" i="19"/>
  <c r="R131" i="19"/>
  <c r="R127" i="19"/>
  <c r="U124" i="19"/>
  <c r="V114" i="19"/>
  <c r="T109" i="19"/>
  <c r="T105" i="19"/>
  <c r="V84" i="19"/>
  <c r="S138" i="19"/>
  <c r="R130" i="19"/>
  <c r="S125" i="19"/>
  <c r="W116" i="19"/>
  <c r="W108" i="19"/>
  <c r="W104" i="19"/>
  <c r="R99" i="19"/>
  <c r="S100" i="19"/>
  <c r="S81" i="19"/>
  <c r="R97" i="19"/>
  <c r="V60" i="19"/>
  <c r="W100" i="19"/>
  <c r="T84" i="19"/>
  <c r="R67" i="19"/>
  <c r="S60" i="19"/>
  <c r="V73" i="19"/>
  <c r="V69" i="19"/>
  <c r="W64" i="19"/>
  <c r="R68" i="19"/>
  <c r="S141" i="19"/>
  <c r="T130" i="19"/>
  <c r="S101" i="19"/>
  <c r="U80" i="19"/>
  <c r="W126" i="19"/>
  <c r="R116" i="19"/>
  <c r="R135" i="19"/>
  <c r="R100" i="19"/>
  <c r="S86" i="19"/>
  <c r="R60" i="19"/>
  <c r="T68" i="19"/>
  <c r="S80" i="19"/>
  <c r="V63" i="19"/>
  <c r="R65" i="19"/>
  <c r="S71" i="19"/>
  <c r="W141" i="19"/>
  <c r="T116" i="19"/>
  <c r="S134" i="19"/>
  <c r="U133" i="19"/>
  <c r="R104" i="19"/>
  <c r="T146" i="19"/>
  <c r="T149" i="19"/>
  <c r="T134" i="19"/>
  <c r="V127" i="19"/>
  <c r="S112" i="19"/>
  <c r="S105" i="19"/>
  <c r="T96" i="19"/>
  <c r="V88" i="19"/>
  <c r="R75" i="19"/>
  <c r="U106" i="19"/>
  <c r="T94" i="19"/>
  <c r="R80" i="19"/>
  <c r="R134" i="19"/>
  <c r="S129" i="19"/>
  <c r="V120" i="19"/>
  <c r="R112" i="19"/>
  <c r="S96" i="19"/>
  <c r="R90" i="19"/>
  <c r="W85" i="19"/>
  <c r="R96" i="19"/>
  <c r="W84" i="19"/>
  <c r="T81" i="19"/>
  <c r="R113" i="19"/>
  <c r="R105" i="19"/>
  <c r="U94" i="19"/>
  <c r="S76" i="19"/>
  <c r="S68" i="19"/>
  <c r="U63" i="19"/>
  <c r="S92" i="19"/>
  <c r="R81" i="19"/>
  <c r="W79" i="19"/>
  <c r="W76" i="19"/>
  <c r="R72" i="19"/>
  <c r="S67" i="19"/>
  <c r="S132" i="19"/>
  <c r="S140" i="19"/>
  <c r="T137" i="19"/>
  <c r="T133" i="19"/>
  <c r="T129" i="19"/>
  <c r="T125" i="19"/>
  <c r="S121" i="19"/>
  <c r="S119" i="19"/>
  <c r="R128" i="19"/>
  <c r="U141" i="19"/>
  <c r="U149" i="19"/>
  <c r="S120" i="19"/>
  <c r="S99" i="19"/>
  <c r="V122" i="19"/>
  <c r="V106" i="19"/>
  <c r="T76" i="19"/>
  <c r="W112" i="19"/>
  <c r="R107" i="19"/>
  <c r="T85" i="19"/>
  <c r="T63" i="19"/>
  <c r="V97" i="19"/>
  <c r="S94" i="19"/>
  <c r="U82" i="19"/>
  <c r="T67" i="19"/>
  <c r="S104" i="19"/>
  <c r="T88" i="19"/>
  <c r="U76" i="19"/>
  <c r="U75" i="19"/>
  <c r="T64" i="19"/>
  <c r="S77" i="19"/>
  <c r="R69" i="19"/>
  <c r="R76" i="19"/>
  <c r="S73" i="19"/>
  <c r="S78" i="19"/>
  <c r="S95" i="19"/>
  <c r="V96" i="19"/>
  <c r="S89" i="19"/>
  <c r="R101" i="19"/>
  <c r="R74" i="19"/>
  <c r="R148" i="19"/>
  <c r="S136" i="19"/>
  <c r="S70" i="19"/>
  <c r="W83" i="19"/>
  <c r="S98" i="19"/>
  <c r="T142" i="19"/>
  <c r="U134" i="19"/>
  <c r="W128" i="19"/>
  <c r="V78" i="19"/>
  <c r="U62" i="19"/>
  <c r="T70" i="19"/>
  <c r="T74" i="19"/>
  <c r="W65" i="19"/>
  <c r="T91" i="19"/>
  <c r="T98" i="19"/>
  <c r="V87" i="19"/>
  <c r="R102" i="19"/>
  <c r="R111" i="19"/>
  <c r="T122" i="19"/>
  <c r="V118" i="19"/>
  <c r="T135" i="19"/>
  <c r="S114" i="19"/>
  <c r="W123" i="19"/>
  <c r="U145" i="19"/>
  <c r="W136" i="19"/>
  <c r="V61" i="19"/>
  <c r="W102" i="19"/>
  <c r="V98" i="19"/>
  <c r="U102" i="19"/>
  <c r="W111" i="19"/>
  <c r="V99" i="19"/>
  <c r="U105" i="19"/>
  <c r="R118" i="19"/>
  <c r="S142" i="19"/>
  <c r="U148" i="19"/>
  <c r="U140" i="19"/>
  <c r="V144" i="19"/>
  <c r="T132" i="19"/>
  <c r="S135" i="19"/>
  <c r="S66" i="19"/>
  <c r="W77" i="19"/>
  <c r="W93" i="19"/>
  <c r="R103" i="19"/>
  <c r="W107" i="19"/>
  <c r="U116" i="19"/>
  <c r="S143" i="19"/>
  <c r="T65" i="19"/>
  <c r="U61" i="19"/>
  <c r="U72" i="19"/>
  <c r="W89" i="19"/>
  <c r="V85" i="19"/>
  <c r="V82" i="19"/>
  <c r="U81" i="19"/>
  <c r="V95" i="19"/>
  <c r="V81" i="19"/>
  <c r="S107" i="19"/>
  <c r="U121" i="19"/>
  <c r="U109" i="19"/>
  <c r="S122" i="19"/>
  <c r="W110" i="19"/>
  <c r="T89" i="19"/>
  <c r="S87" i="19"/>
  <c r="U118" i="19"/>
  <c r="R147" i="19"/>
  <c r="U110" i="19"/>
  <c r="R70" i="19"/>
  <c r="W91" i="19"/>
  <c r="R117" i="19"/>
  <c r="V123" i="19"/>
  <c r="U103" i="19"/>
  <c r="V136" i="19"/>
  <c r="R93" i="19"/>
  <c r="T117" i="19"/>
  <c r="U114" i="19"/>
  <c r="W135" i="19"/>
  <c r="W148" i="19"/>
  <c r="V119" i="19"/>
  <c r="T77" i="19"/>
  <c r="T93" i="19"/>
  <c r="V89" i="19"/>
  <c r="U95" i="19"/>
  <c r="T118" i="19"/>
  <c r="V117" i="19"/>
  <c r="S123" i="19"/>
  <c r="V105" i="19"/>
  <c r="V109" i="19"/>
  <c r="S115" i="19"/>
  <c r="R110" i="19"/>
  <c r="R77" i="19"/>
  <c r="S110" i="19"/>
  <c r="T82" i="19"/>
  <c r="T83" i="19"/>
  <c r="W98" i="19"/>
  <c r="T128" i="19"/>
  <c r="R146" i="19"/>
  <c r="W78" i="19"/>
  <c r="V62" i="19"/>
  <c r="W69" i="19"/>
  <c r="U101" i="19"/>
  <c r="R87" i="19"/>
  <c r="W87" i="19"/>
  <c r="U138" i="19"/>
  <c r="W121" i="19"/>
  <c r="U120" i="19"/>
  <c r="T123" i="19"/>
  <c r="W131" i="19"/>
  <c r="V141" i="19"/>
  <c r="S106" i="19"/>
  <c r="V134" i="19"/>
  <c r="V146" i="19"/>
  <c r="W103" i="19"/>
  <c r="T136" i="19"/>
  <c r="W82" i="19"/>
  <c r="W101" i="19"/>
  <c r="W86" i="19"/>
  <c r="V111" i="19"/>
  <c r="W118" i="19"/>
  <c r="W99" i="19"/>
  <c r="S118" i="19"/>
  <c r="T148" i="19"/>
  <c r="W144" i="19"/>
  <c r="U132" i="19"/>
  <c r="T119" i="19"/>
  <c r="W119" i="19"/>
  <c r="R78" i="19"/>
  <c r="U77" i="19"/>
  <c r="S93" i="19"/>
  <c r="S91" i="19"/>
  <c r="T107" i="19"/>
  <c r="R143" i="19"/>
  <c r="V143" i="19"/>
  <c r="V137" i="19"/>
  <c r="T69" i="19"/>
  <c r="U73" i="19"/>
  <c r="W97" i="19"/>
  <c r="V86" i="19"/>
  <c r="W95" i="19"/>
  <c r="V68" i="19"/>
  <c r="S61" i="19"/>
  <c r="V147" i="19"/>
  <c r="V94" i="19"/>
  <c r="U98" i="19"/>
  <c r="T131" i="19"/>
  <c r="S146" i="19"/>
  <c r="U90" i="19"/>
  <c r="U111" i="19"/>
  <c r="V121" i="19"/>
  <c r="U99" i="19"/>
  <c r="V140" i="19"/>
  <c r="S131" i="19"/>
  <c r="U130" i="19"/>
  <c r="T102" i="19"/>
  <c r="U112" i="19"/>
  <c r="S82" i="19"/>
  <c r="R140" i="19"/>
  <c r="W61" i="19"/>
  <c r="V130" i="19"/>
  <c r="S69" i="19"/>
  <c r="T114" i="19"/>
  <c r="V126" i="19"/>
  <c r="S62" i="19"/>
  <c r="T106" i="19"/>
  <c r="W122" i="19"/>
  <c r="W142" i="19"/>
  <c r="U128" i="19"/>
  <c r="T78" i="19"/>
  <c r="W59" i="19"/>
  <c r="R62" i="19"/>
  <c r="W62" i="19"/>
  <c r="W66" i="19"/>
  <c r="W73" i="19"/>
  <c r="R82" i="19"/>
  <c r="V64" i="19"/>
  <c r="T87" i="19"/>
  <c r="V90" i="19"/>
  <c r="V102" i="19"/>
  <c r="R95" i="19"/>
  <c r="S102" i="19"/>
  <c r="S111" i="19"/>
  <c r="T121" i="19"/>
  <c r="T127" i="19"/>
  <c r="R114" i="19"/>
  <c r="S139" i="19"/>
  <c r="V138" i="19"/>
  <c r="T103" i="19"/>
  <c r="W114" i="19"/>
  <c r="U136" i="19"/>
  <c r="S59" i="19"/>
  <c r="U68" i="19"/>
  <c r="T101" i="19"/>
  <c r="T111" i="19"/>
  <c r="W117" i="19"/>
  <c r="T99" i="19"/>
  <c r="V112" i="19"/>
  <c r="R115" i="19"/>
  <c r="V148" i="19"/>
  <c r="T140" i="19"/>
  <c r="W140" i="19"/>
  <c r="U144" i="19"/>
  <c r="V132" i="19"/>
  <c r="S127" i="19"/>
  <c r="V77" i="19"/>
  <c r="V93" i="19"/>
  <c r="T73" i="19"/>
  <c r="U79" i="19"/>
  <c r="U89" i="19"/>
  <c r="U97" i="19"/>
  <c r="T97" i="19"/>
  <c r="V101" i="19"/>
  <c r="T95" i="19"/>
  <c r="U100" i="19"/>
  <c r="S103" i="19"/>
  <c r="V116" i="19"/>
  <c r="W106" i="19"/>
  <c r="V80" i="19"/>
  <c r="R122" i="19"/>
  <c r="T115" i="19"/>
  <c r="W115" i="19"/>
  <c r="S147" i="19"/>
  <c r="V110" i="19"/>
  <c r="U126" i="19"/>
  <c r="S144" i="19"/>
  <c r="S128" i="19"/>
  <c r="R136" i="19"/>
  <c r="R86" i="19"/>
  <c r="R142" i="19"/>
  <c r="S65" i="19"/>
  <c r="R66" i="19"/>
  <c r="S117" i="19"/>
  <c r="U137" i="19"/>
  <c r="V83" i="19"/>
  <c r="R98" i="19"/>
  <c r="R123" i="19"/>
  <c r="V142" i="19"/>
  <c r="V128" i="19"/>
  <c r="U78" i="19"/>
  <c r="T59" i="19"/>
  <c r="T62" i="19"/>
  <c r="T66" i="19"/>
  <c r="W70" i="19"/>
  <c r="W74" i="19"/>
  <c r="U64" i="19"/>
  <c r="R91" i="19"/>
  <c r="U87" i="19"/>
  <c r="R106" i="19"/>
  <c r="U117" i="19"/>
  <c r="U85" i="19"/>
  <c r="R139" i="19"/>
  <c r="S74" i="19"/>
  <c r="V145" i="19"/>
  <c r="R59" i="19"/>
  <c r="T86" i="19"/>
  <c r="U96" i="19"/>
  <c r="T144" i="19"/>
  <c r="W132" i="19"/>
  <c r="U93" i="19"/>
  <c r="T61" i="19"/>
  <c r="U60" i="19"/>
  <c r="S83" i="19"/>
  <c r="U115" i="19"/>
  <c r="T110" i="19"/>
  <c r="S148" i="19"/>
  <c r="V91" i="19"/>
  <c r="U74" i="19"/>
  <c r="U146" i="19"/>
  <c r="U147" i="19"/>
  <c r="V115" i="19"/>
  <c r="V103" i="19"/>
  <c r="V139" i="19"/>
  <c r="U107" i="19"/>
  <c r="V74" i="19"/>
  <c r="U70" i="19"/>
  <c r="U142" i="19"/>
  <c r="U143" i="19"/>
  <c r="U119" i="19"/>
  <c r="V70" i="19"/>
  <c r="V66" i="19"/>
  <c r="U139" i="19"/>
  <c r="U66" i="19"/>
  <c r="V107" i="19"/>
  <c r="U123" i="19"/>
  <c r="U83" i="19"/>
  <c r="U91" i="19"/>
  <c r="V59" i="19"/>
  <c r="U59" i="19"/>
  <c r="T52" i="19"/>
  <c r="T55" i="19"/>
  <c r="T56" i="19"/>
  <c r="R32" i="19"/>
  <c r="U54" i="19"/>
  <c r="V53" i="19"/>
  <c r="U53" i="19"/>
  <c r="S57" i="19"/>
  <c r="S34" i="19"/>
  <c r="U57" i="19"/>
  <c r="W56" i="19"/>
  <c r="W57" i="19"/>
  <c r="S52" i="19"/>
  <c r="V54" i="19"/>
  <c r="R58" i="19"/>
  <c r="V58" i="19"/>
  <c r="U56" i="19"/>
  <c r="R57" i="19"/>
  <c r="R12" i="19"/>
  <c r="R52" i="19"/>
  <c r="S53" i="19"/>
  <c r="U39" i="19"/>
  <c r="W51" i="19"/>
  <c r="W52" i="19"/>
  <c r="V52" i="19"/>
  <c r="T54" i="19"/>
  <c r="S56" i="19"/>
  <c r="S58" i="19"/>
  <c r="T35" i="19"/>
  <c r="U55" i="19"/>
  <c r="V56" i="19"/>
  <c r="V46" i="19"/>
  <c r="W53" i="19"/>
  <c r="V55" i="19"/>
  <c r="W54" i="19"/>
  <c r="T57" i="19"/>
  <c r="R54" i="19"/>
  <c r="U58" i="19"/>
  <c r="R53" i="19"/>
  <c r="W55" i="19"/>
  <c r="V57" i="19"/>
  <c r="T58" i="19"/>
  <c r="U52" i="19"/>
  <c r="W58" i="19"/>
  <c r="T53" i="19"/>
  <c r="S55" i="19"/>
  <c r="T41" i="19"/>
  <c r="R55" i="19"/>
  <c r="R56" i="19"/>
  <c r="R41" i="19"/>
  <c r="V39" i="19"/>
  <c r="S26" i="19"/>
  <c r="T45" i="19"/>
  <c r="T25" i="19"/>
  <c r="U13" i="19"/>
  <c r="R27" i="19"/>
  <c r="W26" i="19"/>
  <c r="T16" i="19"/>
  <c r="V23" i="19"/>
  <c r="U32" i="19"/>
  <c r="T17" i="19"/>
  <c r="V31" i="19"/>
  <c r="S51" i="19"/>
  <c r="V47" i="19"/>
  <c r="V50" i="19"/>
  <c r="R17" i="19"/>
  <c r="U26" i="19"/>
  <c r="S37" i="19"/>
  <c r="S21" i="19"/>
  <c r="S43" i="19"/>
  <c r="T33" i="19"/>
  <c r="T27" i="19"/>
  <c r="S31" i="19"/>
  <c r="U16" i="19"/>
  <c r="V36" i="19"/>
  <c r="V43" i="19"/>
  <c r="W40" i="19"/>
  <c r="R22" i="19"/>
  <c r="W30" i="19"/>
  <c r="S11" i="19"/>
  <c r="U12" i="19"/>
  <c r="W32" i="19"/>
  <c r="S13" i="19"/>
  <c r="U17" i="19"/>
  <c r="S24" i="19"/>
  <c r="U30" i="19"/>
  <c r="R40" i="19"/>
  <c r="S42" i="19"/>
  <c r="T47" i="19"/>
  <c r="T14" i="19"/>
  <c r="T48" i="19"/>
  <c r="T31" i="19"/>
  <c r="V18" i="19"/>
  <c r="W34" i="19"/>
  <c r="R39" i="19"/>
  <c r="R42" i="19"/>
  <c r="R31" i="19"/>
  <c r="W49" i="19"/>
  <c r="W41" i="19"/>
  <c r="R19" i="19"/>
  <c r="T51" i="19"/>
  <c r="W43" i="19"/>
  <c r="W36" i="19"/>
  <c r="V35" i="19"/>
  <c r="W47" i="19"/>
  <c r="S46" i="19"/>
  <c r="S32" i="19"/>
  <c r="W28" i="19"/>
  <c r="W33" i="19"/>
  <c r="U20" i="19"/>
  <c r="W18" i="19"/>
  <c r="R26" i="19"/>
  <c r="S47" i="19"/>
  <c r="U28" i="19"/>
  <c r="T28" i="19"/>
  <c r="R38" i="19"/>
  <c r="S29" i="19"/>
  <c r="W10" i="19"/>
  <c r="U42" i="19"/>
  <c r="U38" i="19"/>
  <c r="U49" i="19"/>
  <c r="S17" i="19"/>
  <c r="W46" i="19"/>
  <c r="R15" i="19"/>
  <c r="R20" i="19"/>
  <c r="V48" i="19"/>
  <c r="S38" i="19"/>
  <c r="U43" i="19"/>
  <c r="W44" i="19"/>
  <c r="R16" i="19"/>
  <c r="U33" i="19"/>
  <c r="R44" i="19"/>
  <c r="U35" i="19"/>
  <c r="R30" i="19"/>
  <c r="T18" i="19"/>
  <c r="W35" i="19"/>
  <c r="S15" i="19"/>
  <c r="T19" i="19"/>
  <c r="S16" i="19"/>
  <c r="S45" i="19"/>
  <c r="W29" i="19"/>
  <c r="W23" i="19"/>
  <c r="R24" i="19"/>
  <c r="V45" i="19"/>
  <c r="T50" i="19"/>
  <c r="V44" i="19"/>
  <c r="S28" i="19"/>
  <c r="T34" i="19"/>
  <c r="R23" i="19"/>
  <c r="V24" i="19"/>
  <c r="V16" i="19"/>
  <c r="T11" i="19"/>
  <c r="S25" i="19"/>
  <c r="T39" i="19"/>
  <c r="U18" i="19"/>
  <c r="V33" i="19"/>
  <c r="U34" i="19"/>
  <c r="U15" i="19"/>
  <c r="S44" i="19"/>
  <c r="W11" i="19"/>
  <c r="V34" i="19"/>
  <c r="W20" i="19"/>
  <c r="R25" i="19"/>
  <c r="S14" i="19"/>
  <c r="W19" i="19"/>
  <c r="S19" i="19"/>
  <c r="T10" i="19"/>
  <c r="R45" i="19"/>
  <c r="U21" i="19"/>
  <c r="T23" i="19"/>
  <c r="U14" i="19"/>
  <c r="S12" i="19"/>
  <c r="R51" i="19"/>
  <c r="R14" i="19"/>
  <c r="R13" i="19"/>
  <c r="S39" i="19"/>
  <c r="T43" i="19"/>
  <c r="V28" i="19"/>
  <c r="S35" i="19"/>
  <c r="T21" i="19"/>
  <c r="U47" i="19"/>
  <c r="S27" i="19"/>
  <c r="R49" i="19"/>
  <c r="T44" i="19"/>
  <c r="U44" i="19"/>
  <c r="S36" i="19"/>
  <c r="W15" i="19"/>
  <c r="V21" i="19"/>
  <c r="V15" i="19"/>
  <c r="V13" i="19"/>
  <c r="U10" i="19"/>
  <c r="W39" i="19"/>
  <c r="U29" i="19"/>
  <c r="V40" i="19"/>
  <c r="S10" i="19"/>
  <c r="W38" i="19"/>
  <c r="U27" i="19"/>
  <c r="S22" i="19"/>
  <c r="R10" i="19"/>
  <c r="T36" i="19"/>
  <c r="T40" i="19"/>
  <c r="U41" i="19"/>
  <c r="V42" i="19"/>
  <c r="W24" i="19"/>
  <c r="U37" i="19"/>
  <c r="T13" i="19"/>
  <c r="S23" i="19"/>
  <c r="U48" i="19"/>
  <c r="T30" i="19"/>
  <c r="V32" i="19"/>
  <c r="R48" i="19"/>
  <c r="S33" i="19"/>
  <c r="T42" i="19"/>
  <c r="U46" i="19"/>
  <c r="V11" i="19"/>
  <c r="U51" i="19"/>
  <c r="W50" i="19"/>
  <c r="T24" i="19"/>
  <c r="R34" i="19"/>
  <c r="W25" i="19"/>
  <c r="R33" i="19"/>
  <c r="V27" i="19"/>
  <c r="W13" i="19"/>
  <c r="V22" i="19"/>
  <c r="T20" i="19"/>
  <c r="W37" i="19"/>
  <c r="W22" i="19"/>
  <c r="V41" i="19"/>
  <c r="R37" i="19"/>
  <c r="U25" i="19"/>
  <c r="S20" i="19"/>
  <c r="W42" i="19"/>
  <c r="V26" i="19"/>
  <c r="V10" i="19"/>
  <c r="U31" i="19"/>
  <c r="R18" i="19"/>
  <c r="S48" i="19"/>
  <c r="T15" i="19"/>
  <c r="U19" i="19"/>
  <c r="V29" i="19"/>
  <c r="R46" i="19"/>
  <c r="R35" i="19"/>
  <c r="W21" i="19"/>
  <c r="S18" i="19"/>
  <c r="S30" i="19"/>
  <c r="W31" i="19"/>
  <c r="U36" i="19"/>
  <c r="S40" i="19"/>
  <c r="R47" i="19"/>
  <c r="T26" i="19"/>
  <c r="T32" i="19"/>
  <c r="S49" i="19"/>
  <c r="W16" i="19"/>
  <c r="V17" i="19"/>
  <c r="T37" i="19"/>
  <c r="W45" i="19"/>
  <c r="W12" i="19"/>
  <c r="T46" i="19"/>
  <c r="W48" i="19"/>
  <c r="T22" i="19"/>
  <c r="T49" i="19"/>
  <c r="V19" i="19"/>
  <c r="W27" i="19"/>
  <c r="T38" i="19"/>
  <c r="V30" i="19"/>
  <c r="S50" i="19"/>
  <c r="V49" i="19"/>
  <c r="R50" i="19"/>
  <c r="V37" i="19"/>
  <c r="T29" i="19"/>
  <c r="V20" i="19"/>
  <c r="W17" i="19"/>
  <c r="V38" i="19"/>
  <c r="U50" i="19"/>
  <c r="U23" i="19"/>
  <c r="R28" i="19"/>
  <c r="R11" i="19"/>
  <c r="U45" i="19"/>
  <c r="U40" i="19"/>
  <c r="R43" i="19"/>
  <c r="T12" i="19"/>
  <c r="R29" i="19"/>
  <c r="V25" i="19"/>
  <c r="R21" i="19"/>
  <c r="U11" i="19"/>
  <c r="V14" i="19"/>
  <c r="V12" i="19"/>
  <c r="R36" i="19"/>
  <c r="W14" i="19"/>
  <c r="V51" i="19"/>
  <c r="S41" i="19"/>
  <c r="U24" i="19"/>
  <c r="U22" i="19"/>
  <c r="R154" i="19" l="1"/>
  <c r="R155" i="19" s="1"/>
  <c r="R156" i="19" s="1"/>
  <c r="R8" i="19" s="1"/>
  <c r="S154" i="19"/>
  <c r="S155" i="19" s="1"/>
  <c r="S156" i="19" s="1"/>
  <c r="S8" i="19" s="1"/>
  <c r="U154" i="19"/>
  <c r="U155" i="19" s="1"/>
  <c r="U156" i="19" s="1"/>
  <c r="U8" i="19" s="1"/>
  <c r="T154" i="19"/>
  <c r="T155" i="19" s="1"/>
  <c r="T156" i="19" s="1"/>
  <c r="T8" i="19" s="1"/>
  <c r="V154" i="19"/>
  <c r="V155" i="19" s="1"/>
  <c r="V156" i="19" s="1"/>
  <c r="V8" i="19" s="1"/>
  <c r="W154" i="19"/>
  <c r="W155" i="19" s="1"/>
  <c r="W156" i="19" s="1"/>
  <c r="W8" i="19" s="1"/>
  <c r="L22" i="18" l="1"/>
  <c r="Q22"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4" authorId="0" shapeId="0" xr:uid="{F3ABB23D-65A6-4180-BABB-9ED79444FBBB}">
      <text>
        <r>
          <rPr>
            <sz val="12"/>
            <color indexed="81"/>
            <rFont val="Calibri"/>
            <family val="2"/>
          </rPr>
          <t>Vanwege leklucht zal de maximale reductie 95% zijn.</t>
        </r>
        <r>
          <rPr>
            <b/>
            <sz val="9"/>
            <color indexed="81"/>
            <rFont val="Tahoma"/>
            <family val="2"/>
          </rPr>
          <t xml:space="preserve"> </t>
        </r>
        <r>
          <rPr>
            <sz val="9"/>
            <color indexed="81"/>
            <rFont val="Tahoma"/>
            <family val="2"/>
          </rPr>
          <t xml:space="preserve">
</t>
        </r>
      </text>
    </comment>
    <comment ref="H19" authorId="0" shapeId="0" xr:uid="{407F7391-6566-40D5-BBC0-5FD4AE92C366}">
      <text>
        <r>
          <rPr>
            <sz val="12"/>
            <color indexed="81"/>
            <rFont val="Calibri"/>
            <family val="2"/>
          </rPr>
          <t xml:space="preserve">Vanwege leklucht zal de gerealiseerde reductie bij stoffilter maximaal 95% zijn en wordt 99% niet gerealiseerd.
</t>
        </r>
      </text>
    </comment>
    <comment ref="L19" authorId="0" shapeId="0" xr:uid="{A5861CE1-C80F-4221-B305-29D35A2FD795}">
      <text>
        <r>
          <rPr>
            <sz val="12"/>
            <color indexed="81"/>
            <rFont val="Calibri"/>
            <family val="2"/>
          </rPr>
          <t xml:space="preserve">Hier staat reductiepercentage van techniek zelf. Door de combinatie met andere technieken, zal het hieronder vermelde gerealiseerde percentage lager uitvallen.
</t>
        </r>
      </text>
    </comment>
    <comment ref="L22" authorId="0" shapeId="0" xr:uid="{E4A934B9-648D-4962-965F-E769E0EDEA4B}">
      <text>
        <r>
          <rPr>
            <sz val="12"/>
            <color indexed="81"/>
            <rFont val="Calibri"/>
            <family val="2"/>
          </rPr>
          <t xml:space="preserve">Dit reductiepercentage is gebaseerd op het deel van de lucht dat door de overige techniek gaat en wordt beinvloed door de voorgaande technieken.
Enkele regels hierboven staat het reductiepercentage van de techniek 'an sich'. </t>
        </r>
        <r>
          <rPr>
            <sz val="9"/>
            <color indexed="81"/>
            <rFont val="Tahoma"/>
            <family val="2"/>
          </rPr>
          <t xml:space="preserve">
</t>
        </r>
      </text>
    </comment>
  </commentList>
</comments>
</file>

<file path=xl/sharedStrings.xml><?xml version="1.0" encoding="utf-8"?>
<sst xmlns="http://schemas.openxmlformats.org/spreadsheetml/2006/main" count="308" uniqueCount="201">
  <si>
    <t>datum</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</si>
  <si>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</si>
  <si>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</si>
  <si>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</si>
  <si>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</si>
  <si>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</si>
  <si>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</si>
  <si>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</si>
  <si>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</si>
  <si>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</si>
  <si>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</si>
  <si>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</si>
  <si>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</si>
  <si>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</si>
  <si>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</si>
  <si>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</si>
  <si>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</si>
  <si>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</si>
  <si>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</si>
  <si>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</si>
  <si>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</si>
  <si>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</si>
  <si>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</si>
  <si>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</si>
  <si>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</si>
  <si>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</si>
  <si>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</si>
  <si>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</si>
  <si>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</si>
  <si>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</si>
  <si>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</si>
  <si>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</si>
  <si>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</si>
  <si>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</si>
  <si>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</si>
  <si>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</si>
  <si>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</si>
  <si>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</si>
  <si>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</si>
  <si>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</si>
  <si>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</si>
  <si>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</si>
  <si>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</si>
  <si>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</si>
  <si>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</si>
  <si>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</si>
  <si>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</si>
  <si>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</si>
  <si>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</si>
  <si>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</si>
  <si>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</si>
  <si>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</si>
  <si>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</si>
  <si>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</si>
  <si>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</si>
  <si>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</si>
  <si>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</si>
  <si>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</si>
  <si>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</si>
  <si>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</si>
  <si>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</si>
  <si>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</si>
  <si>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</si>
  <si>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</si>
  <si>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</si>
  <si>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</si>
  <si>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</si>
  <si>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</si>
  <si>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</si>
  <si>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</si>
  <si>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</si>
  <si>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</si>
  <si>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</si>
  <si>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</si>
  <si>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</si>
  <si>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</si>
  <si>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</si>
  <si>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</si>
  <si>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</si>
  <si>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</si>
  <si>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</si>
  <si>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</si>
  <si>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</si>
  <si>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</si>
  <si>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</si>
  <si>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</si>
  <si>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</si>
  <si>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</si>
  <si>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</si>
  <si>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</si>
  <si>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</si>
  <si>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</si>
  <si>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</si>
  <si>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GEEN STALTECHNIEK</t>
  </si>
  <si>
    <r>
      <t>Max. ventilatiedebiet m</t>
    </r>
    <r>
      <rPr>
        <vertAlign val="superscript"/>
        <sz val="12"/>
        <color theme="0"/>
        <rFont val="Calibri"/>
        <family val="2"/>
        <scheme val="minor"/>
      </rPr>
      <t>3</t>
    </r>
    <r>
      <rPr>
        <sz val="12"/>
        <color theme="0"/>
        <rFont val="Calibri"/>
        <family val="2"/>
        <scheme val="minor"/>
      </rPr>
      <t>/d/uur</t>
    </r>
  </si>
  <si>
    <t>GEEN TECHNIEK</t>
  </si>
  <si>
    <t>̌</t>
  </si>
  <si>
    <t>WATERLUCHTWASSYSTEEM</t>
  </si>
  <si>
    <t>ALLE VENTILATIELUCHT</t>
  </si>
  <si>
    <t>DEEL VENTILATIELUCHT</t>
  </si>
  <si>
    <t>75% VENTILATIE</t>
  </si>
  <si>
    <t>50% VENTILATIE</t>
  </si>
  <si>
    <t>25% VENTILATIE</t>
  </si>
  <si>
    <t>PARALLEL GESCHAKELD MET WARMTEWISSELAAR</t>
  </si>
  <si>
    <t>SERIE GESCHAKELD MET WARMTEWISSELAAR</t>
  </si>
  <si>
    <t>Overige technieken</t>
  </si>
  <si>
    <t>Maximale ventilatie in de stal</t>
  </si>
  <si>
    <t>naam</t>
  </si>
  <si>
    <t>adres</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</si>
  <si>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</si>
  <si>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</si>
  <si>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</si>
  <si>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</si>
  <si>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Lft (dg)</t>
  </si>
  <si>
    <t>MG</t>
  </si>
  <si>
    <t>Voer (g/d)</t>
  </si>
  <si>
    <t>Totaal deb update (m3/d/u)</t>
  </si>
  <si>
    <t>Hoofd deb update minus WW (m3/d/u)</t>
  </si>
  <si>
    <t>Deb. w.wisselaar (m3/u/d)</t>
  </si>
  <si>
    <t>PM10 conc (mg/m3)</t>
  </si>
  <si>
    <t>#dieren</t>
  </si>
  <si>
    <t>Emissie PM10 zonder reductie (g/dpl/j)</t>
  </si>
  <si>
    <r>
      <t xml:space="preserve">Emissie (g/dpl/jr) bij ..% red. WW </t>
    </r>
    <r>
      <rPr>
        <b/>
        <i/>
        <u/>
        <sz val="10"/>
        <rFont val="Arial"/>
        <family val="2"/>
      </rPr>
      <t>en</t>
    </r>
    <r>
      <rPr>
        <b/>
        <sz val="10"/>
        <rFont val="Arial"/>
        <family val="2"/>
      </rPr>
      <t xml:space="preserve"> ..%red hoofddebiet</t>
    </r>
  </si>
  <si>
    <t>Berekeningen bij uitbroeden/opfokken en overplaatsen</t>
  </si>
  <si>
    <t>Achtergrond</t>
  </si>
  <si>
    <t>reductie in de stal</t>
  </si>
  <si>
    <t>max. debiet door wwlaar/droge stoffilters (m3/u/d)</t>
  </si>
  <si>
    <t>zonder reductie</t>
  </si>
  <si>
    <t>met reductie</t>
  </si>
  <si>
    <t>verhouding plaatsen</t>
  </si>
  <si>
    <t>1:2</t>
  </si>
  <si>
    <t>1:1</t>
  </si>
  <si>
    <t>trad.</t>
  </si>
  <si>
    <t>uitbroed/opfok-systeem</t>
  </si>
  <si>
    <t>gemiddelde reductie</t>
  </si>
  <si>
    <t>Overplaatsen op  .... dagen</t>
  </si>
  <si>
    <t>dagen eieren</t>
  </si>
  <si>
    <t>dagen leegstand</t>
  </si>
  <si>
    <t>dagen/ronde</t>
  </si>
  <si>
    <t># rondes/jr</t>
  </si>
  <si>
    <t>emissie/ronde  (gam)</t>
  </si>
  <si>
    <t>emissie/dpl/jr (gram)</t>
  </si>
  <si>
    <t>vervolghuisvesting</t>
  </si>
  <si>
    <t># dagen</t>
  </si>
  <si>
    <t>Groeiperiode</t>
  </si>
  <si>
    <t>Patio</t>
  </si>
  <si>
    <t>VVH</t>
  </si>
  <si>
    <t>Leegstand na vvh</t>
  </si>
  <si>
    <t># ronden</t>
  </si>
  <si>
    <t>emissie/ronde  (gram)</t>
  </si>
  <si>
    <t>samen (gr/dpl/jr)</t>
  </si>
  <si>
    <t>verschil t.o.v. trad.</t>
  </si>
  <si>
    <t>reductie</t>
  </si>
  <si>
    <t>totaal reductie debiet</t>
  </si>
  <si>
    <t>gem (- leeg)</t>
  </si>
  <si>
    <t>gem (+ leeg)</t>
  </si>
  <si>
    <t>TOTAAL DEBIET (hoofd en WW)</t>
  </si>
  <si>
    <t>reductie wwlaar zonder droge stoffilters</t>
  </si>
  <si>
    <t>beiden niet via techniek</t>
  </si>
  <si>
    <t>reductie overige techniek ALLE lucht</t>
  </si>
  <si>
    <t>Emissie alleen ww</t>
  </si>
  <si>
    <t>lucht ww niet via techniek</t>
  </si>
  <si>
    <t>Emissie na overige techniek (g/dpl/jr)</t>
  </si>
  <si>
    <t>lucht ww niet via techniek wel via stoffilter</t>
  </si>
  <si>
    <t>% t.o.v. maximum</t>
  </si>
  <si>
    <t>ww wel via overige techniek</t>
  </si>
  <si>
    <t>Warmtewisselaar met stoffilter?</t>
  </si>
  <si>
    <t>lucht ww i.c.m. filter via techniek</t>
  </si>
  <si>
    <t>max. debiet stoffilter stand alone</t>
  </si>
  <si>
    <t>Deb. Alleen Stoffilter (m3/u/d)</t>
  </si>
  <si>
    <t>Deb. Ww en Stoffilter (m3/u/d)</t>
  </si>
  <si>
    <t>Emissie Stoffilter en ww achter elkaar</t>
  </si>
  <si>
    <t>max. debiet stoffilter met ww</t>
  </si>
  <si>
    <t>Gemaakt in opdracht van het ministerie van Infrastructuur en Waterstaat</t>
  </si>
  <si>
    <t>ww incl stoffilter via techniek</t>
  </si>
  <si>
    <r>
      <t>m</t>
    </r>
    <r>
      <rPr>
        <vertAlign val="superscript"/>
        <sz val="12"/>
        <color theme="1"/>
        <rFont val="Calibri"/>
        <family val="2"/>
        <scheme val="minor"/>
      </rPr>
      <t>3</t>
    </r>
    <r>
      <rPr>
        <sz val="12"/>
        <color theme="1"/>
        <rFont val="Calibri"/>
        <family val="2"/>
        <scheme val="minor"/>
      </rPr>
      <t>/uur</t>
    </r>
  </si>
  <si>
    <r>
      <t>m</t>
    </r>
    <r>
      <rPr>
        <b/>
        <vertAlign val="superscript"/>
        <sz val="14"/>
        <color theme="0" tint="-0.499984740745262"/>
        <rFont val="Calibri"/>
        <family val="2"/>
        <scheme val="minor"/>
      </rPr>
      <t>3</t>
    </r>
    <r>
      <rPr>
        <b/>
        <sz val="14"/>
        <color theme="0" tint="-0.499984740745262"/>
        <rFont val="Calibri"/>
        <family val="2"/>
        <scheme val="minor"/>
      </rPr>
      <t>/uur</t>
    </r>
  </si>
  <si>
    <t>LUCHTCONDITIONERINGSUNIT</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</si>
  <si>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</si>
  <si>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</si>
  <si>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</si>
  <si>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Gew. (kg)</t>
  </si>
  <si>
    <t>HENNEN</t>
  </si>
  <si>
    <t>HANEN</t>
  </si>
  <si>
    <t>KIES HENNEN of HANEN</t>
  </si>
  <si>
    <t xml:space="preserve">Stal voor opfok </t>
  </si>
  <si>
    <t>vleeskuikenouderdieren</t>
  </si>
  <si>
    <t>invullen</t>
  </si>
  <si>
    <t>TOELICHTING GEBRUIK REKENMODEL (Er is online ook een handleiding beschikbaar).</t>
  </si>
  <si>
    <t>CHEMISCHE WASSER 35%</t>
  </si>
  <si>
    <t>CHEMISCHE WASSER 70%</t>
  </si>
  <si>
    <t>Emissie alleen stofilter of droogfilter</t>
  </si>
  <si>
    <t>Emissie ww + stand alone stoffilter of droogfilter</t>
  </si>
  <si>
    <t>IONISATIE MET KOOLSTOFBORSTELTJES</t>
  </si>
  <si>
    <t>DROGE STOFFILTER 99%</t>
  </si>
  <si>
    <t>DROOGFILTERUNIT 40%</t>
  </si>
  <si>
    <t>GEEN FILTER</t>
  </si>
  <si>
    <t xml:space="preserve">Bij warmtewisselaar, stoffilter en droogfilterunit kan de ventilatiehoeveelheid door de techniek aangepast worden met de pijltjes omhoog/omlaag. </t>
  </si>
  <si>
    <t>Reductiepercentage</t>
  </si>
  <si>
    <t>IONISATIE ICM INTERNE LUCHTCIRCULATIE</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</si>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</sst>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0.0"/>
    <numFmt numFmtId="166" formatCode="0.000"/>
    <numFmt numFmtId="167" formatCode="0.0%"/>
    <numFmt numFmtId="168" formatCode="#,##0.00_ ;\-#,##0.00\ "/>
    <numFmt numFmtId="169" formatCode="0.000000"/>
  </numFmts>
  <fonts count="64" x14ac:knownFonts="1">
    <font>
      <sz val="10"/>
      <name val="Arial"/>
    </font>
    <font>
      <sz val="11"/>
      <color theme="1"/>
      <name val="Calibri"/>
      <family val="2"/>
      <scheme val="minor"/>
    </font>
    <font>
      <sz val="10"/>
      <name val="Arial"/>
      <family val="2"/>
    </font>
    <font>
      <b/>
      <sz val="10"/>
      <name val="Arial"/>
      <family val="2"/>
    </font>
    <font>
      <b/>
      <i/>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sz val="12"/>
      <color theme="1"/>
      <name val="Calibri"/>
      <family val="2"/>
    </font>
    <font>
      <b/>
      <sz val="22"/>
      <color theme="1"/>
      <name val="Calibri"/>
      <family val="2"/>
      <scheme val="minor"/>
    </font>
    <font>
      <sz val="10"/>
      <color rgb="FFFF0000"/>
      <name val="Arial"/>
      <family val="2"/>
    </font>
    <font>
      <sz val="12"/>
      <name val="Arial"/>
      <family val="2"/>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b/>
      <sz val="16"/>
      <color rgb="FFFF0000"/>
      <name val="Calibri"/>
      <family val="2"/>
      <scheme val="minor"/>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2"/>
      <color rgb="FFFFFF00"/>
      <name val="Calibri"/>
      <family val="2"/>
      <scheme val="minor"/>
    </font>
    <font>
      <sz val="12"/>
      <color rgb="FFFFFF00"/>
      <name val="Calibri"/>
      <family val="2"/>
      <scheme val="minor"/>
    </font>
    <font>
      <b/>
      <sz val="14"/>
      <color rgb="FFFF0000"/>
      <name val="Arial"/>
      <family val="2"/>
    </font>
    <font>
      <b/>
      <sz val="12"/>
      <color rgb="FFFF0000"/>
      <name val="Verdana"/>
      <family val="2"/>
    </font>
    <font>
      <sz val="12"/>
      <color rgb="FF222222"/>
      <name val="Calibri"/>
      <family val="2"/>
      <scheme val="minor"/>
    </font>
    <font>
      <b/>
      <sz val="12"/>
      <color rgb="FF00B0F0"/>
      <name val="Calibri"/>
      <family val="2"/>
      <scheme val="minor"/>
    </font>
    <font>
      <b/>
      <sz val="10"/>
      <color rgb="FF00B0F0"/>
      <name val="Arial"/>
      <family val="2"/>
    </font>
    <font>
      <b/>
      <sz val="14"/>
      <color rgb="FF0070C0"/>
      <name val="Arial"/>
      <family val="2"/>
    </font>
    <font>
      <sz val="12"/>
      <color indexed="81"/>
      <name val="Calibri"/>
      <family val="2"/>
    </font>
    <font>
      <sz val="10"/>
      <color rgb="FF000000"/>
      <name val="Arial"/>
      <family val="2"/>
    </font>
  </fonts>
  <fills count="21">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indexed="13"/>
        <bgColor indexed="64"/>
      </patternFill>
    </fill>
    <fill>
      <patternFill patternType="solid">
        <fgColor rgb="FFCCFFCC"/>
        <bgColor indexed="64"/>
      </patternFill>
    </fill>
    <fill>
      <patternFill patternType="solid">
        <fgColor indexed="42"/>
        <bgColor indexed="64"/>
      </patternFill>
    </fill>
    <fill>
      <patternFill patternType="solid">
        <fgColor theme="7"/>
        <bgColor indexed="64"/>
      </patternFill>
    </fill>
    <fill>
      <patternFill patternType="solid">
        <fgColor rgb="FFFF0000"/>
        <bgColor indexed="64"/>
      </patternFill>
    </fill>
    <fill>
      <patternFill patternType="solid">
        <fgColor rgb="FF8064A2"/>
        <bgColor indexed="64"/>
      </patternFill>
    </fill>
    <fill>
      <patternFill patternType="solid">
        <fgColor rgb="FF0070C0"/>
        <bgColor indexed="64"/>
      </patternFill>
    </fill>
  </fills>
  <borders count="3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style="thin">
        <color indexed="64"/>
      </top>
      <bottom style="thin">
        <color indexed="64"/>
      </bottom>
      <diagonal/>
    </border>
  </borders>
  <cellStyleXfs count="8">
    <xf numFmtId="0" fontId="0" fillId="0" borderId="0"/>
    <xf numFmtId="9" fontId="2" fillId="0" borderId="0" applyFont="0" applyFill="0" applyBorder="0" applyAlignment="0" applyProtection="0"/>
    <xf numFmtId="0" fontId="6" fillId="0" borderId="0"/>
    <xf numFmtId="0" fontId="1" fillId="0" borderId="0"/>
    <xf numFmtId="9" fontId="6" fillId="0" borderId="0" applyFont="0" applyFill="0" applyBorder="0" applyAlignment="0" applyProtection="0"/>
    <xf numFmtId="0" fontId="9" fillId="0" borderId="0"/>
    <xf numFmtId="164" fontId="18" fillId="0" borderId="0" applyFont="0" applyFill="0" applyBorder="0" applyAlignment="0" applyProtection="0"/>
    <xf numFmtId="0" fontId="20" fillId="0" borderId="0"/>
  </cellStyleXfs>
  <cellXfs count="262">
    <xf numFmtId="0" fontId="0" fillId="0" borderId="0" xfId="0"/>
    <xf numFmtId="0" fontId="0" fillId="0" borderId="0" xfId="0" applyAlignment="1">
      <alignment horizontal="center"/>
    </xf>
    <xf numFmtId="165" fontId="0" fillId="0" borderId="0" xfId="0" applyNumberFormat="1" applyAlignment="1">
      <alignment horizontal="center"/>
    </xf>
    <xf numFmtId="166" fontId="0" fillId="0" borderId="0" xfId="0" applyNumberFormat="1" applyAlignment="1">
      <alignment horizontal="center"/>
    </xf>
    <xf numFmtId="2" fontId="0" fillId="0" borderId="0" xfId="0" applyNumberFormat="1" applyAlignment="1">
      <alignment horizontal="center"/>
    </xf>
    <xf numFmtId="0" fontId="3" fillId="0" borderId="0" xfId="0" applyFont="1" applyAlignment="1">
      <alignment horizontal="center" vertical="top" wrapText="1"/>
    </xf>
    <xf numFmtId="167" fontId="2" fillId="0" borderId="0" xfId="1" applyNumberFormat="1" applyAlignment="1">
      <alignment horizontal="center"/>
    </xf>
    <xf numFmtId="0" fontId="3" fillId="0" borderId="0" xfId="0" applyFont="1" applyAlignment="1">
      <alignment vertical="top" wrapText="1"/>
    </xf>
    <xf numFmtId="0" fontId="0" fillId="2" borderId="0" xfId="0" applyFill="1" applyAlignment="1">
      <alignment horizontal="center"/>
    </xf>
    <xf numFmtId="0" fontId="3" fillId="2" borderId="0" xfId="0" applyFont="1" applyFill="1" applyAlignment="1">
      <alignment horizontal="center" vertical="top" wrapText="1"/>
    </xf>
    <xf numFmtId="2" fontId="0" fillId="2" borderId="0" xfId="0" applyNumberFormat="1" applyFill="1" applyAlignment="1">
      <alignment horizontal="center"/>
    </xf>
    <xf numFmtId="0" fontId="2" fillId="0" borderId="0" xfId="0" applyFont="1"/>
    <xf numFmtId="0" fontId="2" fillId="0" borderId="0" xfId="0" applyFont="1" applyAlignment="1">
      <alignment horizontal="center"/>
    </xf>
    <xf numFmtId="166" fontId="0" fillId="0" borderId="0" xfId="0" applyNumberFormat="1"/>
    <xf numFmtId="0" fontId="6" fillId="0" borderId="0" xfId="2"/>
    <xf numFmtId="0" fontId="6" fillId="4" borderId="0" xfId="2" applyFill="1"/>
    <xf numFmtId="9" fontId="6" fillId="0" borderId="0" xfId="2" applyNumberFormat="1"/>
    <xf numFmtId="1" fontId="6" fillId="0" borderId="0" xfId="2" applyNumberFormat="1"/>
    <xf numFmtId="0" fontId="6" fillId="0" borderId="0" xfId="2" applyAlignment="1">
      <alignment wrapText="1"/>
    </xf>
    <xf numFmtId="9" fontId="6" fillId="4" borderId="0" xfId="2" applyNumberFormat="1" applyFill="1"/>
    <xf numFmtId="2" fontId="6" fillId="4" borderId="0" xfId="2" applyNumberFormat="1" applyFill="1"/>
    <xf numFmtId="9" fontId="11" fillId="6" borderId="0" xfId="2" applyNumberFormat="1" applyFont="1" applyFill="1"/>
    <xf numFmtId="9" fontId="11" fillId="7" borderId="0" xfId="2" applyNumberFormat="1" applyFont="1" applyFill="1"/>
    <xf numFmtId="9" fontId="12" fillId="8" borderId="0" xfId="2" applyNumberFormat="1" applyFont="1" applyFill="1"/>
    <xf numFmtId="9" fontId="6" fillId="0" borderId="0" xfId="2" applyNumberFormat="1" applyFill="1"/>
    <xf numFmtId="9" fontId="6" fillId="8" borderId="0" xfId="2" applyNumberFormat="1" applyFill="1"/>
    <xf numFmtId="9" fontId="13" fillId="0" borderId="0" xfId="2" applyNumberFormat="1" applyFont="1" applyFill="1"/>
    <xf numFmtId="9" fontId="12" fillId="0" borderId="0" xfId="2" applyNumberFormat="1" applyFont="1" applyFill="1"/>
    <xf numFmtId="1" fontId="6" fillId="0" borderId="0" xfId="2" applyNumberFormat="1" applyFill="1"/>
    <xf numFmtId="1" fontId="13" fillId="0" borderId="0" xfId="2" applyNumberFormat="1" applyFont="1"/>
    <xf numFmtId="2" fontId="6" fillId="0" borderId="0" xfId="2" applyNumberFormat="1"/>
    <xf numFmtId="0" fontId="6" fillId="0" borderId="0" xfId="2" applyFill="1" applyBorder="1"/>
    <xf numFmtId="0" fontId="6" fillId="0" borderId="0" xfId="2" applyFill="1"/>
    <xf numFmtId="0" fontId="10" fillId="0" borderId="0" xfId="2" applyFont="1" applyFill="1" applyAlignment="1">
      <alignment horizontal="center"/>
    </xf>
    <xf numFmtId="2" fontId="10" fillId="0" borderId="0" xfId="2" applyNumberFormat="1" applyFont="1"/>
    <xf numFmtId="0" fontId="0" fillId="0" borderId="0" xfId="0" applyFill="1"/>
    <xf numFmtId="0" fontId="16" fillId="9" borderId="0" xfId="2" applyFont="1" applyFill="1" applyAlignment="1">
      <alignment horizontal="center"/>
    </xf>
    <xf numFmtId="0" fontId="19" fillId="0" borderId="0" xfId="2" applyFont="1"/>
    <xf numFmtId="0" fontId="21" fillId="0" borderId="0" xfId="7" applyFont="1"/>
    <xf numFmtId="0" fontId="20" fillId="0" borderId="0" xfId="7"/>
    <xf numFmtId="0" fontId="22" fillId="0" borderId="0" xfId="7" applyFont="1"/>
    <xf numFmtId="0" fontId="20" fillId="0" borderId="0" xfId="7" applyFont="1"/>
    <xf numFmtId="0" fontId="23" fillId="0" borderId="0" xfId="7" applyFont="1"/>
    <xf numFmtId="0" fontId="20" fillId="0" borderId="0" xfId="7" applyAlignment="1">
      <alignment horizontal="right"/>
    </xf>
    <xf numFmtId="166" fontId="20" fillId="0" borderId="0" xfId="7" applyNumberFormat="1"/>
    <xf numFmtId="0" fontId="20" fillId="3" borderId="0" xfId="7" applyFill="1"/>
    <xf numFmtId="2" fontId="20" fillId="0" borderId="0" xfId="7" applyNumberFormat="1"/>
    <xf numFmtId="0" fontId="24" fillId="0" borderId="0" xfId="7" applyFont="1"/>
    <xf numFmtId="9" fontId="24" fillId="0" borderId="0" xfId="7" applyNumberFormat="1" applyFont="1"/>
    <xf numFmtId="165" fontId="20" fillId="0" borderId="0" xfId="7" applyNumberFormat="1"/>
    <xf numFmtId="0" fontId="6" fillId="0" borderId="0" xfId="2" applyAlignment="1"/>
    <xf numFmtId="0" fontId="0" fillId="0" borderId="0" xfId="0" applyBorder="1" applyAlignment="1"/>
    <xf numFmtId="168" fontId="6" fillId="0" borderId="0" xfId="6" applyNumberFormat="1" applyFont="1"/>
    <xf numFmtId="0" fontId="16" fillId="4" borderId="9" xfId="2" applyFont="1" applyFill="1" applyBorder="1" applyAlignment="1">
      <alignment horizontal="center"/>
    </xf>
    <xf numFmtId="0" fontId="0" fillId="0" borderId="0" xfId="0" applyFill="1" applyBorder="1" applyAlignment="1">
      <alignment vertical="top"/>
    </xf>
    <xf numFmtId="0" fontId="10" fillId="3" borderId="10" xfId="3" applyFont="1" applyFill="1" applyBorder="1" applyAlignment="1" applyProtection="1">
      <alignment horizontal="center" vertical="center"/>
      <protection locked="0"/>
    </xf>
    <xf numFmtId="0" fontId="28" fillId="0" borderId="0" xfId="2" applyFont="1"/>
    <xf numFmtId="164" fontId="28" fillId="0" borderId="0" xfId="2" applyNumberFormat="1" applyFont="1"/>
    <xf numFmtId="0" fontId="25" fillId="0" borderId="0" xfId="2" applyFont="1" applyAlignment="1">
      <alignment horizontal="left"/>
    </xf>
    <xf numFmtId="0" fontId="0" fillId="11" borderId="0" xfId="0" applyFill="1"/>
    <xf numFmtId="0" fontId="6" fillId="11" borderId="0" xfId="2" applyFill="1"/>
    <xf numFmtId="9" fontId="6" fillId="11" borderId="0" xfId="1" applyFont="1" applyFill="1"/>
    <xf numFmtId="9" fontId="7" fillId="11" borderId="0" xfId="4" applyFont="1" applyFill="1"/>
    <xf numFmtId="2" fontId="6" fillId="11" borderId="0" xfId="2" applyNumberFormat="1" applyFill="1"/>
    <xf numFmtId="0" fontId="14" fillId="3" borderId="11" xfId="3" applyFont="1" applyFill="1" applyBorder="1" applyAlignment="1" applyProtection="1">
      <alignment horizontal="center" vertical="center" wrapText="1"/>
      <protection locked="0"/>
    </xf>
    <xf numFmtId="0" fontId="37" fillId="11" borderId="0" xfId="2" applyFont="1" applyFill="1"/>
    <xf numFmtId="0" fontId="39" fillId="0" borderId="0" xfId="2" applyFont="1" applyAlignment="1">
      <alignment wrapText="1"/>
    </xf>
    <xf numFmtId="0" fontId="27" fillId="0" borderId="0" xfId="2" applyFont="1" applyFill="1" applyBorder="1" applyAlignment="1">
      <alignment horizontal="center"/>
    </xf>
    <xf numFmtId="9" fontId="12" fillId="0" borderId="0" xfId="1" applyFont="1" applyFill="1" applyBorder="1" applyAlignment="1">
      <alignment horizontal="center"/>
    </xf>
    <xf numFmtId="0" fontId="6" fillId="12" borderId="0" xfId="2" applyFill="1"/>
    <xf numFmtId="0" fontId="0" fillId="12" borderId="0" xfId="0" applyFill="1"/>
    <xf numFmtId="9" fontId="0" fillId="12" borderId="0" xfId="4" applyFont="1" applyFill="1"/>
    <xf numFmtId="0" fontId="27" fillId="5" borderId="22" xfId="2" applyFont="1" applyFill="1" applyBorder="1" applyAlignment="1">
      <alignment horizontal="center" wrapText="1"/>
    </xf>
    <xf numFmtId="0" fontId="42" fillId="0" borderId="0" xfId="2" applyFont="1" applyAlignment="1">
      <alignment horizontal="left"/>
    </xf>
    <xf numFmtId="2" fontId="42" fillId="0" borderId="0" xfId="2" applyNumberFormat="1" applyFont="1"/>
    <xf numFmtId="0" fontId="42" fillId="0" borderId="0" xfId="2" applyFont="1"/>
    <xf numFmtId="9" fontId="31" fillId="2" borderId="11" xfId="1" applyNumberFormat="1" applyFont="1" applyFill="1" applyBorder="1" applyAlignment="1">
      <alignment horizontal="center"/>
    </xf>
    <xf numFmtId="0" fontId="6" fillId="2" borderId="10" xfId="2" applyFill="1" applyBorder="1"/>
    <xf numFmtId="0" fontId="6" fillId="0" borderId="0" xfId="2" quotePrefix="1"/>
    <xf numFmtId="0" fontId="46" fillId="4" borderId="17" xfId="2" applyFont="1" applyFill="1" applyBorder="1" applyProtection="1"/>
    <xf numFmtId="0" fontId="46" fillId="4" borderId="13" xfId="2" applyFont="1" applyFill="1" applyBorder="1" applyProtection="1"/>
    <xf numFmtId="14" fontId="47" fillId="4" borderId="19" xfId="2" applyNumberFormat="1" applyFont="1" applyFill="1" applyBorder="1" applyAlignment="1" applyProtection="1">
      <alignment horizontal="left"/>
    </xf>
    <xf numFmtId="14" fontId="47" fillId="4" borderId="20" xfId="2" applyNumberFormat="1" applyFont="1" applyFill="1" applyBorder="1" applyAlignment="1" applyProtection="1">
      <alignment horizontal="left"/>
    </xf>
    <xf numFmtId="2" fontId="2" fillId="0" borderId="0" xfId="0" applyNumberFormat="1" applyFont="1" applyAlignment="1">
      <alignment horizontal="center"/>
    </xf>
    <xf numFmtId="166" fontId="2" fillId="0" borderId="0" xfId="0" applyNumberFormat="1" applyFont="1" applyAlignment="1">
      <alignment horizontal="center"/>
    </xf>
    <xf numFmtId="166" fontId="0" fillId="0" borderId="0" xfId="1" applyNumberFormat="1" applyFont="1" applyAlignment="1">
      <alignment horizontal="center"/>
    </xf>
    <xf numFmtId="166" fontId="3" fillId="0" borderId="0" xfId="0" applyNumberFormat="1" applyFont="1" applyAlignment="1">
      <alignment horizontal="center" vertical="top" wrapText="1"/>
    </xf>
    <xf numFmtId="0" fontId="3" fillId="6" borderId="0" xfId="0" applyFont="1" applyFill="1" applyAlignment="1">
      <alignment horizontal="center" vertical="top" wrapText="1"/>
    </xf>
    <xf numFmtId="0" fontId="3" fillId="0" borderId="0" xfId="0" applyFont="1" applyFill="1" applyAlignment="1">
      <alignment vertical="top"/>
    </xf>
    <xf numFmtId="9" fontId="3" fillId="3" borderId="0" xfId="0" applyNumberFormat="1" applyFont="1" applyFill="1" applyAlignment="1">
      <alignment horizontal="center" vertical="top" wrapText="1"/>
    </xf>
    <xf numFmtId="0" fontId="3" fillId="0" borderId="0" xfId="0" applyFont="1" applyAlignment="1">
      <alignment horizontal="left" vertical="top"/>
    </xf>
    <xf numFmtId="0" fontId="3" fillId="13" borderId="0" xfId="0" applyFont="1" applyFill="1" applyAlignment="1">
      <alignment horizontal="left" vertical="top"/>
    </xf>
    <xf numFmtId="9" fontId="3" fillId="3" borderId="0" xfId="1" applyFont="1" applyFill="1" applyAlignment="1">
      <alignment horizontal="center" vertical="top" wrapText="1"/>
    </xf>
    <xf numFmtId="0" fontId="3" fillId="0" borderId="0" xfId="0" applyFont="1" applyAlignment="1">
      <alignment horizontal="left" vertical="top" wrapText="1"/>
    </xf>
    <xf numFmtId="20" fontId="0" fillId="0" borderId="3" xfId="0" quotePrefix="1" applyNumberFormat="1" applyBorder="1" applyAlignment="1">
      <alignment horizontal="right"/>
    </xf>
    <xf numFmtId="20" fontId="2" fillId="0" borderId="4" xfId="0" quotePrefix="1" applyNumberFormat="1" applyFont="1" applyBorder="1" applyAlignment="1">
      <alignment horizontal="right"/>
    </xf>
    <xf numFmtId="0" fontId="0" fillId="0" borderId="5" xfId="0" applyBorder="1"/>
    <xf numFmtId="0" fontId="0" fillId="0" borderId="6" xfId="0" applyBorder="1"/>
    <xf numFmtId="0" fontId="3" fillId="0" borderId="21" xfId="0" applyFont="1" applyBorder="1"/>
    <xf numFmtId="0" fontId="3" fillId="0" borderId="3" xfId="0" applyFont="1" applyBorder="1" applyAlignment="1">
      <alignment horizontal="right"/>
    </xf>
    <xf numFmtId="0" fontId="3" fillId="0" borderId="4" xfId="0" applyFont="1" applyBorder="1" applyAlignment="1">
      <alignment horizontal="right"/>
    </xf>
    <xf numFmtId="0" fontId="3" fillId="0" borderId="0" xfId="0" applyFont="1" applyAlignment="1">
      <alignment vertical="top"/>
    </xf>
    <xf numFmtId="0" fontId="2" fillId="0" borderId="22" xfId="0" applyFont="1" applyBorder="1"/>
    <xf numFmtId="0" fontId="0" fillId="14" borderId="5" xfId="0" applyFill="1" applyBorder="1"/>
    <xf numFmtId="0" fontId="0" fillId="14" borderId="6" xfId="0" applyFill="1" applyBorder="1"/>
    <xf numFmtId="167" fontId="2" fillId="0" borderId="0" xfId="1" applyNumberFormat="1" applyFont="1" applyAlignment="1">
      <alignment horizontal="center"/>
    </xf>
    <xf numFmtId="0" fontId="0" fillId="0" borderId="22" xfId="0" applyBorder="1"/>
    <xf numFmtId="166" fontId="0" fillId="6" borderId="0" xfId="0" applyNumberFormat="1" applyFill="1" applyAlignment="1">
      <alignment horizontal="center"/>
    </xf>
    <xf numFmtId="167" fontId="0" fillId="0" borderId="0" xfId="1" applyNumberFormat="1" applyFont="1" applyAlignment="1">
      <alignment horizontal="center"/>
    </xf>
    <xf numFmtId="165" fontId="0" fillId="0" borderId="5" xfId="0" applyNumberFormat="1" applyBorder="1"/>
    <xf numFmtId="165" fontId="0" fillId="0" borderId="6" xfId="0" applyNumberFormat="1" applyBorder="1"/>
    <xf numFmtId="0" fontId="2" fillId="0" borderId="12" xfId="0" applyFont="1" applyBorder="1"/>
    <xf numFmtId="165" fontId="0" fillId="15" borderId="7" xfId="0" applyNumberFormat="1" applyFill="1" applyBorder="1"/>
    <xf numFmtId="165" fontId="0" fillId="16" borderId="8" xfId="0" applyNumberFormat="1" applyFill="1" applyBorder="1"/>
    <xf numFmtId="0" fontId="0" fillId="0" borderId="3" xfId="0" applyBorder="1"/>
    <xf numFmtId="0" fontId="0" fillId="0" borderId="4" xfId="0" applyBorder="1"/>
    <xf numFmtId="1" fontId="0" fillId="0" borderId="5" xfId="0" applyNumberFormat="1" applyBorder="1" applyAlignment="1"/>
    <xf numFmtId="1" fontId="0" fillId="0" borderId="6" xfId="0" applyNumberFormat="1" applyBorder="1" applyAlignment="1"/>
    <xf numFmtId="0" fontId="0" fillId="14" borderId="5" xfId="0" applyFill="1" applyBorder="1" applyAlignment="1"/>
    <xf numFmtId="0" fontId="0" fillId="14" borderId="6" xfId="0" applyFill="1" applyBorder="1" applyAlignment="1"/>
    <xf numFmtId="165" fontId="0" fillId="0" borderId="5" xfId="0" applyNumberFormat="1" applyBorder="1" applyAlignment="1"/>
    <xf numFmtId="165" fontId="0" fillId="0" borderId="6" xfId="0" applyNumberFormat="1" applyBorder="1" applyAlignment="1"/>
    <xf numFmtId="0" fontId="0" fillId="13" borderId="23" xfId="0" applyFill="1" applyBorder="1" applyAlignment="1">
      <alignment horizontal="center"/>
    </xf>
    <xf numFmtId="0" fontId="0" fillId="13" borderId="24" xfId="0" applyFill="1" applyBorder="1" applyAlignment="1">
      <alignment horizontal="center"/>
    </xf>
    <xf numFmtId="166" fontId="0" fillId="13" borderId="24" xfId="0" applyNumberFormat="1" applyFill="1" applyBorder="1" applyAlignment="1">
      <alignment horizontal="center"/>
    </xf>
    <xf numFmtId="2" fontId="0" fillId="13" borderId="24" xfId="0" applyNumberFormat="1" applyFill="1" applyBorder="1" applyAlignment="1">
      <alignment horizontal="center"/>
    </xf>
    <xf numFmtId="0" fontId="3" fillId="0" borderId="25" xfId="0" applyFont="1" applyBorder="1" applyAlignment="1">
      <alignment horizontal="left"/>
    </xf>
    <xf numFmtId="165" fontId="0" fillId="15" borderId="1" xfId="0" applyNumberFormat="1" applyFill="1" applyBorder="1" applyAlignment="1">
      <alignment horizontal="right"/>
    </xf>
    <xf numFmtId="165" fontId="0" fillId="15" borderId="2" xfId="0" applyNumberFormat="1" applyFill="1" applyBorder="1" applyAlignment="1">
      <alignment horizontal="right"/>
    </xf>
    <xf numFmtId="0" fontId="3" fillId="0" borderId="0" xfId="0" applyFont="1" applyAlignment="1">
      <alignment horizontal="left"/>
    </xf>
    <xf numFmtId="9" fontId="0" fillId="0" borderId="0" xfId="1" applyFont="1" applyAlignment="1">
      <alignment horizontal="right"/>
    </xf>
    <xf numFmtId="0" fontId="4" fillId="0" borderId="0" xfId="0" applyFont="1" applyAlignment="1">
      <alignment horizontal="left"/>
    </xf>
    <xf numFmtId="167" fontId="4" fillId="6" borderId="0" xfId="1" applyNumberFormat="1" applyFont="1" applyFill="1" applyAlignment="1">
      <alignment horizontal="right"/>
    </xf>
    <xf numFmtId="9" fontId="0" fillId="0" borderId="0" xfId="0" applyNumberFormat="1" applyAlignment="1">
      <alignment horizontal="center"/>
    </xf>
    <xf numFmtId="2" fontId="0" fillId="6" borderId="0" xfId="0" applyNumberFormat="1" applyFill="1" applyAlignment="1">
      <alignment horizontal="center"/>
    </xf>
    <xf numFmtId="10" fontId="3" fillId="6" borderId="0" xfId="1" applyNumberFormat="1" applyFont="1" applyFill="1" applyAlignment="1">
      <alignment horizontal="center"/>
    </xf>
    <xf numFmtId="2" fontId="3" fillId="3" borderId="0" xfId="0" applyNumberFormat="1" applyFont="1" applyFill="1" applyAlignment="1">
      <alignment horizontal="center" vertical="top" wrapText="1"/>
    </xf>
    <xf numFmtId="0" fontId="17" fillId="0" borderId="9" xfId="2" applyFont="1" applyFill="1" applyBorder="1" applyAlignment="1">
      <alignment horizontal="center"/>
    </xf>
    <xf numFmtId="0" fontId="2" fillId="0" borderId="0" xfId="0" quotePrefix="1" applyFont="1" applyAlignment="1">
      <alignment horizontal="left"/>
    </xf>
    <xf numFmtId="9" fontId="6" fillId="0" borderId="0" xfId="1" applyFont="1"/>
    <xf numFmtId="0" fontId="2" fillId="0" borderId="0" xfId="0" applyFont="1" applyAlignment="1">
      <alignment horizontal="left" wrapText="1"/>
    </xf>
    <xf numFmtId="0" fontId="2" fillId="0" borderId="0" xfId="0" applyFont="1" applyAlignment="1">
      <alignment horizontal="center" wrapText="1"/>
    </xf>
    <xf numFmtId="0" fontId="6" fillId="0" borderId="0" xfId="2" applyAlignment="1">
      <alignment horizontal="left"/>
    </xf>
    <xf numFmtId="0" fontId="3" fillId="6" borderId="0" xfId="0" applyFont="1" applyFill="1" applyAlignment="1">
      <alignment horizontal="center" vertical="top" wrapText="1"/>
    </xf>
    <xf numFmtId="167" fontId="3" fillId="3" borderId="0" xfId="1" applyNumberFormat="1" applyFont="1" applyFill="1" applyAlignment="1">
      <alignment horizontal="center" vertical="top" wrapText="1"/>
    </xf>
    <xf numFmtId="167" fontId="2" fillId="0" borderId="0" xfId="0" applyNumberFormat="1" applyFont="1" applyAlignment="1">
      <alignment horizontal="center" wrapText="1"/>
    </xf>
    <xf numFmtId="9" fontId="10" fillId="2" borderId="0" xfId="1" applyFont="1" applyFill="1" applyAlignment="1">
      <alignment horizontal="center"/>
    </xf>
    <xf numFmtId="0" fontId="2" fillId="18" borderId="0" xfId="0" applyFont="1" applyFill="1" applyAlignment="1">
      <alignment horizontal="center" wrapText="1"/>
    </xf>
    <xf numFmtId="166" fontId="0" fillId="18" borderId="0" xfId="0" applyNumberFormat="1" applyFill="1" applyAlignment="1">
      <alignment horizontal="center"/>
    </xf>
    <xf numFmtId="0" fontId="0" fillId="18" borderId="0" xfId="0" applyFill="1" applyAlignment="1">
      <alignment horizontal="center"/>
    </xf>
    <xf numFmtId="0" fontId="2" fillId="18" borderId="0" xfId="0" applyFont="1" applyFill="1" applyAlignment="1">
      <alignment horizontal="center"/>
    </xf>
    <xf numFmtId="2" fontId="0" fillId="18" borderId="0" xfId="0" applyNumberFormat="1" applyFill="1" applyAlignment="1">
      <alignment horizontal="center"/>
    </xf>
    <xf numFmtId="10" fontId="3" fillId="18" borderId="0" xfId="1" applyNumberFormat="1" applyFont="1" applyFill="1" applyAlignment="1">
      <alignment horizontal="center"/>
    </xf>
    <xf numFmtId="166" fontId="0" fillId="4" borderId="0" xfId="0" applyNumberFormat="1" applyFill="1" applyAlignment="1">
      <alignment horizontal="center"/>
    </xf>
    <xf numFmtId="167" fontId="6" fillId="2" borderId="11" xfId="1" applyNumberFormat="1" applyFont="1" applyFill="1" applyBorder="1"/>
    <xf numFmtId="2" fontId="2" fillId="4" borderId="0" xfId="0" applyNumberFormat="1" applyFont="1" applyFill="1" applyAlignment="1">
      <alignment horizontal="center"/>
    </xf>
    <xf numFmtId="2" fontId="10" fillId="0" borderId="0" xfId="2" applyNumberFormat="1" applyFont="1" applyProtection="1">
      <protection locked="0"/>
    </xf>
    <xf numFmtId="2" fontId="36" fillId="0" borderId="0" xfId="2" applyNumberFormat="1" applyFont="1" applyAlignment="1" applyProtection="1">
      <protection locked="0"/>
    </xf>
    <xf numFmtId="0" fontId="6" fillId="0" borderId="0" xfId="2" applyProtection="1">
      <protection locked="0"/>
    </xf>
    <xf numFmtId="0" fontId="6" fillId="0" borderId="0" xfId="2" applyBorder="1"/>
    <xf numFmtId="2" fontId="6" fillId="0" borderId="0" xfId="2" applyNumberFormat="1" applyBorder="1"/>
    <xf numFmtId="0" fontId="0" fillId="2" borderId="0" xfId="0" applyFill="1" applyAlignment="1">
      <alignment wrapText="1"/>
    </xf>
    <xf numFmtId="166" fontId="0" fillId="2" borderId="0" xfId="1" applyNumberFormat="1" applyFont="1" applyFill="1" applyAlignment="1">
      <alignment horizontal="center"/>
    </xf>
    <xf numFmtId="167" fontId="3" fillId="2" borderId="0" xfId="1" applyNumberFormat="1" applyFont="1" applyFill="1" applyAlignment="1">
      <alignment horizontal="center" vertical="top" wrapText="1"/>
    </xf>
    <xf numFmtId="0" fontId="2" fillId="2" borderId="0" xfId="0" applyFont="1" applyFill="1" applyAlignment="1">
      <alignment horizontal="center"/>
    </xf>
    <xf numFmtId="166" fontId="0" fillId="2" borderId="0" xfId="0" applyNumberFormat="1" applyFill="1" applyAlignment="1">
      <alignment horizontal="center"/>
    </xf>
    <xf numFmtId="10" fontId="3" fillId="2" borderId="0" xfId="1" applyNumberFormat="1" applyFont="1" applyFill="1" applyAlignment="1">
      <alignment horizontal="center"/>
    </xf>
    <xf numFmtId="167" fontId="3" fillId="18" borderId="0" xfId="1" applyNumberFormat="1" applyFont="1" applyFill="1" applyAlignment="1">
      <alignment horizontal="center" vertical="top" wrapText="1"/>
    </xf>
    <xf numFmtId="0" fontId="6" fillId="12" borderId="0" xfId="2" applyFill="1" applyBorder="1"/>
    <xf numFmtId="169" fontId="0" fillId="2" borderId="0" xfId="0" applyNumberFormat="1" applyFill="1" applyAlignment="1">
      <alignment horizontal="center"/>
    </xf>
    <xf numFmtId="166" fontId="2" fillId="2" borderId="0" xfId="0" applyNumberFormat="1" applyFont="1" applyFill="1" applyAlignment="1">
      <alignment horizontal="center"/>
    </xf>
    <xf numFmtId="166" fontId="3" fillId="2" borderId="0" xfId="0" applyNumberFormat="1" applyFont="1" applyFill="1" applyAlignment="1">
      <alignment horizontal="center" vertical="top" wrapText="1"/>
    </xf>
    <xf numFmtId="167" fontId="2" fillId="2" borderId="0" xfId="0" applyNumberFormat="1" applyFont="1" applyFill="1" applyAlignment="1">
      <alignment horizontal="center"/>
    </xf>
    <xf numFmtId="2" fontId="3" fillId="3" borderId="0" xfId="1" applyNumberFormat="1" applyFont="1" applyFill="1" applyAlignment="1">
      <alignment horizontal="center" vertical="top" wrapText="1"/>
    </xf>
    <xf numFmtId="167" fontId="3" fillId="2" borderId="0" xfId="0" applyNumberFormat="1" applyFont="1" applyFill="1" applyAlignment="1">
      <alignment horizontal="center" vertical="top" wrapText="1"/>
    </xf>
    <xf numFmtId="166" fontId="2" fillId="4" borderId="0" xfId="0" applyNumberFormat="1" applyFont="1" applyFill="1" applyAlignment="1">
      <alignment horizontal="center"/>
    </xf>
    <xf numFmtId="0" fontId="26" fillId="0" borderId="0" xfId="2" applyFont="1"/>
    <xf numFmtId="0" fontId="0" fillId="0" borderId="0" xfId="0" applyFill="1" applyBorder="1" applyAlignment="1">
      <alignment horizontal="center"/>
    </xf>
    <xf numFmtId="0" fontId="8" fillId="12" borderId="0" xfId="2" applyFont="1" applyFill="1"/>
    <xf numFmtId="0" fontId="6" fillId="10" borderId="0" xfId="2" applyFill="1"/>
    <xf numFmtId="0" fontId="40" fillId="10" borderId="0" xfId="0" applyFont="1" applyFill="1"/>
    <xf numFmtId="0" fontId="41" fillId="10" borderId="0" xfId="0" applyFont="1" applyFill="1"/>
    <xf numFmtId="0" fontId="7" fillId="0" borderId="0" xfId="2" applyFont="1" applyFill="1"/>
    <xf numFmtId="0" fontId="8" fillId="0" borderId="0" xfId="2" applyFont="1" applyFill="1"/>
    <xf numFmtId="0" fontId="54" fillId="19" borderId="26" xfId="2" applyFont="1" applyFill="1" applyBorder="1"/>
    <xf numFmtId="0" fontId="55" fillId="17" borderId="11" xfId="2" applyFont="1" applyFill="1" applyBorder="1" applyAlignment="1">
      <alignment horizontal="center"/>
    </xf>
    <xf numFmtId="0" fontId="51" fillId="20" borderId="9" xfId="2" applyFont="1" applyFill="1" applyBorder="1" applyAlignment="1">
      <alignment horizontal="center"/>
    </xf>
    <xf numFmtId="9" fontId="0" fillId="0" borderId="0" xfId="1" applyFont="1" applyAlignment="1">
      <alignment horizontal="center"/>
    </xf>
    <xf numFmtId="10" fontId="0" fillId="0" borderId="0" xfId="0" applyNumberFormat="1" applyAlignment="1">
      <alignment horizontal="center"/>
    </xf>
    <xf numFmtId="0" fontId="51" fillId="20" borderId="21" xfId="2" applyFont="1" applyFill="1" applyBorder="1" applyAlignment="1">
      <alignment horizontal="center"/>
    </xf>
    <xf numFmtId="0" fontId="55" fillId="17" borderId="12" xfId="2" applyFont="1" applyFill="1" applyBorder="1" applyAlignment="1">
      <alignment horizontal="center"/>
    </xf>
    <xf numFmtId="0" fontId="57" fillId="12" borderId="0" xfId="0" applyFont="1" applyFill="1"/>
    <xf numFmtId="0" fontId="6" fillId="12" borderId="0" xfId="2" quotePrefix="1" applyFill="1"/>
    <xf numFmtId="0" fontId="25" fillId="0" borderId="0" xfId="2" applyFont="1"/>
    <xf numFmtId="0" fontId="58" fillId="0" borderId="0" xfId="0" applyFont="1"/>
    <xf numFmtId="0" fontId="32" fillId="0" borderId="0" xfId="0" applyFont="1" applyAlignment="1"/>
    <xf numFmtId="0" fontId="32" fillId="0" borderId="13" xfId="0" applyFont="1" applyBorder="1" applyAlignment="1"/>
    <xf numFmtId="0" fontId="25" fillId="0" borderId="0" xfId="2" applyFont="1" applyBorder="1" applyAlignment="1">
      <alignment horizontal="center" vertical="center" wrapText="1"/>
    </xf>
    <xf numFmtId="0" fontId="25" fillId="0" borderId="0" xfId="2" applyFont="1" applyBorder="1" applyAlignment="1">
      <alignment vertical="center" wrapText="1"/>
    </xf>
    <xf numFmtId="0" fontId="34" fillId="0" borderId="0" xfId="0" applyFont="1" applyAlignment="1">
      <alignment vertical="center"/>
    </xf>
    <xf numFmtId="0" fontId="35" fillId="0" borderId="0" xfId="0" applyFont="1" applyBorder="1" applyAlignment="1">
      <alignment horizontal="center" vertical="center"/>
    </xf>
    <xf numFmtId="0" fontId="53" fillId="11" borderId="0" xfId="0" applyFont="1" applyFill="1" applyAlignment="1">
      <alignment horizontal="left"/>
    </xf>
    <xf numFmtId="165" fontId="20" fillId="18" borderId="0" xfId="7" applyNumberFormat="1" applyFill="1"/>
    <xf numFmtId="0" fontId="59" fillId="0" borderId="0" xfId="2" quotePrefix="1" applyFont="1"/>
    <xf numFmtId="9" fontId="8" fillId="2" borderId="12" xfId="1" applyNumberFormat="1" applyFont="1" applyFill="1" applyBorder="1" applyAlignment="1">
      <alignment horizontal="center"/>
    </xf>
    <xf numFmtId="9" fontId="6" fillId="0" borderId="0" xfId="1" applyFont="1" applyAlignment="1">
      <alignment horizontal="center" vertical="top"/>
    </xf>
    <xf numFmtId="0" fontId="46" fillId="3" borderId="16" xfId="2" applyFont="1" applyFill="1" applyBorder="1" applyProtection="1">
      <protection locked="0"/>
    </xf>
    <xf numFmtId="0" fontId="46" fillId="3" borderId="18" xfId="2" applyFont="1" applyFill="1" applyBorder="1" applyProtection="1">
      <protection locked="0"/>
    </xf>
    <xf numFmtId="9" fontId="10" fillId="2" borderId="10" xfId="1" applyNumberFormat="1" applyFont="1" applyFill="1" applyBorder="1" applyAlignment="1">
      <alignment horizontal="center"/>
    </xf>
    <xf numFmtId="0" fontId="35" fillId="4" borderId="15" xfId="0" applyFont="1" applyFill="1" applyBorder="1" applyAlignment="1"/>
    <xf numFmtId="0" fontId="35" fillId="4" borderId="17" xfId="0" applyFont="1" applyFill="1" applyBorder="1" applyAlignment="1"/>
    <xf numFmtId="0" fontId="44" fillId="4" borderId="18" xfId="2" applyFont="1" applyFill="1" applyBorder="1" applyAlignment="1">
      <alignment horizontal="left" vertical="center"/>
    </xf>
    <xf numFmtId="0" fontId="35" fillId="4" borderId="13" xfId="0" applyFont="1" applyFill="1" applyBorder="1" applyAlignment="1">
      <alignment horizontal="left" vertical="center"/>
    </xf>
    <xf numFmtId="0" fontId="44" fillId="4" borderId="18" xfId="2" applyFont="1" applyFill="1" applyBorder="1" applyAlignment="1"/>
    <xf numFmtId="0" fontId="61" fillId="4" borderId="13" xfId="0" applyFont="1" applyFill="1" applyBorder="1" applyAlignment="1"/>
    <xf numFmtId="0" fontId="44" fillId="4" borderId="19" xfId="2" applyFont="1" applyFill="1" applyBorder="1" applyAlignment="1"/>
    <xf numFmtId="0" fontId="0" fillId="4" borderId="14" xfId="0" applyFill="1" applyBorder="1" applyAlignment="1"/>
    <xf numFmtId="0" fontId="6" fillId="4" borderId="14" xfId="2" applyFill="1" applyBorder="1" applyAlignment="1"/>
    <xf numFmtId="0" fontId="6" fillId="4" borderId="20" xfId="2" applyFill="1" applyBorder="1" applyAlignment="1"/>
    <xf numFmtId="0" fontId="7" fillId="4" borderId="16" xfId="2" applyFont="1" applyFill="1" applyBorder="1"/>
    <xf numFmtId="0" fontId="35" fillId="4" borderId="0" xfId="0" applyFont="1" applyFill="1" applyBorder="1" applyAlignment="1"/>
    <xf numFmtId="0" fontId="35" fillId="4" borderId="0" xfId="0" applyFont="1" applyFill="1" applyBorder="1" applyAlignment="1">
      <alignment horizontal="left" vertical="center"/>
    </xf>
    <xf numFmtId="0" fontId="61" fillId="4" borderId="0" xfId="0" applyFont="1" applyFill="1" applyBorder="1" applyAlignment="1"/>
    <xf numFmtId="0" fontId="35" fillId="4" borderId="13" xfId="0" applyFont="1" applyFill="1" applyBorder="1" applyAlignment="1"/>
    <xf numFmtId="9" fontId="10" fillId="2" borderId="11" xfId="3" applyNumberFormat="1" applyFont="1" applyFill="1" applyBorder="1" applyAlignment="1" applyProtection="1">
      <alignment horizontal="center" vertical="center"/>
    </xf>
    <xf numFmtId="0" fontId="10" fillId="3" borderId="27" xfId="3" applyFont="1" applyFill="1" applyBorder="1" applyAlignment="1" applyProtection="1">
      <alignment horizontal="center" vertical="center"/>
      <protection locked="0"/>
    </xf>
    <xf numFmtId="9" fontId="3" fillId="2" borderId="0" xfId="1" applyFont="1" applyFill="1" applyAlignment="1">
      <alignment horizontal="center" vertical="top" wrapText="1"/>
    </xf>
    <xf numFmtId="0" fontId="6" fillId="3" borderId="28" xfId="2" applyFill="1" applyBorder="1"/>
    <xf numFmtId="0" fontId="6" fillId="3" borderId="2" xfId="2" applyFill="1" applyBorder="1"/>
    <xf numFmtId="0" fontId="10" fillId="3" borderId="29" xfId="2" applyFont="1" applyFill="1" applyBorder="1"/>
    <xf numFmtId="0" fontId="10" fillId="0" borderId="0" xfId="2" applyFont="1"/>
    <xf numFmtId="9" fontId="0" fillId="0" borderId="0" xfId="0" applyNumberFormat="1"/>
    <xf numFmtId="0" fontId="17" fillId="0" borderId="0" xfId="3" applyFont="1" applyFill="1" applyBorder="1" applyAlignment="1" applyProtection="1">
      <alignment horizontal="center" vertical="top" wrapText="1"/>
      <protection locked="0"/>
    </xf>
    <xf numFmtId="0" fontId="17" fillId="0" borderId="14" xfId="3" applyFont="1" applyFill="1" applyBorder="1" applyAlignment="1" applyProtection="1">
      <alignment horizontal="center" vertical="top" wrapText="1"/>
      <protection locked="0"/>
    </xf>
    <xf numFmtId="0" fontId="26" fillId="9" borderId="0" xfId="2" applyFont="1" applyFill="1" applyAlignment="1">
      <alignment horizontal="center" vertical="center" wrapText="1"/>
    </xf>
    <xf numFmtId="0" fontId="33" fillId="0" borderId="0" xfId="0" applyFont="1" applyAlignment="1">
      <alignment vertical="center" wrapText="1"/>
    </xf>
    <xf numFmtId="0" fontId="52" fillId="11" borderId="0" xfId="0" applyFont="1" applyFill="1" applyAlignment="1">
      <alignment horizontal="left" wrapText="1"/>
    </xf>
    <xf numFmtId="0" fontId="0" fillId="0" borderId="0" xfId="0" applyAlignment="1">
      <alignment horizontal="left" wrapText="1"/>
    </xf>
    <xf numFmtId="0" fontId="0" fillId="0" borderId="0" xfId="0" applyAlignment="1"/>
    <xf numFmtId="0" fontId="25" fillId="0" borderId="0" xfId="2" applyFont="1" applyAlignment="1">
      <alignment wrapText="1"/>
    </xf>
    <xf numFmtId="0" fontId="56" fillId="0" borderId="0" xfId="0" applyFont="1" applyAlignment="1">
      <alignment wrapText="1"/>
    </xf>
    <xf numFmtId="0" fontId="56" fillId="0" borderId="13" xfId="0" applyFont="1" applyBorder="1" applyAlignment="1">
      <alignment wrapText="1"/>
    </xf>
    <xf numFmtId="0" fontId="25" fillId="0" borderId="0" xfId="2" applyFont="1" applyAlignment="1"/>
    <xf numFmtId="0" fontId="56" fillId="0" borderId="0" xfId="0" applyFont="1" applyAlignment="1"/>
    <xf numFmtId="0" fontId="0" fillId="0" borderId="13" xfId="0" applyBorder="1" applyAlignment="1"/>
    <xf numFmtId="165" fontId="25" fillId="0" borderId="0" xfId="0" applyNumberFormat="1" applyFont="1" applyBorder="1" applyAlignment="1">
      <alignment horizontal="center" wrapText="1"/>
    </xf>
    <xf numFmtId="0" fontId="25" fillId="0" borderId="0" xfId="0" applyFont="1" applyAlignment="1">
      <alignment wrapText="1"/>
    </xf>
    <xf numFmtId="0" fontId="25" fillId="0" borderId="13" xfId="0" applyFont="1" applyBorder="1" applyAlignment="1">
      <alignment wrapText="1"/>
    </xf>
    <xf numFmtId="0" fontId="25" fillId="0" borderId="0" xfId="2" applyFont="1" applyAlignment="1">
      <alignment vertical="center" wrapText="1"/>
    </xf>
    <xf numFmtId="0" fontId="0" fillId="0" borderId="0" xfId="0" applyAlignment="1">
      <alignment wrapText="1"/>
    </xf>
    <xf numFmtId="0" fontId="10" fillId="0" borderId="0" xfId="2" applyFont="1" applyBorder="1" applyAlignment="1">
      <alignment wrapText="1"/>
    </xf>
    <xf numFmtId="0" fontId="3" fillId="0" borderId="0" xfId="0" applyFont="1" applyAlignment="1">
      <alignment wrapText="1"/>
    </xf>
    <xf numFmtId="0" fontId="59" fillId="0" borderId="0" xfId="2" applyFont="1" applyAlignment="1">
      <alignment horizontal="left" wrapText="1"/>
    </xf>
    <xf numFmtId="0" fontId="60" fillId="0" borderId="0" xfId="0" applyFont="1" applyAlignment="1">
      <alignment horizontal="left" wrapText="1"/>
    </xf>
    <xf numFmtId="165" fontId="25" fillId="0" borderId="5" xfId="2" applyNumberFormat="1" applyFont="1" applyBorder="1" applyAlignment="1">
      <alignment horizontal="center" wrapText="1"/>
    </xf>
    <xf numFmtId="0" fontId="38" fillId="2" borderId="9" xfId="2" applyFont="1" applyFill="1" applyBorder="1" applyAlignment="1">
      <alignment horizontal="center" vertical="center" textRotation="180"/>
    </xf>
    <xf numFmtId="0" fontId="0" fillId="0" borderId="11" xfId="0" applyBorder="1" applyAlignment="1"/>
    <xf numFmtId="0" fontId="3" fillId="13" borderId="0" xfId="0" applyFont="1" applyFill="1" applyAlignment="1">
      <alignment horizontal="left" vertical="top"/>
    </xf>
    <xf numFmtId="0" fontId="3" fillId="0" borderId="0" xfId="0" applyFont="1" applyFill="1" applyAlignment="1">
      <alignment horizontal="center" vertical="top" wrapText="1"/>
    </xf>
    <xf numFmtId="0" fontId="3" fillId="6" borderId="0" xfId="0" applyFont="1" applyFill="1" applyAlignment="1">
      <alignment horizontal="center" vertical="top" wrapText="1"/>
    </xf>
    <xf numFmtId="10" fontId="6" fillId="0" borderId="0" xfId="2" quotePrefix="1" applyNumberFormat="1" applyFill="1"/>
    <xf numFmtId="0" fontId="30" fillId="0" borderId="0" xfId="2" applyFont="1" applyFill="1"/>
  </cellXfs>
  <cellStyles count="8">
    <cellStyle name="Comma" xfId="6" builtinId="3"/>
    <cellStyle name="Normal" xfId="0" builtinId="0"/>
    <cellStyle name="Percent" xfId="1" builtinId="5"/>
    <cellStyle name="Procent 2" xfId="4" xr:uid="{00000000-0005-0000-0000-00000300000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2">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0070C0"/>
      <color rgb="FF8064A2"/>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26" fmlaLink="$D$14" inc="5" max="485" page="10" val="0"/>
</file>

<file path=xl/ctrlProps/ctrlProp2.xml><?xml version="1.0" encoding="utf-8"?>
<formControlPr xmlns="http://schemas.microsoft.com/office/spreadsheetml/2009/9/main" objectType="Spin" dx="26" fmlaLink="$D$19" inc="5" max="485" page="10" val="0"/>
</file>

<file path=xl/ctrlProps/ctrlProp3.xml><?xml version="1.0" encoding="utf-8"?>
<formControlPr xmlns="http://schemas.microsoft.com/office/spreadsheetml/2009/9/main" objectType="Spin" dx="26" inc="5" max="620" page="10"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293077</xdr:colOff>
      <xdr:row>20</xdr:row>
      <xdr:rowOff>279246</xdr:rowOff>
    </xdr:from>
    <xdr:to>
      <xdr:col>7</xdr:col>
      <xdr:colOff>1974512</xdr:colOff>
      <xdr:row>22</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20</xdr:row>
      <xdr:rowOff>39255</xdr:rowOff>
    </xdr:from>
    <xdr:to>
      <xdr:col>11</xdr:col>
      <xdr:colOff>38589</xdr:colOff>
      <xdr:row>21</xdr:row>
      <xdr:rowOff>278861</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95236" y="5646793"/>
          <a:ext cx="5818430"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203790</xdr:colOff>
      <xdr:row>7</xdr:row>
      <xdr:rowOff>45720</xdr:rowOff>
    </xdr:from>
    <xdr:to>
      <xdr:col>5</xdr:col>
      <xdr:colOff>-1</xdr:colOff>
      <xdr:row>12</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447630" y="1706880"/>
          <a:ext cx="2379389" cy="1874520"/>
        </a:xfrm>
        <a:prstGeom prst="triangle">
          <a:avLst>
            <a:gd name="adj" fmla="val 50000"/>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3447</xdr:colOff>
      <xdr:row>12</xdr:row>
      <xdr:rowOff>1</xdr:rowOff>
    </xdr:from>
    <xdr:to>
      <xdr:col>5</xdr:col>
      <xdr:colOff>0</xdr:colOff>
      <xdr:row>22</xdr:row>
      <xdr:rowOff>235858</xdr:rowOff>
    </xdr:to>
    <xdr:sp macro="" textlink="">
      <xdr:nvSpPr>
        <xdr:cNvPr id="7" name="Rechthoek 6">
          <a:extLst>
            <a:ext uri="{FF2B5EF4-FFF2-40B4-BE49-F238E27FC236}">
              <a16:creationId xmlns:a16="http://schemas.microsoft.com/office/drawing/2014/main" id="{00000000-0008-0000-0000-000007000000}"/>
            </a:ext>
          </a:extLst>
        </xdr:cNvPr>
        <xdr:cNvSpPr/>
      </xdr:nvSpPr>
      <xdr:spPr>
        <a:xfrm>
          <a:off x="466090" y="2966358"/>
          <a:ext cx="2418624" cy="3265714"/>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12</xdr:row>
      <xdr:rowOff>173620</xdr:rowOff>
    </xdr:from>
    <xdr:to>
      <xdr:col>6</xdr:col>
      <xdr:colOff>628651</xdr:colOff>
      <xdr:row>14</xdr:row>
      <xdr:rowOff>132504</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22221" y="2826152"/>
          <a:ext cx="1288481" cy="460453"/>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2207848</xdr:colOff>
      <xdr:row>9</xdr:row>
      <xdr:rowOff>167018</xdr:rowOff>
    </xdr:from>
    <xdr:to>
      <xdr:col>15</xdr:col>
      <xdr:colOff>2123045</xdr:colOff>
      <xdr:row>11</xdr:row>
      <xdr:rowOff>118254</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0678986" y="-2160494"/>
          <a:ext cx="463204" cy="8975853"/>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1615996</xdr:colOff>
      <xdr:row>19</xdr:row>
      <xdr:rowOff>293077</xdr:rowOff>
    </xdr:from>
    <xdr:to>
      <xdr:col>16</xdr:col>
      <xdr:colOff>9525</xdr:colOff>
      <xdr:row>23</xdr:row>
      <xdr:rowOff>123825</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5749846" y="4979377"/>
          <a:ext cx="8166179" cy="1202348"/>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1127352</xdr:colOff>
      <xdr:row>26</xdr:row>
      <xdr:rowOff>86741</xdr:rowOff>
    </xdr:from>
    <xdr:to>
      <xdr:col>14</xdr:col>
      <xdr:colOff>145677</xdr:colOff>
      <xdr:row>29</xdr:row>
      <xdr:rowOff>324970</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9767087" y="6765447"/>
          <a:ext cx="2178384" cy="910582"/>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a:t>
          </a:r>
          <a:r>
            <a:rPr lang="en-GB" sz="1200" baseline="0"/>
            <a:t>Excelfile op. PDF komt in dezelfde map.)</a:t>
          </a:r>
          <a:r>
            <a:rPr lang="en-GB" sz="1400"/>
            <a:t> </a:t>
          </a:r>
        </a:p>
      </xdr:txBody>
    </xdr:sp>
    <xdr:clientData/>
  </xdr:twoCellAnchor>
  <xdr:twoCellAnchor editAs="oneCell">
    <xdr:from>
      <xdr:col>13</xdr:col>
      <xdr:colOff>80885</xdr:colOff>
      <xdr:row>29</xdr:row>
      <xdr:rowOff>207874</xdr:rowOff>
    </xdr:from>
    <xdr:to>
      <xdr:col>13</xdr:col>
      <xdr:colOff>516109</xdr:colOff>
      <xdr:row>30</xdr:row>
      <xdr:rowOff>94350</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1282285" y="7627849"/>
          <a:ext cx="435224" cy="43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243354</xdr:colOff>
      <xdr:row>26</xdr:row>
      <xdr:rowOff>14645</xdr:rowOff>
    </xdr:from>
    <xdr:to>
      <xdr:col>11</xdr:col>
      <xdr:colOff>19637</xdr:colOff>
      <xdr:row>29</xdr:row>
      <xdr:rowOff>323752</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8101479" y="6720245"/>
          <a:ext cx="585321" cy="996811"/>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9895</xdr:colOff>
      <xdr:row>17</xdr:row>
      <xdr:rowOff>96459</xdr:rowOff>
    </xdr:from>
    <xdr:to>
      <xdr:col>15</xdr:col>
      <xdr:colOff>2160607</xdr:colOff>
      <xdr:row>18</xdr:row>
      <xdr:rowOff>231495</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2838379" y="1996760"/>
          <a:ext cx="395466" cy="4504231"/>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76200</xdr:colOff>
          <xdr:row>11</xdr:row>
          <xdr:rowOff>45720</xdr:rowOff>
        </xdr:from>
        <xdr:to>
          <xdr:col>6</xdr:col>
          <xdr:colOff>365760</xdr:colOff>
          <xdr:row>13</xdr:row>
          <xdr:rowOff>22860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15240</xdr:colOff>
      <xdr:row>18</xdr:row>
      <xdr:rowOff>244950</xdr:rowOff>
    </xdr:from>
    <xdr:to>
      <xdr:col>7</xdr:col>
      <xdr:colOff>5716</xdr:colOff>
      <xdr:row>20</xdr:row>
      <xdr:rowOff>122605</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2920365" y="4531200"/>
          <a:ext cx="1300164" cy="580124"/>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68580</xdr:colOff>
          <xdr:row>17</xdr:row>
          <xdr:rowOff>175260</xdr:rowOff>
        </xdr:from>
        <xdr:to>
          <xdr:col>6</xdr:col>
          <xdr:colOff>327660</xdr:colOff>
          <xdr:row>18</xdr:row>
          <xdr:rowOff>350520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7</xdr:col>
      <xdr:colOff>2135039</xdr:colOff>
      <xdr:row>13</xdr:row>
      <xdr:rowOff>26711</xdr:rowOff>
    </xdr:from>
    <xdr:to>
      <xdr:col>11</xdr:col>
      <xdr:colOff>1205960</xdr:colOff>
      <xdr:row>17</xdr:row>
      <xdr:rowOff>38383</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7617788" y="1699619"/>
          <a:ext cx="1095141" cy="3631014"/>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1905000</xdr:colOff>
          <xdr:row>6</xdr:row>
          <xdr:rowOff>60960</xdr:rowOff>
        </xdr:from>
        <xdr:to>
          <xdr:col>16</xdr:col>
          <xdr:colOff>7620</xdr:colOff>
          <xdr:row>8</xdr:row>
          <xdr:rowOff>175260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5</xdr:col>
      <xdr:colOff>147954</xdr:colOff>
      <xdr:row>15</xdr:row>
      <xdr:rowOff>245432</xdr:rowOff>
    </xdr:from>
    <xdr:to>
      <xdr:col>6</xdr:col>
      <xdr:colOff>2221</xdr:colOff>
      <xdr:row>17</xdr:row>
      <xdr:rowOff>250827</xdr:rowOff>
    </xdr:to>
    <xdr:pic macro="[0]!ZetventilatieWWenstoffilteropnul">
      <xdr:nvPicPr>
        <xdr:cNvPr id="21" name="Afbeelding 13" descr="Afbeeldingsresultaat voor handje muisklik">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0800000">
          <a:off x="2976879" y="3779207"/>
          <a:ext cx="521017" cy="493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490946</xdr:colOff>
      <xdr:row>6</xdr:row>
      <xdr:rowOff>97246</xdr:rowOff>
    </xdr:from>
    <xdr:to>
      <xdr:col>4</xdr:col>
      <xdr:colOff>1962150</xdr:colOff>
      <xdr:row>12</xdr:row>
      <xdr:rowOff>1904</xdr:rowOff>
    </xdr:to>
    <xdr:pic>
      <xdr:nvPicPr>
        <xdr:cNvPr id="25" name="Picture 24" descr="WUR_NL_vleeskuikenouderdieren1">
          <a:extLst>
            <a:ext uri="{FF2B5EF4-FFF2-40B4-BE49-F238E27FC236}">
              <a16:creationId xmlns:a16="http://schemas.microsoft.com/office/drawing/2014/main" id="{00000000-0008-0000-0000-000019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63779" t="53779" b="1"/>
        <a:stretch/>
      </xdr:blipFill>
      <xdr:spPr bwMode="auto">
        <a:xfrm>
          <a:off x="943384" y="1442652"/>
          <a:ext cx="1467394" cy="1236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2423160</xdr:colOff>
          <xdr:row>6</xdr:row>
          <xdr:rowOff>60960</xdr:rowOff>
        </xdr:from>
        <xdr:to>
          <xdr:col>6</xdr:col>
          <xdr:colOff>22860</xdr:colOff>
          <xdr:row>7</xdr:row>
          <xdr:rowOff>160020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Resetten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3798075-6E71-4093-8AE5-E28D56A210EE}" name="Staltechniek" displayName="Staltechniek" ref="B2:C5" totalsRowShown="0">
  <autoFilter ref="B2:C5" xr:uid="{0198291B-8A3D-410B-B4E0-528D95914D0F}"/>
  <tableColumns count="2">
    <tableColumn id="1" xr3:uid="{0A4AD164-9274-4B9C-9A72-14115EEDC3A4}" name="Staltechniek" dataDxfId="1"/>
    <tableColumn id="2" xr3:uid="{36CB8C9D-C948-4272-9072-92C5C902089F}" name="Reductiepercentag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C1:T42"/>
  <sheetViews>
    <sheetView showGridLines="0" tabSelected="1" zoomScaleNormal="100" zoomScaleSheetLayoutView="70" workbookViewId="0">
      <selection activeCell="Q4" sqref="Q4"/>
    </sheetView>
  </sheetViews>
  <sheetFormatPr defaultColWidth="8.88671875" defaultRowHeight="15.6" x14ac:dyDescent="0.3"/>
  <cols>
    <col min="1" max="1" width="1" style="32" customWidth="1"/>
    <col min="2" max="2" width="2.5546875" style="32" customWidth="1"/>
    <col min="3" max="3" width="3" style="32" customWidth="1"/>
    <col min="4" max="4" width="13.88671875" style="14" hidden="1" customWidth="1"/>
    <col min="5" max="5" width="35.88671875" style="14" customWidth="1"/>
    <col min="6" max="6" width="9.6640625" style="14" customWidth="1"/>
    <col min="7" max="7" width="9.33203125" style="14" customWidth="1"/>
    <col min="8" max="8" width="32.33203125" style="14" customWidth="1"/>
    <col min="9" max="9" width="12.88671875" style="14" customWidth="1"/>
    <col min="10" max="10" width="9.109375" style="14" customWidth="1"/>
    <col min="11" max="11" width="12.109375" style="14" customWidth="1"/>
    <col min="12" max="12" width="31.33203125" style="14" customWidth="1"/>
    <col min="13" max="13" width="6" style="14" customWidth="1"/>
    <col min="14" max="14" width="8.88671875" style="14" customWidth="1"/>
    <col min="15" max="15" width="19.44140625" style="14" customWidth="1"/>
    <col min="16" max="16" width="31.44140625" style="14" customWidth="1"/>
    <col min="17" max="17" width="16.6640625" style="14" customWidth="1"/>
    <col min="18" max="18" width="4.33203125" style="32" customWidth="1"/>
    <col min="19" max="20" width="9.6640625" style="32" bestFit="1" customWidth="1"/>
    <col min="21" max="16384" width="8.88671875" style="32"/>
  </cols>
  <sheetData>
    <row r="1" spans="3:20" ht="25.2" customHeight="1" x14ac:dyDescent="0.5">
      <c r="D1" s="179"/>
      <c r="E1" s="180" t="s">
        <v>200</v>
      </c>
      <c r="F1" s="179"/>
      <c r="G1" s="179"/>
      <c r="H1" s="179"/>
      <c r="I1" s="179"/>
      <c r="J1" s="179"/>
      <c r="K1" s="181" t="s">
        <v>112</v>
      </c>
      <c r="L1" s="181"/>
      <c r="M1" s="179"/>
      <c r="N1" s="179"/>
      <c r="O1" s="179"/>
      <c r="P1" s="179"/>
      <c r="Q1" s="179"/>
    </row>
    <row r="2" spans="3:20" ht="9.6" customHeight="1" thickBot="1" x14ac:dyDescent="0.35">
      <c r="D2" s="179"/>
      <c r="E2" s="179"/>
      <c r="F2" s="179"/>
      <c r="G2" s="179"/>
      <c r="H2" s="179"/>
      <c r="I2" s="179"/>
      <c r="J2" s="179"/>
      <c r="K2" s="179"/>
      <c r="L2" s="179"/>
      <c r="M2" s="179"/>
      <c r="N2" s="179"/>
      <c r="O2" s="179"/>
      <c r="P2" s="179"/>
      <c r="Q2" s="179"/>
    </row>
    <row r="3" spans="3:20" ht="18.600000000000001" customHeight="1" thickBot="1" x14ac:dyDescent="0.4">
      <c r="F3" s="69"/>
      <c r="G3" s="69"/>
      <c r="H3" s="219" t="s">
        <v>188</v>
      </c>
      <c r="I3" s="209"/>
      <c r="J3" s="209"/>
      <c r="K3" s="209"/>
      <c r="L3" s="209"/>
      <c r="M3" s="209"/>
      <c r="N3" s="209"/>
      <c r="O3" s="209"/>
      <c r="P3" s="209"/>
      <c r="Q3" s="210"/>
    </row>
    <row r="4" spans="3:20" ht="18" customHeight="1" x14ac:dyDescent="0.35">
      <c r="E4" s="206" t="s">
        <v>187</v>
      </c>
      <c r="F4" s="79" t="s">
        <v>107</v>
      </c>
      <c r="H4" s="213" t="s">
        <v>178</v>
      </c>
      <c r="I4" s="220"/>
      <c r="J4" s="220"/>
      <c r="K4" s="220"/>
      <c r="L4" s="220"/>
      <c r="M4" s="220"/>
      <c r="N4" s="220"/>
      <c r="O4" s="220"/>
      <c r="P4" s="220"/>
      <c r="Q4" s="223"/>
    </row>
    <row r="5" spans="3:20" ht="18" customHeight="1" x14ac:dyDescent="0.35">
      <c r="E5" s="207" t="s">
        <v>187</v>
      </c>
      <c r="F5" s="80" t="s">
        <v>108</v>
      </c>
      <c r="H5" s="211" t="s">
        <v>179</v>
      </c>
      <c r="I5" s="221"/>
      <c r="J5" s="221"/>
      <c r="K5" s="221"/>
      <c r="L5" s="221"/>
      <c r="M5" s="221"/>
      <c r="N5" s="221"/>
      <c r="O5" s="221"/>
      <c r="P5" s="221"/>
      <c r="Q5" s="212"/>
    </row>
    <row r="6" spans="3:20" ht="17.399999999999999" customHeight="1" thickBot="1" x14ac:dyDescent="0.4">
      <c r="D6" s="14" t="s">
        <v>184</v>
      </c>
      <c r="E6" s="81">
        <f ca="1">TODAY()</f>
        <v>46192</v>
      </c>
      <c r="F6" s="82" t="s">
        <v>0</v>
      </c>
      <c r="H6" s="213" t="s">
        <v>180</v>
      </c>
      <c r="I6" s="222"/>
      <c r="J6" s="222"/>
      <c r="K6" s="222"/>
      <c r="L6" s="222"/>
      <c r="M6" s="222"/>
      <c r="N6" s="222"/>
      <c r="O6" s="222"/>
      <c r="P6" s="222"/>
      <c r="Q6" s="214"/>
    </row>
    <row r="7" spans="3:20" ht="18" customHeight="1" thickBot="1" x14ac:dyDescent="0.4">
      <c r="D7" s="14" t="s">
        <v>182</v>
      </c>
      <c r="E7" s="14" t="s">
        <v>2</v>
      </c>
      <c r="H7" s="215" t="s">
        <v>197</v>
      </c>
      <c r="I7" s="216"/>
      <c r="J7" s="216"/>
      <c r="K7" s="217"/>
      <c r="L7" s="216"/>
      <c r="M7" s="217"/>
      <c r="N7" s="217"/>
      <c r="O7" s="217"/>
      <c r="P7" s="217"/>
      <c r="Q7" s="218"/>
    </row>
    <row r="8" spans="3:20" ht="13.2" customHeight="1" x14ac:dyDescent="0.3">
      <c r="D8" s="14" t="s">
        <v>183</v>
      </c>
      <c r="E8"/>
      <c r="F8" s="78"/>
      <c r="H8" s="197"/>
      <c r="I8" s="198"/>
      <c r="J8" s="199"/>
      <c r="K8" s="199"/>
    </row>
    <row r="9" spans="3:20" ht="15" customHeight="1" thickBot="1" x14ac:dyDescent="0.45">
      <c r="E9" s="33"/>
      <c r="F9" s="203"/>
      <c r="H9" s="200"/>
      <c r="I9" s="199"/>
      <c r="J9" s="199"/>
      <c r="K9" s="199"/>
      <c r="L9" s="248"/>
      <c r="M9" s="249"/>
      <c r="N9" s="249"/>
      <c r="O9" s="66" t="s">
        <v>2</v>
      </c>
      <c r="T9" s="260"/>
    </row>
    <row r="10" spans="3:20" ht="19.95" customHeight="1" x14ac:dyDescent="0.35">
      <c r="C10" s="261" t="s">
        <v>96</v>
      </c>
      <c r="E10" s="33"/>
      <c r="F10"/>
      <c r="H10" s="186" t="str">
        <f>IF(F14+H16=0,"Geen warmtewisselaar","Warmtewisselaar")</f>
        <v>Geen warmtewisselaar</v>
      </c>
      <c r="I10" s="54"/>
      <c r="J10" s="52"/>
      <c r="L10" s="58"/>
      <c r="Q10" s="255" t="s">
        <v>109</v>
      </c>
    </row>
    <row r="11" spans="3:20" ht="20.399999999999999" customHeight="1" x14ac:dyDescent="0.3">
      <c r="F11" s="34"/>
      <c r="H11" s="185" t="str">
        <f>IF(H10="warmtewisselaar","Reductiepercentage WW 80%","   ")</f>
        <v xml:space="preserve">   </v>
      </c>
      <c r="I11" s="31"/>
      <c r="J11" s="30">
        <f>IF(L20="geen techniek",F14+H16,IF(J13="ja",0,F14+H16))</f>
        <v>0</v>
      </c>
      <c r="K11" s="142" t="s">
        <v>175</v>
      </c>
      <c r="L11" s="242" t="str">
        <f>IF(L20="Biofilter",IF(H15="ja",IF(J14&gt;0,"Deze combinatie met WW stoffilter is toepasbaar, maar niet zinvol","     "),"  "),IF(L20="bio wasser 60%",IF(H15="ja",IF(J14&gt;0,"Deze combinatie met WW stoffilter is toepasbaar, maar niet zinvol","   "),"   "),IF(L20="bio wasser 75%",IF(H15="ja",IF(J14&gt;0,"Deze combinatie met WW stoffilter is toepasbaar, maar niet zinvol","   "),"    "),"   ")))</f>
        <v xml:space="preserve">   </v>
      </c>
      <c r="M11" s="243"/>
      <c r="N11" s="243"/>
      <c r="O11" s="243"/>
      <c r="P11" s="244"/>
      <c r="Q11" s="256"/>
    </row>
    <row r="12" spans="3:20" ht="19.2" customHeight="1" thickBot="1" x14ac:dyDescent="0.35">
      <c r="H12" s="224">
        <f>ROUND(IF(H15="nee",'wisselend debiet_opfok'!$O$8*(1-E23),IF(H15="ja",'wisselend debiet_opfok'!$Q$8*(1-E23))),3)</f>
        <v>0</v>
      </c>
      <c r="I12" s="229" t="str">
        <f>"Lucht WW door overige techniek?"</f>
        <v>Lucht WW door overige techniek?</v>
      </c>
      <c r="J12" s="227"/>
      <c r="K12" s="228"/>
      <c r="L12" s="243"/>
      <c r="M12" s="243"/>
      <c r="N12" s="243"/>
      <c r="O12" s="243"/>
      <c r="P12" s="244"/>
      <c r="Q12" s="256"/>
    </row>
    <row r="13" spans="3:20" ht="19.2" customHeight="1" thickBot="1" x14ac:dyDescent="0.5">
      <c r="E13" s="137" t="s">
        <v>185</v>
      </c>
      <c r="H13" s="184" t="s">
        <v>166</v>
      </c>
      <c r="I13" s="168"/>
      <c r="J13" s="55" t="s">
        <v>81</v>
      </c>
      <c r="L13" s="243"/>
      <c r="M13" s="243"/>
      <c r="N13" s="243"/>
      <c r="O13" s="243"/>
      <c r="P13" s="244"/>
      <c r="Q13" s="256"/>
    </row>
    <row r="14" spans="3:20" ht="21" customHeight="1" x14ac:dyDescent="0.3">
      <c r="D14" s="158">
        <v>0</v>
      </c>
      <c r="E14" s="232" t="s">
        <v>186</v>
      </c>
      <c r="F14" s="156">
        <f>MAX(0,IF(D14+D19&gt;J25*100,(J25-F20),D14/100))</f>
        <v>0</v>
      </c>
      <c r="G14" s="14" t="s">
        <v>175</v>
      </c>
      <c r="H14" s="185" t="str">
        <f>IF(F14=0,"    ","Reductie% stoffilter 99%")</f>
        <v xml:space="preserve">    </v>
      </c>
      <c r="J14" s="160">
        <f>IF(L20="geen techniek",0,IF(J13="ja",F14+H16,0))</f>
        <v>0</v>
      </c>
      <c r="K14" s="159" t="s">
        <v>175</v>
      </c>
      <c r="Q14" s="256"/>
    </row>
    <row r="15" spans="3:20" ht="25.2" customHeight="1" thickBot="1" x14ac:dyDescent="0.4">
      <c r="D15" s="158">
        <v>75</v>
      </c>
      <c r="E15" s="232"/>
      <c r="F15" s="14" t="s">
        <v>164</v>
      </c>
      <c r="H15" s="55" t="s">
        <v>81</v>
      </c>
      <c r="I15" s="250" t="str">
        <f>IF(J13="nee","     ",IF(L20="geen techniek",IF(J13="ja","Indien 'geen techniek', dan is er geen luchtstroom"),"   "))</f>
        <v xml:space="preserve">     </v>
      </c>
      <c r="J15" s="251"/>
      <c r="K15" s="251"/>
      <c r="N15" s="67"/>
      <c r="O15" s="67"/>
      <c r="P15" s="67"/>
      <c r="Q15" s="256"/>
    </row>
    <row r="16" spans="3:20" ht="19.5" customHeight="1" thickBot="1" x14ac:dyDescent="0.35">
      <c r="E16" s="233"/>
      <c r="F16" s="205">
        <f>F14/J25</f>
        <v>0</v>
      </c>
      <c r="G16" s="252" t="str">
        <f>IF(F14&gt;0,"Reset: Zet ventilatie door WW en/of stoffilter in 1 klik op 0 m3",IF(F20&gt;0,"Zet ventilatie door WW en/of stoffilter in 1 klik op 0 m3","  "))</f>
        <v xml:space="preserve">  </v>
      </c>
      <c r="H16" s="253"/>
      <c r="I16" s="251"/>
      <c r="J16" s="251"/>
      <c r="K16" s="251"/>
      <c r="M16" s="239" t="str">
        <f>IF(F14&gt;0,IF(L20="Luchtconditioneringsunit","Twee keer eenzelfde type techniek in de uitgaande luchtstroom is niet logisch","    "),"   ")</f>
        <v xml:space="preserve">   </v>
      </c>
      <c r="N16" s="240"/>
      <c r="O16" s="240"/>
      <c r="P16" s="241"/>
      <c r="Q16" s="256"/>
    </row>
    <row r="17" spans="3:17" ht="19.95" customHeight="1" thickBot="1" x14ac:dyDescent="0.35">
      <c r="E17" s="177"/>
      <c r="F17" s="176"/>
      <c r="G17" s="253"/>
      <c r="H17" s="253"/>
      <c r="I17" s="239" t="str">
        <f>IF(J11=0,"   ",IF(L20="chemische wasser 35%","Alle lucht moet door overige techniek vanwege ammoniak en/of geur",IF(L20="chemische wasser 70%","Alle lucht moet door overige techniek vanwege ammoniak en/of geur",IF(L20="Bio wasser 60%","Alle lucht moet door overige techniek vanwege ammoniak en/of geur",IF(L20="Bio wasser 75%","Alle lucht moet door overige techniek vanwege ammoniak en/of geur",IF(L20="Biofilter","Alle lucht moet door overige techniek vanwege ammoniak en/of geur","   "))))))</f>
        <v xml:space="preserve">   </v>
      </c>
      <c r="J17" s="240"/>
      <c r="K17" s="240"/>
      <c r="M17" s="240"/>
      <c r="N17" s="240"/>
      <c r="O17" s="240"/>
      <c r="P17" s="241"/>
      <c r="Q17" s="256"/>
    </row>
    <row r="18" spans="3:17" ht="20.399999999999999" customHeight="1" thickBot="1" x14ac:dyDescent="0.4">
      <c r="E18" s="53" t="s">
        <v>75</v>
      </c>
      <c r="H18" s="225" t="s">
        <v>196</v>
      </c>
      <c r="I18" s="240"/>
      <c r="J18" s="240"/>
      <c r="K18" s="240"/>
      <c r="L18" s="189" t="s">
        <v>105</v>
      </c>
      <c r="M18" s="51"/>
      <c r="N18" s="51"/>
      <c r="Q18" s="256"/>
    </row>
    <row r="19" spans="3:17" ht="35.4" customHeight="1" x14ac:dyDescent="0.35">
      <c r="D19" s="157">
        <v>0</v>
      </c>
      <c r="E19" s="64" t="s">
        <v>93</v>
      </c>
      <c r="H19" s="185" t="str">
        <f>IF(H18="GEEN filter",IF(F20&gt;0,"Zet ventilatie links op nul","   "),IF(H18="droge stoffilter 99%","Reductie% droge stoffilter 99%","Reductie% droogfilterunit 40%"))</f>
        <v xml:space="preserve">   </v>
      </c>
      <c r="I19" s="238"/>
      <c r="J19" s="238"/>
      <c r="K19" s="238"/>
      <c r="L19" s="190" t="str">
        <f>IF(L20="chemische wasser 35%","Potentieel reductie: 35%",IF(L20="chemische wasser 70%","Potentieel reductie: 70%",IF(L20="bio wasser 60%","Potentieel reductie: 60%",IF(L20="bio wasser 75%","Potentieel reductie: 75%",IF(L20="biofilter","Potentieel reductie: 80%",IF(L20="waterluchtwassysteem","Potentieel reductie: 33%",IF(L20="droogfilterwand","Potentieel reductie: 40%",IF(L20="ionisatiefilter","Potentieel reductie: 57%",IF(L20="luchtconditioneringsunit","Potentieel reductie: 80%","  ")))))))))</f>
        <v xml:space="preserve">  </v>
      </c>
      <c r="M19" s="245" t="str">
        <f>IF(F20=0,"   ",IF(L20="chemische wasser 35%","Alle lucht moet door overige techniek vanwege ammoniak en/of geur",IF(L20="chemische wasser 70%","Alle lucht moet door overige techniek vanwege ammoniak en/of geur",IF(L20="Bio wasser 60%","Alle lucht moet door overige techniek vanwege ammoniak en/of geur",IF(L20="Bio wasser 75%","Alle lucht moet door overige techniek vanwege ammoniak en/of geur",IF(L20="Biofilter","Alle lucht moet door overige techniek vanwege ammoniak en/of geur","   "))))))</f>
        <v xml:space="preserve">   </v>
      </c>
      <c r="N19" s="246"/>
      <c r="O19" s="246"/>
      <c r="P19" s="247"/>
      <c r="Q19" s="256"/>
    </row>
    <row r="20" spans="3:17" ht="19.2" customHeight="1" thickBot="1" x14ac:dyDescent="0.4">
      <c r="E20" s="234" t="str">
        <f>IF(E19="geen staltechniek","    ",IF(E19="negatieve ionisatie",IF(E14="vleeskuikens","   ","Deze techniek kan alleen bij vleeskuikens"),IF(E19="strooiselschuif",IF(E14="leghennen voliere","   ","Deze techniek kan alleen bij leghennen voliere"),IF(E19="oliefilm bij voliere dmv leidingen",IF(E14="leghennen voliere","   ",IF(E14="opfok leghennen voliere","     ",IF(E14="Vleeskuikenouderdieren voliere","    ","Deze techniek kan alleen bij (opfok)leghennen en vleeskuikenouderdieren voliere"))),IF(E19="strooiselschuif icm oliefilm bij voliere dmv leidingen",IF(E14="leghennen voliere","   ","Deze techniek kan alleen bij leghennen voliere"),IF(E19="oliefilm dmv olierobot",IF(E14="opfok leghennen grondhuisvesting","    ",IF(E14="leghennen grondhuisvesting","    ",IF(E14="vleeskuikenouderdieren grondhuisvesting","    ","Deze techniek kan alleen bij (opfok)leghennen en vleeskuikenouderdieren grondhuisvesting"))),"   "))))))</f>
        <v xml:space="preserve">    </v>
      </c>
      <c r="F20" s="157">
        <f>MAX(0,IF(D14+D19&gt;J25*100,(J25*100-D14)/100,D19/100))</f>
        <v>0</v>
      </c>
      <c r="G20" s="14" t="s">
        <v>175</v>
      </c>
      <c r="H20" s="208">
        <f>ROUNDDOWN(IF(H19="Zet ventilatie links op nul","error",(IF(F14=0,'wisselend debiet_opfok'!$M$8*(1-E23),'wisselend debiet_opfok'!$P$8*(1-E23)))),3)</f>
        <v>0</v>
      </c>
      <c r="J20" s="195"/>
      <c r="K20" s="196"/>
      <c r="L20" s="55" t="s">
        <v>95</v>
      </c>
      <c r="M20" s="246"/>
      <c r="N20" s="246"/>
      <c r="O20" s="246"/>
      <c r="P20" s="247"/>
      <c r="Q20" s="256"/>
    </row>
    <row r="21" spans="3:17" ht="40.200000000000003" customHeight="1" x14ac:dyDescent="0.35">
      <c r="E21" s="235"/>
      <c r="F21" s="34">
        <f>J25-F14-F20</f>
        <v>4.8600000000000003</v>
      </c>
      <c r="G21" s="14" t="s">
        <v>175</v>
      </c>
      <c r="H21" s="56"/>
      <c r="J21" s="30">
        <f>IF(L20="geen techniek",0,F21)</f>
        <v>0</v>
      </c>
      <c r="K21" s="50" t="s">
        <v>175</v>
      </c>
      <c r="L21" s="72" t="s">
        <v>111</v>
      </c>
      <c r="M21" s="254" t="str">
        <f>IF(L20="luchtconditioneringsunit","   ",
IF(L20="geen techniek","    ",
IF(L20="chemische wasser 35%","    ",
IF(L20="chemische wasser 70%","    ",
IF(L20="bio wasser 60%","    ",
IF(L20="bio wasser 75%","    ",
IF(L20="waterluchtwassysteem","   ",
IF(L25="biofilter","    ",
IF(L20="Droogfilterwand","   ",
IF(L20="ionisatiefilter",
IF(E19="IONISATIE MET KOOLSTOFBORSTELTJES","Het ionisatiefilter kan niet gecombineerd worden met een ionisatietechniek in de stal",
IF(E19="ionisatie d.m.v. koolstof-borsteltjes icm strooiselschuif","Het ionisatiefilter kan niet gecombineerd worden met een ionisatietechniek in de stal",
IF(E19="IONISATIE ICM INTERNE LUCHTCIRCULATIE","Het ionisatiefilter kan niet gecombineerd worden met een ionisatietechniek in de stal","   "))),"  "))))))))))</f>
        <v xml:space="preserve">    </v>
      </c>
      <c r="N21" s="240"/>
      <c r="O21" s="240"/>
      <c r="P21" s="241"/>
      <c r="Q21" s="256"/>
    </row>
    <row r="22" spans="3:17" ht="24.45" customHeight="1" x14ac:dyDescent="0.55000000000000004">
      <c r="D22" s="32"/>
      <c r="E22" s="36" t="s">
        <v>110</v>
      </c>
      <c r="F22" s="56" t="s">
        <v>94</v>
      </c>
      <c r="G22" s="56"/>
      <c r="H22" s="56" t="s">
        <v>2</v>
      </c>
      <c r="J22" s="30"/>
      <c r="L22" s="204">
        <f>IF(M21="Het ionisatiefilter kan niet gecombineerd worden met een ionisatietechniek in de stal","error",
IF(M16="Twee keer eenzelfde type techniek in de uitgaande luchtstroom is niet logisch","error",
IF(F24="Niet alle lucht gaat door luchtconditioneringsunit, dus niet combineren met droge stoffilter of droogfilterunit","error",
(IF(I17="Alle lucht moet door overige techniek vanwege ammoniak en/of geur","error",IF(M19="Alle lucht moet door overige techniek vanwege ammoniak en/of geur","error",IF(L11="Combinatie met warmtewisselaar is niet toegestaan","error",IF(F20=0,IF(J13="ja",'wisselend debiet_opfok'!$U$8*(1-E23),'wisselend debiet_opfok'!$S$8*(1-E23)),IF(F14=0,'wisselend debiet_opfok'!$T$8*(1-E23),IF(F14&gt;0,IF(F20&gt;0,IF(J14=0,'wisselend debiet_opfok'!$V$8*(1-E23),IF(J14&gt;0,'wisselend debiet_opfok'!$U$8*(1-E23),'wisselend debiet_opfok'!$W$8*(1-E23))))))))))))))</f>
        <v>0</v>
      </c>
      <c r="N22" s="139"/>
      <c r="O22" s="68"/>
      <c r="Q22" s="76">
        <f>ROUNDDOWN(100%-(1-E23)+(H20+H12)+L22,3)</f>
        <v>0</v>
      </c>
    </row>
    <row r="23" spans="3:17" ht="19.95" customHeight="1" x14ac:dyDescent="0.3">
      <c r="D23" s="32"/>
      <c r="E23" s="146">
        <f>IF(E19="ionisatieSYSTEEM MET NEGATIEVE CORONADRADEN",49%,
IF(E19="IONISATIE MET KOOLSTOFBORSTELTJES",31%,
IF(E19="ionisatie d.m.v. coronadraden",52%,
IF(E19="ionisatie d.m.v. ionisatie-units",16%,
IF(E19="IONISATIE ICM INTERNE LUCHTCIRCULATIE",50%,0)))))</f>
        <v>0</v>
      </c>
      <c r="F23" s="30"/>
      <c r="G23" s="57">
        <f>J11+J14+J21+J23</f>
        <v>4.8600000000000003</v>
      </c>
      <c r="H23" s="56"/>
      <c r="J23" s="30">
        <f>F20+F21-H16-J21</f>
        <v>4.8600000000000003</v>
      </c>
      <c r="K23" s="14" t="s">
        <v>175</v>
      </c>
      <c r="L23" s="139"/>
      <c r="Q23" s="154"/>
    </row>
    <row r="24" spans="3:17" ht="19.2" customHeight="1" thickBot="1" x14ac:dyDescent="0.4">
      <c r="D24" s="32"/>
      <c r="E24" s="191"/>
      <c r="F24" s="193" t="str">
        <f>IF(L20="Luchtconditioneringsunit",
IF(H20&gt;0,"Niet alle lucht gaat door luchtconditioneringsunit, dus niet combineren met droge stoffilter of droogfilterunit","    "),"   ")</f>
        <v xml:space="preserve">   </v>
      </c>
      <c r="Q24" s="77"/>
    </row>
    <row r="25" spans="3:17" ht="19.8" x14ac:dyDescent="0.35">
      <c r="D25" s="32" t="s">
        <v>93</v>
      </c>
      <c r="F25" s="70"/>
      <c r="G25" s="71"/>
      <c r="H25" s="73" t="s">
        <v>106</v>
      </c>
      <c r="J25" s="74">
        <f>'Max waarden'!$B$8</f>
        <v>4.8600000000000003</v>
      </c>
      <c r="K25" s="75" t="s">
        <v>176</v>
      </c>
      <c r="L25" s="192"/>
    </row>
    <row r="26" spans="3:17" ht="15.6" customHeight="1" x14ac:dyDescent="0.35">
      <c r="D26" s="194" t="s">
        <v>193</v>
      </c>
      <c r="E26" s="32"/>
      <c r="F26" s="32"/>
      <c r="G26" s="32"/>
      <c r="H26" s="32"/>
      <c r="I26" s="32"/>
      <c r="J26" s="37" t="str">
        <f>IF(G23&lt;&gt;J25,"Optelsom debiet klopt niet","   ")</f>
        <v xml:space="preserve">   </v>
      </c>
      <c r="K26" s="32"/>
      <c r="L26" s="32"/>
      <c r="M26" s="32"/>
      <c r="N26" s="32"/>
      <c r="O26" s="32"/>
      <c r="P26" s="32"/>
      <c r="Q26" s="32"/>
    </row>
    <row r="27" spans="3:17" ht="16.8" x14ac:dyDescent="0.4">
      <c r="D27" s="194"/>
      <c r="E27" s="236" t="s">
        <v>173</v>
      </c>
      <c r="F27" s="237"/>
      <c r="G27" s="237"/>
      <c r="H27" s="237"/>
      <c r="I27" s="238"/>
      <c r="J27" s="60"/>
      <c r="K27" s="60"/>
      <c r="L27" s="60"/>
      <c r="M27" s="60"/>
      <c r="N27" s="60"/>
      <c r="O27" s="61"/>
      <c r="P27" s="60"/>
      <c r="Q27" s="60"/>
    </row>
    <row r="28" spans="3:17" ht="18.600000000000001" x14ac:dyDescent="0.3">
      <c r="D28" s="194"/>
      <c r="E28" s="201"/>
      <c r="F28" s="201"/>
      <c r="G28" s="201"/>
      <c r="H28" s="201"/>
      <c r="I28" s="60"/>
      <c r="J28" s="60"/>
      <c r="K28" s="60"/>
      <c r="L28" s="60"/>
      <c r="M28" s="60"/>
      <c r="N28" s="60"/>
      <c r="O28" s="61"/>
      <c r="P28" s="60"/>
      <c r="Q28" s="60"/>
    </row>
    <row r="29" spans="3:17" ht="18" x14ac:dyDescent="0.35">
      <c r="C29" s="182"/>
      <c r="D29" s="194"/>
      <c r="E29" s="59"/>
      <c r="F29" s="59"/>
      <c r="G29" s="62"/>
      <c r="H29" s="63"/>
      <c r="I29" s="60"/>
      <c r="J29" s="60"/>
      <c r="K29" s="60"/>
      <c r="L29" s="60"/>
      <c r="M29" s="60"/>
      <c r="N29" s="60"/>
      <c r="O29" s="60"/>
      <c r="P29" s="60"/>
      <c r="Q29" s="60"/>
    </row>
    <row r="30" spans="3:17" ht="43.95" customHeight="1" x14ac:dyDescent="0.55000000000000004">
      <c r="E30" s="65"/>
      <c r="F30" s="59"/>
      <c r="G30" s="60"/>
      <c r="H30" s="60" t="s">
        <v>2</v>
      </c>
      <c r="I30" s="60"/>
      <c r="J30" s="60"/>
      <c r="K30" s="60"/>
      <c r="L30" s="60"/>
      <c r="M30" s="60"/>
      <c r="N30" s="60"/>
      <c r="O30" s="60"/>
      <c r="P30" s="60"/>
      <c r="Q30" s="60"/>
    </row>
    <row r="31" spans="3:17" x14ac:dyDescent="0.3">
      <c r="C31" s="183"/>
      <c r="D31" s="32"/>
      <c r="E31" s="35"/>
      <c r="F31" s="35"/>
      <c r="G31" s="183"/>
      <c r="H31" s="32"/>
      <c r="I31" s="32"/>
      <c r="J31" s="32"/>
      <c r="K31" s="32"/>
      <c r="L31" s="32"/>
      <c r="M31" s="32"/>
      <c r="N31" s="32"/>
      <c r="O31" s="32"/>
      <c r="P31" s="32"/>
      <c r="Q31" s="32"/>
    </row>
    <row r="32" spans="3:17" x14ac:dyDescent="0.3">
      <c r="D32" s="178">
        <f>IF(H19="zonder stoffilter",IF(D33="opfok leghennen",IF(H12="warmtewisselaar 13%",0.2,IF(H12="warmtewisselaar 31%",0.43,IF(H12="warmtewisselaar 37%",0.55,IF(H12="warmtewisselaar 50%",0.78)))),IF(D33="leghennen",IF(H12="warmtewisselaar 13%",0.4,IF(H12="warmtewisselaar 31%",1,IF(H12="warmtewisselaar 37%",1.25,IF(H12="warmtewisselaar 50%",1.8)))),IF(E14="opfok vleeskuikenouderdieren",IF(H12="warmtewisselaar 13%",0.4,IF(H12="warmtewisselaar 31%",1,IF(H12="warmtewisselaar 37%",1.3,IF(H12="warmtewisselaar 50%",1.9)))),IF(D33="vleeskuikenouderdieren",IF(H12="warmtewisselaar 13%",0.6,IF(H12="warmtewisselaar 31%",1.5,IF(H12="warmtewisselaar 37%",1.85,IF(H12="warmtewisselaar 50%",2.9))))))+IF(E14="vleeskuikens",IF(H12="warmtewisselaar 13%",0.35,IF(H12="warmtewisselaar 31%",1,IF(H12="warmtewisselaar 37%",1.3,IF(H12="warmtewisselaar 50%",2,0)))))+IF(E14="vleeseenden",IF(H12="warmtewisselaar 13%",0.8,IF(H12="warmtewisselaar 31%",2.3,IF(H12="warmtewisselaar 37%",3.15,IF(H12="warmtewisselaar 50%",4.8)))))))+IF(E14="kalkoen hennen",IF(H12="warmtewisselaar 13%",1.1,IF(H12="warmtewisselaar 31%",3,IF(H12="warmtewisselaar 37%",3.85,IF(H12="warmtewisselaar 50%",5.6)))))+IF(E14="kalkoen hanen",IF(H12="warmtewisselaar 13%",2.5,IF(H12="warmtewisselaar 31%",6.2,IF(H12="warmtewisselaar 37%",8.2,IF(H12="warmtewisselaar 50%",11.7))))),0)+IF(H19="met stoffilter",IF(D33="opfok leghennen",IF(H12="warmtewisselaar 13%",0.15,IF(H12="warmtewisselaar 31%",0.35,IF(H12="warmtewisselaar 37%",0.4,IF(H12="warmtewisselaar 50%",0.6)))),IF(D33="leghennen",IF(H12="warmtewisselaar 13%",0.35,IF(H12="warmtewisselaar 31%",0.85,IF(H12="warmtewisselaar 37%",1,IF(H12="warmtewisselaar 50%",1.4)))),IF(E14="leghennen grondhuisvesting",IF(H12="warmtewisselaar 13%",0.35,IF(H12="warmtewisselaar 31%",0.85,IF(H12="warmtewisselaar 37%",1,IF(H12="warmtewisselaar 50%",1.4)))),IF(E14="opfok vleeskuikenouderdieren",IF(H12="warmtewisselaar 13%",0.35,IF(H12="warmtewisselaar 31%",0.85,IF(H12="warmtewisselaar 37%",1.1,IF(H12="warmtewisselaar 50%",1.45)))),IF(D33="vleeskuikenouderdieren",IF(H12="warmtewisselaar 13%",0.5,IF(H12="warmtewisselaar 31%",1.2,IF(H12="warmtewisselaar 37%",1.5,IF(H12="warmtewisselaar 50%",2.1))))))+IF(E14="vleeskuikens",IF(H12="warmtewisselaar 13%",0.3,IF(H12="warmtewisselaar 31%",0.75,IF(H12="warmtewisselaar 37%",1,IF(H12="warmtewisselaar 50%",1.45,0)))))+IF(E14="vleeseenden",IF(H12="warmtewisselaar 13%",0.7,IF(H12="warmtewisselaar 31%",1.9,IF(H12="warmtewisselaar 37%",2.3,IF(H12="warmtewisselaar 50%",3.6)))))))+IF(E14="kalkoen hennen",IF(H12="warmtewisselaar 13%",0.9,IF(H12="warmtewisselaar 31%",2.5,IF(H12="warmtewisselaar 37%",3,IF(H12="warmtewisselaar 50%",4.3)))))+IF(E14="kalkoen hanen",IF(H12="warmtewisselaar 13%",2.2,IF(H12="warmtewisselaar 31%",5.3,IF(H12="warmtewisselaar 37%",6.2,IF(H12="warmtewisselaar 50%",9)))))),0)</f>
        <v>0</v>
      </c>
      <c r="E32" s="69"/>
      <c r="F32" s="70"/>
      <c r="G32" s="69"/>
      <c r="H32" s="69"/>
      <c r="I32" s="69"/>
      <c r="J32" s="69"/>
      <c r="K32" s="69" t="s">
        <v>2</v>
      </c>
      <c r="L32" s="69"/>
      <c r="M32" s="69"/>
      <c r="N32" s="69"/>
      <c r="O32" s="69"/>
      <c r="P32" s="69"/>
      <c r="Q32" s="69"/>
    </row>
    <row r="33" spans="4:17" x14ac:dyDescent="0.3">
      <c r="D33" s="69">
        <f>IF(E14="OPFOK LEGHENNEN KOOI/KOLONIE","opfok leghennen",IF(E14="opfok leghennen grondhuisvesting","opfok leghennen",IF(E14="opfok leghennen voliere","opfok leghennen",IF(E14="leghennen verrijkte kooi/kolonie","leghennen",IF(E14="leghennen grondhuisvesting","leghennen",IF(E14="leghennen voliere","leghennen",IF(E14="vleeskuikenouderdieren groepskooi","vleeskuikenouderdieren",IF(E14="vleeskuikenouderdieren grondhuisvesting","vleeskuikenouderdieren",IF(E14="vleeskuikenouderdieren voliere","vleeskuikenouderdieren",0)))))))))</f>
        <v>0</v>
      </c>
      <c r="E33" s="69"/>
      <c r="F33" s="69"/>
      <c r="G33" s="69"/>
      <c r="H33" s="69"/>
      <c r="I33" s="69"/>
      <c r="J33" s="69"/>
      <c r="K33" s="69"/>
      <c r="L33" s="69"/>
      <c r="M33" s="69"/>
      <c r="N33" s="69"/>
      <c r="O33" s="69"/>
      <c r="P33" s="69"/>
      <c r="Q33" s="69"/>
    </row>
    <row r="34" spans="4:17" x14ac:dyDescent="0.3">
      <c r="D34" s="69"/>
      <c r="E34" s="69"/>
      <c r="F34" s="69"/>
      <c r="G34" s="69"/>
      <c r="H34" s="69"/>
      <c r="I34" s="69"/>
      <c r="J34" s="69"/>
      <c r="K34" s="69"/>
      <c r="L34" s="69"/>
      <c r="M34" s="69"/>
      <c r="N34" s="69"/>
      <c r="O34" s="69"/>
      <c r="P34" s="69"/>
      <c r="Q34" s="69"/>
    </row>
    <row r="42" spans="4:17" x14ac:dyDescent="0.3">
      <c r="L42" s="56"/>
    </row>
  </sheetData>
  <sheetProtection algorithmName="SHA-512" hashValue="luTYOkWuK9D41k87YMN+mCNmaZ98NzrxIejV0M45KQdZLg7sQlCJG9zZTg/1ZhZg4ISIDuVvspoJjHHktEVAiA==" saltValue="ZKZY8qc2pzrHldaDYkqrdg==" spinCount="100000" sheet="1" objects="1" scenarios="1"/>
  <dataConsolidate/>
  <mergeCells count="12">
    <mergeCell ref="L9:N9"/>
    <mergeCell ref="I15:K16"/>
    <mergeCell ref="G16:H17"/>
    <mergeCell ref="M21:P21"/>
    <mergeCell ref="Q10:Q21"/>
    <mergeCell ref="E14:E16"/>
    <mergeCell ref="E20:E21"/>
    <mergeCell ref="E27:I27"/>
    <mergeCell ref="M16:P17"/>
    <mergeCell ref="L11:P13"/>
    <mergeCell ref="M19:P20"/>
    <mergeCell ref="I17:K19"/>
  </mergeCells>
  <dataValidations count="1">
    <dataValidation type="list" allowBlank="1" showInputMessage="1" showErrorMessage="1" errorTitle="Keuze onjuist" error="Vul dit in met ja of nee." sqref="E19" xr:uid="{00000000-0002-0000-0200-000000000000}">
      <formula1>StalTechDropdown</formula1>
    </dataValidation>
  </dataValidations>
  <pageMargins left="0.7" right="0.7" top="0.75" bottom="0.75" header="0.3" footer="0.3"/>
  <pageSetup paperSize="9" scale="56" orientation="landscape" r:id="rId1"/>
  <rowBreaks count="1" manualBreakCount="1">
    <brk id="34" max="16383" man="1"/>
  </rowBreaks>
  <ignoredErrors>
    <ignoredError sqref="H1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anchor moveWithCells="1" sizeWithCells="1">
                  <from>
                    <xdr:col>6</xdr:col>
                    <xdr:colOff>76200</xdr:colOff>
                    <xdr:row>11</xdr:row>
                    <xdr:rowOff>45720</xdr:rowOff>
                  </from>
                  <to>
                    <xdr:col>6</xdr:col>
                    <xdr:colOff>365760</xdr:colOff>
                    <xdr:row>13</xdr:row>
                    <xdr:rowOff>22860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6</xdr:col>
                    <xdr:colOff>68580</xdr:colOff>
                    <xdr:row>17</xdr:row>
                    <xdr:rowOff>175260</xdr:rowOff>
                  </from>
                  <to>
                    <xdr:col>6</xdr:col>
                    <xdr:colOff>327660</xdr:colOff>
                    <xdr:row>18</xdr:row>
                    <xdr:rowOff>350520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1905000</xdr:colOff>
                    <xdr:row>6</xdr:row>
                    <xdr:rowOff>60960</xdr:rowOff>
                  </from>
                  <to>
                    <xdr:col>16</xdr:col>
                    <xdr:colOff>7620</xdr:colOff>
                    <xdr:row>8</xdr:row>
                    <xdr:rowOff>175260</xdr:rowOff>
                  </to>
                </anchor>
              </controlPr>
            </control>
          </mc:Choice>
        </mc:AlternateContent>
        <mc:AlternateContent xmlns:mc="http://schemas.openxmlformats.org/markup-compatibility/2006">
          <mc:Choice Requires="x14">
            <control shapeId="3103" r:id="rId7" name="Button 31">
              <controlPr defaultSize="0" print="0" autoFill="0" autoPict="0" macro="[0]!Defaults">
                <anchor moveWithCells="1" sizeWithCells="1">
                  <from>
                    <xdr:col>4</xdr:col>
                    <xdr:colOff>2423160</xdr:colOff>
                    <xdr:row>6</xdr:row>
                    <xdr:rowOff>60960</xdr:rowOff>
                  </from>
                  <to>
                    <xdr:col>6</xdr:col>
                    <xdr:colOff>22860</xdr:colOff>
                    <xdr:row>7</xdr:row>
                    <xdr:rowOff>160020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Keuze onjuist" error="Vul dit in met ja of nee." xr:uid="{00000000-0002-0000-0200-000001000000}">
          <x14:formula1>
            <xm:f>Reductietechnieken!$B$32:$B$41</xm:f>
          </x14:formula1>
          <xm:sqref>L20</xm:sqref>
        </x14:dataValidation>
        <x14:dataValidation type="list" allowBlank="1" showInputMessage="1" showErrorMessage="1" errorTitle="Keuze onjuist" error="Vul dit in met ja of nee." xr:uid="{FF38231A-B636-41EA-B5C4-F19712F253E2}">
          <x14:formula1>
            <xm:f>Reductietechnieken!$B$52:$B$53</xm:f>
          </x14:formula1>
          <xm:sqref>H15</xm:sqref>
        </x14:dataValidation>
        <x14:dataValidation type="list" allowBlank="1" showInputMessage="1" showErrorMessage="1" errorTitle="Keuze onjuist" error="Vul dit in met ja of nee." xr:uid="{00000000-0002-0000-0200-000003000000}">
          <x14:formula1>
            <xm:f>Reductietechnieken!$C$52:$C$53</xm:f>
          </x14:formula1>
          <xm:sqref>J13</xm:sqref>
        </x14:dataValidation>
        <x14:dataValidation type="list" allowBlank="1" showInputMessage="1" showErrorMessage="1" errorTitle="Keuze onjuist" error="Vul dit in met ja of nee." xr:uid="{0C17C902-35CA-4C7F-AB16-31C20E4652CC}">
          <x14:formula1>
            <xm:f>Reductietechnieken!$B$55:$B$57</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08C77-0134-4BFB-9DA7-D6665DA132FC}">
  <sheetPr codeName="Sheet1"/>
  <dimension ref="B2:E5"/>
  <sheetViews>
    <sheetView topLeftCell="AY1" workbookViewId="0">
      <selection activeCell="C6" sqref="C6"/>
    </sheetView>
  </sheetViews>
  <sheetFormatPr defaultRowHeight="13.2" x14ac:dyDescent="0.25"/>
  <cols>
    <col min="1" max="1" width="0" hidden="1" customWidth="1"/>
    <col min="2" max="2" width="59.109375" hidden="1" customWidth="1"/>
    <col min="3" max="3" width="20.6640625" hidden="1" customWidth="1"/>
    <col min="4" max="50" width="0" hidden="1" customWidth="1"/>
  </cols>
  <sheetData>
    <row r="2" spans="2:5" ht="15.6" x14ac:dyDescent="0.3">
      <c r="B2" s="230" t="s">
        <v>75</v>
      </c>
      <c r="C2" s="11" t="s">
        <v>198</v>
      </c>
    </row>
    <row r="3" spans="2:5" ht="15.6" x14ac:dyDescent="0.3">
      <c r="B3" s="14" t="s">
        <v>93</v>
      </c>
      <c r="C3" s="231">
        <v>0</v>
      </c>
      <c r="E3" s="11" t="s">
        <v>93</v>
      </c>
    </row>
    <row r="4" spans="2:5" ht="15.6" x14ac:dyDescent="0.3">
      <c r="B4" s="194" t="s">
        <v>193</v>
      </c>
      <c r="C4" s="231">
        <v>0.31</v>
      </c>
      <c r="E4" t="s">
        <v>193</v>
      </c>
    </row>
    <row r="5" spans="2:5" ht="15.6" x14ac:dyDescent="0.3">
      <c r="B5" s="194" t="s">
        <v>199</v>
      </c>
      <c r="C5" s="231">
        <v>0.5</v>
      </c>
    </row>
  </sheetData>
  <sheetProtection algorithmName="SHA-512" hashValue="FSwN6ETHqheSPb5ggAItMWKlyOTXr2BOHsX7N3XJcJueJGIdtK3dMSotUT5oh/uuCFEngg1z07El82AC13ovRw==" saltValue="Y78Pd4WkYYoU0CHMZXArCQ=="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H168"/>
  <sheetViews>
    <sheetView zoomScale="80" zoomScaleNormal="80" workbookViewId="0">
      <pane xSplit="1" ySplit="8" topLeftCell="B9" activePane="bottomRight" state="frozen"/>
      <selection activeCell="C6" sqref="C6"/>
      <selection pane="topRight" activeCell="C6" sqref="C6"/>
      <selection pane="bottomLeft" activeCell="C6" sqref="C6"/>
      <selection pane="bottomRight" activeCell="C6" sqref="C6"/>
    </sheetView>
  </sheetViews>
  <sheetFormatPr defaultColWidth="11.33203125" defaultRowHeight="13.2" x14ac:dyDescent="0.25"/>
  <cols>
    <col min="1" max="2" width="12.44140625" style="1" hidden="1" customWidth="1"/>
    <col min="3" max="3" width="12.44140625" style="3" hidden="1" customWidth="1"/>
    <col min="4" max="22" width="12.44140625" style="1" hidden="1" customWidth="1"/>
    <col min="23" max="23" width="12.44140625" hidden="1" customWidth="1"/>
    <col min="24" max="34" width="12.44140625" style="1" hidden="1" customWidth="1"/>
    <col min="35" max="50" width="0" style="1" hidden="1" customWidth="1"/>
    <col min="51" max="16384" width="11.33203125" style="1"/>
  </cols>
  <sheetData>
    <row r="1" spans="1:32" s="5" customFormat="1" ht="76.2" customHeight="1" x14ac:dyDescent="0.25">
      <c r="A1" s="5" t="s">
        <v>113</v>
      </c>
      <c r="B1" s="5" t="s">
        <v>181</v>
      </c>
      <c r="C1" s="86" t="s">
        <v>114</v>
      </c>
      <c r="D1" s="5" t="s">
        <v>115</v>
      </c>
      <c r="E1" s="5" t="s">
        <v>116</v>
      </c>
      <c r="F1" s="5" t="s">
        <v>117</v>
      </c>
      <c r="G1" s="5" t="s">
        <v>118</v>
      </c>
      <c r="H1" s="5" t="s">
        <v>169</v>
      </c>
      <c r="I1" s="5" t="s">
        <v>170</v>
      </c>
      <c r="J1" s="5" t="s">
        <v>119</v>
      </c>
      <c r="K1" s="5" t="s">
        <v>120</v>
      </c>
      <c r="L1" s="5" t="s">
        <v>121</v>
      </c>
      <c r="M1" s="9" t="s">
        <v>191</v>
      </c>
      <c r="N1" s="87" t="s">
        <v>122</v>
      </c>
      <c r="O1" s="9" t="s">
        <v>160</v>
      </c>
      <c r="P1" s="9" t="s">
        <v>192</v>
      </c>
      <c r="Q1" s="143" t="s">
        <v>171</v>
      </c>
      <c r="R1" s="7" t="s">
        <v>162</v>
      </c>
      <c r="X1" s="88"/>
      <c r="Y1" s="88"/>
      <c r="Z1" s="88"/>
      <c r="AA1" s="88"/>
      <c r="AB1" s="257" t="s">
        <v>123</v>
      </c>
      <c r="AC1" s="257"/>
      <c r="AD1" s="257"/>
      <c r="AE1" s="257"/>
      <c r="AF1" s="257"/>
    </row>
    <row r="2" spans="1:32" s="5" customFormat="1" ht="16.95" customHeight="1" x14ac:dyDescent="0.25">
      <c r="C2" s="86"/>
      <c r="J2" s="1" t="s">
        <v>124</v>
      </c>
      <c r="M2" s="9"/>
      <c r="O2" s="9"/>
      <c r="P2" s="9"/>
      <c r="R2" s="89">
        <v>0</v>
      </c>
      <c r="S2" s="90" t="s">
        <v>125</v>
      </c>
      <c r="T2" s="90"/>
      <c r="X2" s="88"/>
      <c r="Y2" s="88"/>
      <c r="Z2" s="88"/>
      <c r="AA2" s="88"/>
      <c r="AB2" s="91"/>
      <c r="AC2" s="91"/>
      <c r="AD2" s="91"/>
      <c r="AE2" s="91"/>
      <c r="AF2" s="91"/>
    </row>
    <row r="3" spans="1:32" s="5" customFormat="1" ht="17.399999999999999" customHeight="1" x14ac:dyDescent="0.25">
      <c r="C3" s="86"/>
      <c r="J3" s="1">
        <f>+J4</f>
        <v>0</v>
      </c>
      <c r="M3" s="9"/>
      <c r="O3" s="9"/>
      <c r="P3" s="9"/>
      <c r="R3" s="89">
        <v>0.8</v>
      </c>
      <c r="S3" s="90" t="s">
        <v>157</v>
      </c>
      <c r="T3" s="90"/>
    </row>
    <row r="4" spans="1:32" s="5" customFormat="1" ht="17.399999999999999" customHeight="1" x14ac:dyDescent="0.25">
      <c r="C4" s="86"/>
      <c r="M4" s="9"/>
      <c r="O4" s="9"/>
      <c r="P4" s="9"/>
      <c r="R4" s="136">
        <f>IF('OPFOK OUDERDIEREN'!$H$16=0,'OPFOK OUDERDIEREN'!F14,'OPFOK OUDERDIEREN'!$H$16)</f>
        <v>0</v>
      </c>
      <c r="S4" s="90" t="s">
        <v>126</v>
      </c>
      <c r="T4" s="90"/>
      <c r="AC4" s="258" t="s">
        <v>127</v>
      </c>
      <c r="AD4" s="258"/>
      <c r="AE4" s="259" t="s">
        <v>128</v>
      </c>
      <c r="AF4" s="259"/>
    </row>
    <row r="5" spans="1:32" s="5" customFormat="1" ht="17.399999999999999" customHeight="1" x14ac:dyDescent="0.25">
      <c r="C5" s="86"/>
      <c r="M5" s="9"/>
      <c r="O5" s="9"/>
      <c r="P5" s="9"/>
      <c r="R5" s="136">
        <f>'OPFOK OUDERDIEREN'!$F$20</f>
        <v>0</v>
      </c>
      <c r="S5" s="90" t="s">
        <v>168</v>
      </c>
      <c r="T5" s="90"/>
      <c r="Y5" s="93"/>
      <c r="Z5" s="93"/>
      <c r="AB5" t="s">
        <v>129</v>
      </c>
      <c r="AC5" s="94" t="s">
        <v>130</v>
      </c>
      <c r="AD5" s="95" t="s">
        <v>131</v>
      </c>
      <c r="AE5" s="94" t="s">
        <v>130</v>
      </c>
      <c r="AF5" s="95" t="s">
        <v>131</v>
      </c>
    </row>
    <row r="6" spans="1:32" s="12" customFormat="1" ht="26.4" x14ac:dyDescent="0.25">
      <c r="A6" s="5"/>
      <c r="B6" s="5"/>
      <c r="C6" s="86"/>
      <c r="D6" s="5"/>
      <c r="E6" s="5"/>
      <c r="F6" s="5"/>
      <c r="G6" s="5"/>
      <c r="H6" s="5"/>
      <c r="I6" s="5"/>
      <c r="J6" s="5"/>
      <c r="K6" s="5"/>
      <c r="L6" s="5"/>
      <c r="M6" s="226" t="str">
        <f>'OPFOK OUDERDIEREN'!$H$18</f>
        <v>GEEN FILTER</v>
      </c>
      <c r="N6" s="5"/>
      <c r="O6" s="9"/>
      <c r="P6" s="171"/>
      <c r="Q6" s="5"/>
      <c r="R6" s="92">
        <f>IF('OPFOK OUDERDIEREN'!$L$20="chemische wasser 35%",35%,IF('OPFOK OUDERDIEREN'!$L$20="chemische wasser 70%",70%,IF('OPFOK OUDERDIEREN'!$L$20="bio wasser 60%",60%,IF('OPFOK OUDERDIEREN'!$L$20="bio wasser 75%",75%,IF('OPFOK OUDERDIEREN'!$L$20="biofilter",80%,IF('OPFOK OUDERDIEREN'!$L$20="waterluchtwassysteem",33%,IF('OPFOK OUDERDIEREN'!$L$20="droogfilterwand",40%,IF('OPFOK OUDERDIEREN'!$L$20="ionisatiefilter",57%,IF('OPFOK OUDERDIEREN'!$L$20="LUCHTCONDITIONERINGSUNIT",IF('OPFOK OUDERDIEREN'!$F$24="Niet alle lucht gaat door luchtconditioneringsunit, dus niet combineren met droog stoffilter","error",80%),0)))))))))</f>
        <v>0</v>
      </c>
      <c r="S6" s="90" t="s">
        <v>159</v>
      </c>
      <c r="T6" s="90"/>
      <c r="W6" s="12" t="s">
        <v>2</v>
      </c>
      <c r="X6" s="5"/>
      <c r="AB6"/>
      <c r="AC6" s="96"/>
      <c r="AD6" s="97"/>
      <c r="AE6" s="96"/>
      <c r="AF6" s="97"/>
    </row>
    <row r="7" spans="1:32" x14ac:dyDescent="0.25">
      <c r="A7" s="5"/>
      <c r="B7" s="5"/>
      <c r="C7" s="86"/>
      <c r="D7" s="5"/>
      <c r="E7" s="5"/>
      <c r="F7" s="5"/>
      <c r="G7" s="5"/>
      <c r="H7" s="5"/>
      <c r="I7" s="5"/>
      <c r="J7" s="5"/>
      <c r="K7" s="5"/>
      <c r="L7" s="5"/>
      <c r="M7" s="226">
        <f>IF('OPFOK OUDERDIEREN'!$H$18="droge stoffilter 99%",95%,40%)</f>
        <v>0.4</v>
      </c>
      <c r="N7" s="5"/>
      <c r="O7" s="9"/>
      <c r="P7" s="174">
        <f>Q8+P8</f>
        <v>0</v>
      </c>
      <c r="Q7" s="5"/>
      <c r="R7" s="173">
        <f>'OPFOK OUDERDIEREN'!$F$14</f>
        <v>0</v>
      </c>
      <c r="S7" s="90" t="s">
        <v>172</v>
      </c>
      <c r="T7" s="90"/>
      <c r="V7" s="138"/>
      <c r="W7" s="13"/>
      <c r="X7" s="5"/>
      <c r="AA7" s="5" t="s">
        <v>132</v>
      </c>
      <c r="AB7" s="98" t="s">
        <v>133</v>
      </c>
      <c r="AC7" s="99"/>
      <c r="AD7" s="100"/>
      <c r="AE7" s="99"/>
      <c r="AF7" s="100"/>
    </row>
    <row r="8" spans="1:32" x14ac:dyDescent="0.25">
      <c r="A8" s="5"/>
      <c r="B8" s="5"/>
      <c r="C8" s="86"/>
      <c r="D8" s="5"/>
      <c r="E8" s="5"/>
      <c r="F8" s="5"/>
      <c r="G8" s="5"/>
      <c r="H8" s="5"/>
      <c r="I8" s="5"/>
      <c r="J8" s="5"/>
      <c r="K8" s="5"/>
      <c r="L8" s="144">
        <f>$L$156+1</f>
        <v>1</v>
      </c>
      <c r="M8" s="163" t="b">
        <f>(IF('OPFOK OUDERDIEREN'!$H$18="droge stoffilter 99%",MIN(95%,$M$156),(IF('OPFOK OUDERDIEREN'!$H$18="droogfilterunit 40%",MIN(40%,$M$156)))))</f>
        <v>0</v>
      </c>
      <c r="N8" s="92">
        <f>$N$156</f>
        <v>0</v>
      </c>
      <c r="O8" s="163">
        <f>ROUND(IF(O156&lt;22%,O156/95%,IF(O156&lt;34.5%,$O$156/94.3%,IF(O156&lt;45%,$O$156/100%,IF(O156&lt;75%,$O$156/102%,O156)))),2)</f>
        <v>0</v>
      </c>
      <c r="P8" s="163" t="b">
        <f>(IF('OPFOK OUDERDIEREN'!$H$18="droge stoffilter 99%",MIN(97%,$P$156),(IF('OPFOK OUDERDIEREN'!$H$18="droogfilterunit 40%",MIN(40%,$P$156)))))</f>
        <v>0</v>
      </c>
      <c r="Q8" s="144">
        <f>(IF(Q156&lt;22%,Q156/96%,IF(Q156&lt;35%,$Q$156/102%,IF(Q156&lt;40%,$Q$156/96%,IF(Q156&lt;60%,$Q$156/97%,IF(Q156&lt;75%,$Q$156/98%,Q156))))))</f>
        <v>0</v>
      </c>
      <c r="R8" s="144">
        <f>ROUND($R$156,3)</f>
        <v>0</v>
      </c>
      <c r="S8" s="144">
        <f>ROUND($S$156,3)</f>
        <v>0</v>
      </c>
      <c r="T8" s="144">
        <f>ROUND($T$156,3)</f>
        <v>0</v>
      </c>
      <c r="U8" s="167">
        <f>$U$156</f>
        <v>0</v>
      </c>
      <c r="V8" s="144">
        <f>$V$156</f>
        <v>0</v>
      </c>
      <c r="W8" s="144">
        <f>$W$156</f>
        <v>0</v>
      </c>
      <c r="X8" s="101" t="s">
        <v>134</v>
      </c>
      <c r="AB8" s="102" t="s">
        <v>135</v>
      </c>
      <c r="AC8" s="103">
        <v>13</v>
      </c>
      <c r="AD8" s="104">
        <v>19</v>
      </c>
      <c r="AE8" s="103">
        <v>13</v>
      </c>
      <c r="AF8" s="104">
        <v>19</v>
      </c>
    </row>
    <row r="9" spans="1:32" ht="57" customHeight="1" x14ac:dyDescent="0.25">
      <c r="A9" s="12">
        <v>0</v>
      </c>
      <c r="B9" s="12"/>
      <c r="C9" s="84"/>
      <c r="D9" s="12"/>
      <c r="E9" s="12"/>
      <c r="F9" s="12"/>
      <c r="G9" s="12"/>
      <c r="H9" s="12"/>
      <c r="I9" s="12"/>
      <c r="J9" s="12"/>
      <c r="K9" s="105">
        <v>1</v>
      </c>
      <c r="L9" s="12"/>
      <c r="M9" s="164"/>
      <c r="N9" s="12"/>
      <c r="O9" s="164" t="s">
        <v>2</v>
      </c>
      <c r="P9" s="172">
        <f>O8+P8</f>
        <v>0</v>
      </c>
      <c r="Q9" s="12" t="s">
        <v>2</v>
      </c>
      <c r="R9" s="145" t="s">
        <v>167</v>
      </c>
      <c r="S9" s="140" t="s">
        <v>161</v>
      </c>
      <c r="T9" s="140" t="s">
        <v>163</v>
      </c>
      <c r="U9" s="147" t="s">
        <v>174</v>
      </c>
      <c r="V9" s="141" t="s">
        <v>158</v>
      </c>
      <c r="W9" s="161" t="s">
        <v>165</v>
      </c>
      <c r="X9" s="12"/>
      <c r="AB9" s="106" t="s">
        <v>136</v>
      </c>
      <c r="AC9" s="103">
        <v>3</v>
      </c>
      <c r="AD9" s="104">
        <v>3</v>
      </c>
      <c r="AE9" s="103">
        <v>3</v>
      </c>
      <c r="AF9" s="104">
        <v>3</v>
      </c>
    </row>
    <row r="10" spans="1:32" x14ac:dyDescent="0.25">
      <c r="A10" s="1">
        <v>1</v>
      </c>
      <c r="B10" s="1">
        <v>62.85714285714284</v>
      </c>
      <c r="E10" s="4">
        <f>0.000000000384*B10^3-0.000000342064*B10^2+0.001060852819*B10+0.088327034395</f>
        <v>0.15375307608841104</v>
      </c>
      <c r="F10" s="4">
        <f>E10-G10</f>
        <v>0.15375307608841104</v>
      </c>
      <c r="G10" s="155">
        <f t="shared" ref="G10:G35" si="0">IF($R$4&gt;0&lt;E10,E10,IF($R$4&gt;E10,E10,$R$4))</f>
        <v>0</v>
      </c>
      <c r="H10" s="155">
        <f t="shared" ref="H10:H34" si="1">IF(E10&lt;$R$5,E10-G10,$R$5)</f>
        <v>0</v>
      </c>
      <c r="I10" s="155">
        <f t="shared" ref="I10:I41" si="2">MIN(R$5,E10-G10)</f>
        <v>0</v>
      </c>
      <c r="J10" s="3">
        <v>0.21206634125781271</v>
      </c>
      <c r="K10" s="105">
        <v>1</v>
      </c>
      <c r="L10" s="3">
        <f>J10/1000*E10*24*365</f>
        <v>0.28562726617606199</v>
      </c>
      <c r="M10" s="165">
        <f>IF(E10&gt;$R$5,L10-(R$5)/E10*L10*M$7,L10-(E10)/E10*L10*M$7)</f>
        <v>0.28562726617606199</v>
      </c>
      <c r="N10" s="107">
        <f t="shared" ref="N10:N37" si="3">(((($J10*(1-$R$2))-$J$3)/1000*$F10*24*365*$K10)*(1-R$5))+(((($J10*(1-$R$2))-$J$3)/1000*$G10*24*365*$K10)*(1-R$3))</f>
        <v>0.28562726617606199</v>
      </c>
      <c r="O10" s="165">
        <f>(((($J10)-$J$3)/1000*$F10*24*365*$K10))+(((($J10)-$J$3)/1000*$G10*24*365*$K10)*(1-R$3))</f>
        <v>0.28562726617606199</v>
      </c>
      <c r="P10" s="165">
        <f>IF(I10=0,L10,IF(I10&gt;$R$5,L10-(R$5)/E10*L10*(M$7+2),L10-(I10)/E10*L10*(M$7+2%)))</f>
        <v>0.28562726617606199</v>
      </c>
      <c r="Q10" s="3">
        <f>(((($J10)-$J$3)/1000*$F10*24*365*$K10))+(((($J10)-$J$3)/1000*$G10*24*365*$K10)*(1-95%))</f>
        <v>0.28562726617606199</v>
      </c>
      <c r="R10" s="153">
        <f>IF(E10-G10-H10&gt;=0,L10-((E10-G10*80%-H10*95%)/E10*L10)*$R$6,IF(G10&gt;H10,L10-((E10-G10)/E10*L10)*$R$6,L10-((E10-H10)/E10*L10)*$R$6))</f>
        <v>0.28562726617606199</v>
      </c>
      <c r="S10" s="153">
        <f>IF(E10-G10-H10&gt;=0,L10-((E10-G10-H10)/E10*L10)*$R$6,IF(G10&gt;H10,L10-((E10-G10)/E10*L10)*$R$6,L10-((E10-H10)/E10*L10)*$R$6))</f>
        <v>0.28562726617606199</v>
      </c>
      <c r="T10" s="153">
        <f>L10-(E10-H10)/E10*L10*$R$6</f>
        <v>0.28562726617606199</v>
      </c>
      <c r="U10" s="148">
        <f>IF('OPFOK OUDERDIEREN'!$H$15="ja",L10-((E10-G10*95%-I10)/E10*L10)*$R$6,L10-((E10-G10*80%-I10)/E10*L10)*$R$6)</f>
        <v>0.28562726617606199</v>
      </c>
      <c r="V10" s="85">
        <f t="shared" ref="V10:V33" si="4">L10-((E10-G10-I10)/E10*L10)*$R$6</f>
        <v>0.28562726617606199</v>
      </c>
      <c r="W10" s="162">
        <f>L10-(E10-H10)/E10*L10*$R$6</f>
        <v>0.28562726617606199</v>
      </c>
      <c r="X10" s="187">
        <f>M10/L10</f>
        <v>1</v>
      </c>
      <c r="AB10" s="106" t="s">
        <v>137</v>
      </c>
      <c r="AC10" s="103">
        <f t="shared" ref="AC10:AD10" si="5">AC11-AC8-AC9</f>
        <v>3</v>
      </c>
      <c r="AD10" s="104">
        <f t="shared" si="5"/>
        <v>11</v>
      </c>
      <c r="AE10" s="103">
        <f>AE11-AE8-AE9</f>
        <v>3</v>
      </c>
      <c r="AF10" s="104">
        <f t="shared" ref="AF10" si="6">AF11-AF8-AF9</f>
        <v>11</v>
      </c>
    </row>
    <row r="11" spans="1:32" x14ac:dyDescent="0.25">
      <c r="A11" s="1">
        <v>2</v>
      </c>
      <c r="B11" s="1">
        <v>70.714285714285694</v>
      </c>
      <c r="E11" s="4">
        <f t="shared" ref="E11:E58" si="7">0.000000000384*B11^3-0.000000342064*B11^2+0.001060852819*B11+0.088327034395</f>
        <v>0.16176977449892127</v>
      </c>
      <c r="F11" s="4">
        <f t="shared" ref="F11:F51" si="8">E11-G11</f>
        <v>0.16176977449892127</v>
      </c>
      <c r="G11" s="155">
        <f t="shared" si="0"/>
        <v>0</v>
      </c>
      <c r="H11" s="155">
        <f t="shared" si="1"/>
        <v>0</v>
      </c>
      <c r="I11" s="155">
        <f t="shared" si="2"/>
        <v>0</v>
      </c>
      <c r="J11" s="3">
        <v>0.21600448172178227</v>
      </c>
      <c r="K11" s="105">
        <v>1</v>
      </c>
      <c r="L11" s="3">
        <f t="shared" ref="L11:L58" si="9">J11/1000*E11*24*365</f>
        <v>0.30610064757826838</v>
      </c>
      <c r="M11" s="165">
        <f t="shared" ref="M11:M74" si="10">IF(E11&gt;$R$5,L11-(R$5)/E11*L11*M$7,L11-(E11)/E11*L11*M$7)</f>
        <v>0.30610064757826838</v>
      </c>
      <c r="N11" s="107">
        <f t="shared" si="3"/>
        <v>0.30610064757826838</v>
      </c>
      <c r="O11" s="165">
        <f t="shared" ref="O11:O51" si="11">(((($J11)-$J$3)/1000*$F11*24*365*$K11))+(((($J11*(1-$R$2))-$J$3)/1000*$G11*24*365*$K11)*(1-R$3))</f>
        <v>0.30610064757826838</v>
      </c>
      <c r="P11" s="165">
        <f t="shared" ref="P11:P74" si="12">IF(I11=0,L11,IF(I11&gt;$R$5,L11-(R$5)/E11*L11*(M$7+2),L11-(I11)/E11*L11*(M$7+2%)))</f>
        <v>0.30610064757826838</v>
      </c>
      <c r="Q11" s="3">
        <f t="shared" ref="Q11:Q74" si="13">(((($J11)-$J$3)/1000*$F11*24*365*$K11))+(((($J11)-$J$3)/1000*$G11*24*365*$K11)*(1-95%))</f>
        <v>0.30610064757826838</v>
      </c>
      <c r="R11" s="153">
        <f t="shared" ref="R11:R50" si="14">IF(E11-G11-H11&gt;=0,L11-((E11-G11*80%-H11*95%)/E11*L11)*$R$6,IF(G11&gt;H11,L11-((E11-G11)/E11*L11)*$R$6,L11-((E11-H11)/E11*L11)*$R$6))</f>
        <v>0.30610064757826838</v>
      </c>
      <c r="S11" s="153">
        <f t="shared" ref="S11:S51" si="15">IF(E11-G11-H11&gt;=0,L11-((E11-G11-H11)/E11*L11)*$R$6,IF(G11&gt;H11,L11-((E11-G11)/E11*L11)*$R$6,L11-((E11-H11)/E11*L11)*$R$6))</f>
        <v>0.30610064757826838</v>
      </c>
      <c r="T11" s="153">
        <f t="shared" ref="T11:T51" si="16">L11-(E11-H11)/E11*L11*$R$6</f>
        <v>0.30610064757826838</v>
      </c>
      <c r="U11" s="148">
        <f>IF('OPFOK OUDERDIEREN'!$H$15="ja",L11-((E11-G11*95%-I11)/E11*L11)*$R$6,L11-((E11-G11*80%-I11)/E11*L11)*$R$6)</f>
        <v>0.30610064757826838</v>
      </c>
      <c r="V11" s="85">
        <f t="shared" si="4"/>
        <v>0.30610064757826838</v>
      </c>
      <c r="W11" s="162">
        <f t="shared" ref="W11:W51" si="17">L11-(E11-H11)/E11*L11*$R$6</f>
        <v>0.30610064757826838</v>
      </c>
      <c r="X11" s="187">
        <f t="shared" ref="X11:X51" si="18">M11/L11</f>
        <v>1</v>
      </c>
      <c r="AB11" s="106" t="s">
        <v>138</v>
      </c>
      <c r="AC11" s="96">
        <v>19</v>
      </c>
      <c r="AD11" s="97">
        <v>33</v>
      </c>
      <c r="AE11" s="96">
        <v>19</v>
      </c>
      <c r="AF11" s="97">
        <v>33</v>
      </c>
    </row>
    <row r="12" spans="1:32" x14ac:dyDescent="0.25">
      <c r="A12" s="1">
        <v>3</v>
      </c>
      <c r="B12" s="1">
        <v>78.571428571428555</v>
      </c>
      <c r="E12" s="4">
        <f t="shared" si="7"/>
        <v>0.1697542966458746</v>
      </c>
      <c r="F12" s="4">
        <f t="shared" si="8"/>
        <v>0.1697542966458746</v>
      </c>
      <c r="G12" s="155">
        <f t="shared" si="0"/>
        <v>0</v>
      </c>
      <c r="H12" s="155">
        <f t="shared" si="1"/>
        <v>0</v>
      </c>
      <c r="I12" s="155">
        <f t="shared" si="2"/>
        <v>0</v>
      </c>
      <c r="J12" s="3">
        <v>0.22001575472636142</v>
      </c>
      <c r="K12" s="105">
        <v>1</v>
      </c>
      <c r="L12" s="3">
        <f t="shared" si="9"/>
        <v>0.32717390852456235</v>
      </c>
      <c r="M12" s="165">
        <f t="shared" si="10"/>
        <v>0.32717390852456235</v>
      </c>
      <c r="N12" s="107">
        <f t="shared" si="3"/>
        <v>0.32717390852456235</v>
      </c>
      <c r="O12" s="165">
        <f t="shared" si="11"/>
        <v>0.32717390852456235</v>
      </c>
      <c r="P12" s="165">
        <f t="shared" si="12"/>
        <v>0.32717390852456235</v>
      </c>
      <c r="Q12" s="3">
        <f t="shared" si="13"/>
        <v>0.32717390852456235</v>
      </c>
      <c r="R12" s="153">
        <f t="shared" si="14"/>
        <v>0.32717390852456235</v>
      </c>
      <c r="S12" s="153">
        <f t="shared" si="15"/>
        <v>0.32717390852456235</v>
      </c>
      <c r="T12" s="153">
        <f t="shared" si="16"/>
        <v>0.32717390852456235</v>
      </c>
      <c r="U12" s="148">
        <f>IF('OPFOK OUDERDIEREN'!$H$15="ja",L12-((E12-G12*95%-I12)/E12*L12)*$R$6,L12-((E12-G12*80%-I12)/E12*L12)*$R$6)</f>
        <v>0.32717390852456235</v>
      </c>
      <c r="V12" s="85">
        <f t="shared" si="4"/>
        <v>0.32717390852456235</v>
      </c>
      <c r="W12" s="162">
        <f t="shared" si="17"/>
        <v>0.32717390852456235</v>
      </c>
      <c r="X12" s="187">
        <f t="shared" si="18"/>
        <v>1</v>
      </c>
      <c r="AB12" s="106" t="s">
        <v>139</v>
      </c>
      <c r="AC12" s="109">
        <f t="shared" ref="AC12:AD12" si="19">365/AC11</f>
        <v>19.210526315789473</v>
      </c>
      <c r="AD12" s="110">
        <f t="shared" si="19"/>
        <v>11.060606060606061</v>
      </c>
      <c r="AE12" s="109">
        <f>365/AE11</f>
        <v>19.210526315789473</v>
      </c>
      <c r="AF12" s="110">
        <f t="shared" ref="AF12" si="20">365/AF11</f>
        <v>11.060606060606061</v>
      </c>
    </row>
    <row r="13" spans="1:32" x14ac:dyDescent="0.25">
      <c r="A13" s="1">
        <v>4</v>
      </c>
      <c r="B13" s="1">
        <v>86.428571428571416</v>
      </c>
      <c r="E13" s="4">
        <f t="shared" si="7"/>
        <v>0.17770776010361514</v>
      </c>
      <c r="F13" s="4">
        <f t="shared" si="8"/>
        <v>0.17770776010361514</v>
      </c>
      <c r="G13" s="155">
        <f t="shared" si="0"/>
        <v>0</v>
      </c>
      <c r="H13" s="155">
        <f t="shared" si="1"/>
        <v>0</v>
      </c>
      <c r="I13" s="155">
        <f t="shared" si="2"/>
        <v>0</v>
      </c>
      <c r="J13" s="3">
        <v>0.22410151836645426</v>
      </c>
      <c r="K13" s="105">
        <v>1</v>
      </c>
      <c r="L13" s="3">
        <f t="shared" si="9"/>
        <v>0.34886331085496258</v>
      </c>
      <c r="M13" s="165">
        <f t="shared" si="10"/>
        <v>0.34886331085496258</v>
      </c>
      <c r="N13" s="107">
        <f t="shared" si="3"/>
        <v>0.34886331085496258</v>
      </c>
      <c r="O13" s="165">
        <f t="shared" si="11"/>
        <v>0.34886331085496258</v>
      </c>
      <c r="P13" s="165">
        <f t="shared" si="12"/>
        <v>0.34886331085496258</v>
      </c>
      <c r="Q13" s="3">
        <f t="shared" si="13"/>
        <v>0.34886331085496258</v>
      </c>
      <c r="R13" s="153">
        <f t="shared" si="14"/>
        <v>0.34886331085496258</v>
      </c>
      <c r="S13" s="153">
        <f t="shared" si="15"/>
        <v>0.34886331085496258</v>
      </c>
      <c r="T13" s="153">
        <f t="shared" si="16"/>
        <v>0.34886331085496258</v>
      </c>
      <c r="U13" s="148">
        <f>IF('OPFOK OUDERDIEREN'!$H$15="ja",L13-((E13-G13*95%-I13)/E13*L13)*$R$6,L13-((E13-G13*80%-I13)/E13*L13)*$R$6)</f>
        <v>0.34886331085496258</v>
      </c>
      <c r="V13" s="85">
        <f t="shared" si="4"/>
        <v>0.34886331085496258</v>
      </c>
      <c r="W13" s="162">
        <f t="shared" si="17"/>
        <v>0.34886331085496258</v>
      </c>
      <c r="X13" s="187">
        <f t="shared" si="18"/>
        <v>1</v>
      </c>
      <c r="AB13" s="102" t="s">
        <v>140</v>
      </c>
      <c r="AC13" s="109">
        <f>AVERAGE(L10:L22)/$AA$23</f>
        <v>6.4200344036441856E-2</v>
      </c>
      <c r="AD13" s="110">
        <f>AVERAGE(L10:L28)/$AA$23</f>
        <v>8.3383076934981357E-2</v>
      </c>
      <c r="AE13" s="109">
        <f>AVERAGE(N10:N22)/$AA$23</f>
        <v>6.4200344036441856E-2</v>
      </c>
      <c r="AF13" s="110">
        <f>AVERAGE(N10:N28)/$AA$23</f>
        <v>8.3383076934981357E-2</v>
      </c>
    </row>
    <row r="14" spans="1:32" x14ac:dyDescent="0.25">
      <c r="A14" s="1">
        <v>5</v>
      </c>
      <c r="B14" s="1">
        <v>94.285714285714278</v>
      </c>
      <c r="E14" s="4">
        <f t="shared" si="7"/>
        <v>0.18563128244648686</v>
      </c>
      <c r="F14" s="4">
        <f t="shared" si="8"/>
        <v>0.18563128244648686</v>
      </c>
      <c r="G14" s="155">
        <f t="shared" si="0"/>
        <v>0</v>
      </c>
      <c r="H14" s="155">
        <f t="shared" si="1"/>
        <v>0</v>
      </c>
      <c r="I14" s="155">
        <f t="shared" si="2"/>
        <v>0</v>
      </c>
      <c r="J14" s="3">
        <v>0.22826315595722607</v>
      </c>
      <c r="K14" s="105">
        <v>1</v>
      </c>
      <c r="L14" s="3">
        <f t="shared" si="9"/>
        <v>0.3711855736104514</v>
      </c>
      <c r="M14" s="165">
        <f t="shared" si="10"/>
        <v>0.3711855736104514</v>
      </c>
      <c r="N14" s="107">
        <f t="shared" si="3"/>
        <v>0.3711855736104514</v>
      </c>
      <c r="O14" s="165">
        <f t="shared" si="11"/>
        <v>0.3711855736104514</v>
      </c>
      <c r="P14" s="165">
        <f t="shared" si="12"/>
        <v>0.3711855736104514</v>
      </c>
      <c r="Q14" s="3">
        <f t="shared" si="13"/>
        <v>0.3711855736104514</v>
      </c>
      <c r="R14" s="153">
        <f t="shared" si="14"/>
        <v>0.3711855736104514</v>
      </c>
      <c r="S14" s="153">
        <f t="shared" si="15"/>
        <v>0.3711855736104514</v>
      </c>
      <c r="T14" s="153">
        <f t="shared" si="16"/>
        <v>0.3711855736104514</v>
      </c>
      <c r="U14" s="148">
        <f>IF('OPFOK OUDERDIEREN'!$H$15="ja",L14-((E14-G14*95%-I14)/E14*L14)*$R$6,L14-((E14-G14*80%-I14)/E14*L14)*$R$6)</f>
        <v>0.3711855736104514</v>
      </c>
      <c r="V14" s="85">
        <f t="shared" si="4"/>
        <v>0.3711855736104514</v>
      </c>
      <c r="W14" s="162">
        <f t="shared" si="17"/>
        <v>0.3711855736104514</v>
      </c>
      <c r="X14" s="187">
        <f t="shared" si="18"/>
        <v>1</v>
      </c>
      <c r="AB14" s="111" t="s">
        <v>141</v>
      </c>
      <c r="AC14" s="112">
        <f>AC13*AC12</f>
        <v>1.2333223985948041</v>
      </c>
      <c r="AD14" s="113">
        <f>AD13*AD12</f>
        <v>0.92226736609903626</v>
      </c>
      <c r="AE14" s="112">
        <f>AE13*AE12</f>
        <v>1.2333223985948041</v>
      </c>
      <c r="AF14" s="113">
        <f>AF13*AF12</f>
        <v>0.92226736609903626</v>
      </c>
    </row>
    <row r="15" spans="1:32" x14ac:dyDescent="0.25">
      <c r="A15" s="1">
        <v>6</v>
      </c>
      <c r="B15" s="1">
        <v>102.14285714285714</v>
      </c>
      <c r="E15" s="4">
        <f t="shared" si="7"/>
        <v>0.1935259812488338</v>
      </c>
      <c r="F15" s="4">
        <f t="shared" si="8"/>
        <v>0.1935259812488338</v>
      </c>
      <c r="G15" s="155">
        <f t="shared" si="0"/>
        <v>0</v>
      </c>
      <c r="H15" s="155">
        <f t="shared" si="1"/>
        <v>0</v>
      </c>
      <c r="I15" s="155">
        <f t="shared" si="2"/>
        <v>0</v>
      </c>
      <c r="J15" s="3">
        <v>0.23250207650245164</v>
      </c>
      <c r="K15" s="105">
        <v>1</v>
      </c>
      <c r="L15" s="3">
        <f t="shared" si="9"/>
        <v>0.39415788627834863</v>
      </c>
      <c r="M15" s="165">
        <f t="shared" si="10"/>
        <v>0.39415788627834863</v>
      </c>
      <c r="N15" s="107">
        <f t="shared" si="3"/>
        <v>0.39415788627834863</v>
      </c>
      <c r="O15" s="165">
        <f t="shared" si="11"/>
        <v>0.39415788627834863</v>
      </c>
      <c r="P15" s="165">
        <f t="shared" si="12"/>
        <v>0.39415788627834863</v>
      </c>
      <c r="Q15" s="3">
        <f t="shared" si="13"/>
        <v>0.39415788627834863</v>
      </c>
      <c r="R15" s="153">
        <f t="shared" si="14"/>
        <v>0.39415788627834863</v>
      </c>
      <c r="S15" s="153">
        <f t="shared" si="15"/>
        <v>0.39415788627834863</v>
      </c>
      <c r="T15" s="153">
        <f t="shared" si="16"/>
        <v>0.39415788627834863</v>
      </c>
      <c r="U15" s="148">
        <f>IF('OPFOK OUDERDIEREN'!$H$15="ja",L15-((E15-G15*95%-I15)/E15*L15)*$R$6,L15-((E15-G15*80%-I15)/E15*L15)*$R$6)</f>
        <v>0.39415788627834863</v>
      </c>
      <c r="V15" s="85">
        <f t="shared" si="4"/>
        <v>0.39415788627834863</v>
      </c>
      <c r="W15" s="162">
        <f t="shared" si="17"/>
        <v>0.39415788627834863</v>
      </c>
      <c r="X15" s="187">
        <f t="shared" si="18"/>
        <v>1</v>
      </c>
      <c r="AB15" s="98" t="s">
        <v>142</v>
      </c>
      <c r="AC15" s="114"/>
      <c r="AD15" s="115"/>
      <c r="AE15" s="114"/>
      <c r="AF15" s="115"/>
    </row>
    <row r="16" spans="1:32" x14ac:dyDescent="0.25">
      <c r="A16" s="1">
        <v>7</v>
      </c>
      <c r="B16" s="1">
        <v>110</v>
      </c>
      <c r="E16" s="4">
        <f t="shared" si="7"/>
        <v>0.20139297408500001</v>
      </c>
      <c r="F16" s="4">
        <f t="shared" si="8"/>
        <v>0.20139297408500001</v>
      </c>
      <c r="G16" s="155">
        <f t="shared" si="0"/>
        <v>0</v>
      </c>
      <c r="H16" s="155">
        <f t="shared" si="1"/>
        <v>0</v>
      </c>
      <c r="I16" s="155">
        <f t="shared" si="2"/>
        <v>0</v>
      </c>
      <c r="J16" s="3">
        <v>0.23681971517156092</v>
      </c>
      <c r="K16" s="105">
        <v>1</v>
      </c>
      <c r="L16" s="3">
        <f t="shared" si="9"/>
        <v>0.41779792242078206</v>
      </c>
      <c r="M16" s="165">
        <f t="shared" si="10"/>
        <v>0.41779792242078206</v>
      </c>
      <c r="N16" s="107">
        <f t="shared" si="3"/>
        <v>0.41779792242078206</v>
      </c>
      <c r="O16" s="165">
        <f t="shared" si="11"/>
        <v>0.41779792242078206</v>
      </c>
      <c r="P16" s="165">
        <f t="shared" si="12"/>
        <v>0.41779792242078206</v>
      </c>
      <c r="Q16" s="3">
        <f t="shared" si="13"/>
        <v>0.41779792242078206</v>
      </c>
      <c r="R16" s="153">
        <f t="shared" si="14"/>
        <v>0.41779792242078206</v>
      </c>
      <c r="S16" s="153">
        <f t="shared" si="15"/>
        <v>0.41779792242078206</v>
      </c>
      <c r="T16" s="153">
        <f t="shared" si="16"/>
        <v>0.41779792242078206</v>
      </c>
      <c r="U16" s="148">
        <f>IF('OPFOK OUDERDIEREN'!$H$15="ja",L16-((E16-G16*95%-I16)/E16*L16)*$R$6,L16-((E16-G16*80%-I16)/E16*L16)*$R$6)</f>
        <v>0.41779792242078206</v>
      </c>
      <c r="V16" s="85">
        <f t="shared" si="4"/>
        <v>0.41779792242078206</v>
      </c>
      <c r="W16" s="162">
        <f t="shared" si="17"/>
        <v>0.41779792242078206</v>
      </c>
      <c r="X16" s="187">
        <f t="shared" si="18"/>
        <v>1</v>
      </c>
      <c r="AB16" s="106" t="s">
        <v>143</v>
      </c>
      <c r="AC16" s="96"/>
      <c r="AD16" s="97"/>
      <c r="AE16" s="96"/>
      <c r="AF16" s="97"/>
    </row>
    <row r="17" spans="1:32" x14ac:dyDescent="0.25">
      <c r="A17" s="1">
        <v>8</v>
      </c>
      <c r="B17" s="1">
        <v>125.8</v>
      </c>
      <c r="E17" s="4">
        <f t="shared" si="7"/>
        <v>0.21713342966084798</v>
      </c>
      <c r="F17" s="4">
        <f t="shared" si="8"/>
        <v>0.21713342966084798</v>
      </c>
      <c r="G17" s="155">
        <f t="shared" si="0"/>
        <v>0</v>
      </c>
      <c r="H17" s="155">
        <f t="shared" si="1"/>
        <v>0</v>
      </c>
      <c r="I17" s="155">
        <f t="shared" si="2"/>
        <v>0</v>
      </c>
      <c r="J17" s="3">
        <v>0.24121753378554392</v>
      </c>
      <c r="K17" s="105">
        <v>1</v>
      </c>
      <c r="L17" s="3">
        <f t="shared" si="9"/>
        <v>0.45881717994943483</v>
      </c>
      <c r="M17" s="165">
        <f t="shared" si="10"/>
        <v>0.45881717994943483</v>
      </c>
      <c r="N17" s="107">
        <f t="shared" si="3"/>
        <v>0.45881717994943483</v>
      </c>
      <c r="O17" s="165">
        <f t="shared" si="11"/>
        <v>0.45881717994943483</v>
      </c>
      <c r="P17" s="165">
        <f t="shared" si="12"/>
        <v>0.45881717994943483</v>
      </c>
      <c r="Q17" s="3">
        <f t="shared" si="13"/>
        <v>0.45881717994943483</v>
      </c>
      <c r="R17" s="153">
        <f t="shared" si="14"/>
        <v>0.45881717994943483</v>
      </c>
      <c r="S17" s="153">
        <f t="shared" si="15"/>
        <v>0.45881717994943483</v>
      </c>
      <c r="T17" s="153">
        <f t="shared" si="16"/>
        <v>0.45881717994943483</v>
      </c>
      <c r="U17" s="148">
        <f>IF('OPFOK OUDERDIEREN'!$H$15="ja",L17-((E17-G17*95%-I17)/E17*L17)*$R$6,L17-((E17-G17*80%-I17)/E17*L17)*$R$6)</f>
        <v>0.45881717994943483</v>
      </c>
      <c r="V17" s="85">
        <f t="shared" si="4"/>
        <v>0.45881717994943483</v>
      </c>
      <c r="W17" s="162">
        <f t="shared" si="17"/>
        <v>0.45881717994943483</v>
      </c>
      <c r="X17" s="187">
        <f t="shared" si="18"/>
        <v>1</v>
      </c>
      <c r="AB17" s="106" t="s">
        <v>144</v>
      </c>
      <c r="AC17" s="96">
        <v>42</v>
      </c>
      <c r="AD17" s="97">
        <v>42</v>
      </c>
      <c r="AE17" s="96">
        <v>42</v>
      </c>
      <c r="AF17" s="97">
        <v>42</v>
      </c>
    </row>
    <row r="18" spans="1:32" x14ac:dyDescent="0.25">
      <c r="A18" s="1">
        <v>9</v>
      </c>
      <c r="B18" s="1">
        <v>141.5</v>
      </c>
      <c r="E18" s="4">
        <f t="shared" si="7"/>
        <v>0.23267674633550001</v>
      </c>
      <c r="F18" s="4">
        <f t="shared" si="8"/>
        <v>0.23267674633550001</v>
      </c>
      <c r="G18" s="155">
        <f t="shared" si="0"/>
        <v>0</v>
      </c>
      <c r="H18" s="155">
        <f t="shared" si="1"/>
        <v>0</v>
      </c>
      <c r="I18" s="155">
        <f t="shared" si="2"/>
        <v>0</v>
      </c>
      <c r="J18" s="3">
        <v>0.24569702131187857</v>
      </c>
      <c r="K18" s="105">
        <v>1</v>
      </c>
      <c r="L18" s="3">
        <f t="shared" si="9"/>
        <v>0.50079153548778588</v>
      </c>
      <c r="M18" s="165">
        <f t="shared" si="10"/>
        <v>0.50079153548778588</v>
      </c>
      <c r="N18" s="107">
        <f t="shared" si="3"/>
        <v>0.50079153548778588</v>
      </c>
      <c r="O18" s="165">
        <f t="shared" si="11"/>
        <v>0.50079153548778588</v>
      </c>
      <c r="P18" s="165">
        <f t="shared" si="12"/>
        <v>0.50079153548778588</v>
      </c>
      <c r="Q18" s="3">
        <f t="shared" si="13"/>
        <v>0.50079153548778588</v>
      </c>
      <c r="R18" s="153">
        <f t="shared" si="14"/>
        <v>0.50079153548778588</v>
      </c>
      <c r="S18" s="153">
        <f t="shared" si="15"/>
        <v>0.50079153548778588</v>
      </c>
      <c r="T18" s="153">
        <f t="shared" si="16"/>
        <v>0.50079153548778588</v>
      </c>
      <c r="U18" s="148">
        <f>IF('OPFOK OUDERDIEREN'!$H$15="ja",L18-((E18-G18*95%-I18)/E18*L18)*$R$6,L18-((E18-G18*80%-I18)/E18*L18)*$R$6)</f>
        <v>0.50079153548778588</v>
      </c>
      <c r="V18" s="85">
        <f t="shared" si="4"/>
        <v>0.50079153548778588</v>
      </c>
      <c r="W18" s="162">
        <f t="shared" si="17"/>
        <v>0.50079153548778588</v>
      </c>
      <c r="X18" s="187">
        <f t="shared" si="18"/>
        <v>1</v>
      </c>
      <c r="AB18" s="106" t="s">
        <v>145</v>
      </c>
      <c r="AC18" s="96">
        <f>+AC8</f>
        <v>13</v>
      </c>
      <c r="AD18" s="97">
        <f>+AD8</f>
        <v>19</v>
      </c>
      <c r="AE18" s="96">
        <f>+AE8</f>
        <v>13</v>
      </c>
      <c r="AF18" s="97">
        <f>+AF8</f>
        <v>19</v>
      </c>
    </row>
    <row r="19" spans="1:32" x14ac:dyDescent="0.25">
      <c r="A19" s="1">
        <v>10</v>
      </c>
      <c r="B19" s="1">
        <v>157.19999999999999</v>
      </c>
      <c r="E19" s="4">
        <f t="shared" si="7"/>
        <v>0.24813179198327198</v>
      </c>
      <c r="F19" s="4">
        <f t="shared" si="8"/>
        <v>0.24813179198327198</v>
      </c>
      <c r="G19" s="155">
        <f t="shared" si="0"/>
        <v>0</v>
      </c>
      <c r="H19" s="155">
        <f t="shared" si="1"/>
        <v>0</v>
      </c>
      <c r="I19" s="155">
        <f t="shared" si="2"/>
        <v>0</v>
      </c>
      <c r="J19" s="3">
        <v>0.25025969436864992</v>
      </c>
      <c r="K19" s="105">
        <v>1</v>
      </c>
      <c r="L19" s="3">
        <f t="shared" si="9"/>
        <v>0.54397310508194063</v>
      </c>
      <c r="M19" s="165">
        <f t="shared" si="10"/>
        <v>0.54397310508194063</v>
      </c>
      <c r="N19" s="107">
        <f t="shared" si="3"/>
        <v>0.54397310508194063</v>
      </c>
      <c r="O19" s="165">
        <f t="shared" si="11"/>
        <v>0.54397310508194063</v>
      </c>
      <c r="P19" s="165">
        <f t="shared" si="12"/>
        <v>0.54397310508194063</v>
      </c>
      <c r="Q19" s="3">
        <f t="shared" si="13"/>
        <v>0.54397310508194063</v>
      </c>
      <c r="R19" s="153">
        <f t="shared" si="14"/>
        <v>0.54397310508194063</v>
      </c>
      <c r="S19" s="153">
        <f t="shared" si="15"/>
        <v>0.54397310508194063</v>
      </c>
      <c r="T19" s="153">
        <f t="shared" si="16"/>
        <v>0.54397310508194063</v>
      </c>
      <c r="U19" s="148">
        <f>IF('OPFOK OUDERDIEREN'!$H$15="ja",L19-((E19-G19*95%-I19)/E19*L19)*$R$6,L19-((E19-G19*80%-I19)/E19*L19)*$R$6)</f>
        <v>0.54397310508194063</v>
      </c>
      <c r="V19" s="85">
        <f t="shared" si="4"/>
        <v>0.54397310508194063</v>
      </c>
      <c r="W19" s="162">
        <f t="shared" si="17"/>
        <v>0.54397310508194063</v>
      </c>
      <c r="X19" s="187">
        <f t="shared" si="18"/>
        <v>1</v>
      </c>
      <c r="AA19" s="1">
        <v>42</v>
      </c>
      <c r="AB19" s="106" t="s">
        <v>146</v>
      </c>
      <c r="AC19" s="116">
        <f t="shared" ref="AC19:AD19" si="21">AC17-AC18</f>
        <v>29</v>
      </c>
      <c r="AD19" s="117">
        <f t="shared" si="21"/>
        <v>23</v>
      </c>
      <c r="AE19" s="116">
        <f>AE17-AE18</f>
        <v>29</v>
      </c>
      <c r="AF19" s="117">
        <f t="shared" ref="AF19" si="22">AF17-AF18</f>
        <v>23</v>
      </c>
    </row>
    <row r="20" spans="1:32" x14ac:dyDescent="0.25">
      <c r="A20" s="1">
        <v>11</v>
      </c>
      <c r="B20" s="1">
        <v>172.9</v>
      </c>
      <c r="E20" s="4">
        <f t="shared" si="7"/>
        <v>0.26350748283763603</v>
      </c>
      <c r="F20" s="4">
        <f t="shared" si="8"/>
        <v>0.26350748283763603</v>
      </c>
      <c r="G20" s="155">
        <f t="shared" si="0"/>
        <v>0</v>
      </c>
      <c r="H20" s="155">
        <f t="shared" si="1"/>
        <v>0</v>
      </c>
      <c r="I20" s="155">
        <f t="shared" si="2"/>
        <v>0</v>
      </c>
      <c r="J20" s="3">
        <v>0.25490709773803089</v>
      </c>
      <c r="K20" s="105">
        <v>1</v>
      </c>
      <c r="L20" s="3">
        <f t="shared" si="9"/>
        <v>0.58840856649778706</v>
      </c>
      <c r="M20" s="165">
        <f t="shared" si="10"/>
        <v>0.58840856649778706</v>
      </c>
      <c r="N20" s="107">
        <f t="shared" si="3"/>
        <v>0.58840856649778706</v>
      </c>
      <c r="O20" s="165">
        <f t="shared" si="11"/>
        <v>0.58840856649778706</v>
      </c>
      <c r="P20" s="165">
        <f t="shared" si="12"/>
        <v>0.58840856649778706</v>
      </c>
      <c r="Q20" s="3">
        <f t="shared" si="13"/>
        <v>0.58840856649778706</v>
      </c>
      <c r="R20" s="153">
        <f t="shared" si="14"/>
        <v>0.58840856649778706</v>
      </c>
      <c r="S20" s="153">
        <f t="shared" si="15"/>
        <v>0.58840856649778706</v>
      </c>
      <c r="T20" s="153">
        <f t="shared" si="16"/>
        <v>0.58840856649778706</v>
      </c>
      <c r="U20" s="148">
        <f>IF('OPFOK OUDERDIEREN'!$H$15="ja",L20-((E20-G20*95%-I20)/E20*L20)*$R$6,L20-((E20-G20*80%-I20)/E20*L20)*$R$6)</f>
        <v>0.58840856649778706</v>
      </c>
      <c r="V20" s="85">
        <f t="shared" si="4"/>
        <v>0.58840856649778706</v>
      </c>
      <c r="W20" s="162">
        <f t="shared" si="17"/>
        <v>0.58840856649778706</v>
      </c>
      <c r="X20" s="187">
        <f t="shared" si="18"/>
        <v>1</v>
      </c>
      <c r="AA20" s="1">
        <v>0</v>
      </c>
      <c r="AB20" s="106" t="s">
        <v>147</v>
      </c>
      <c r="AC20" s="118">
        <v>10</v>
      </c>
      <c r="AD20" s="119">
        <v>10</v>
      </c>
      <c r="AE20" s="118">
        <v>10</v>
      </c>
      <c r="AF20" s="119">
        <v>10</v>
      </c>
    </row>
    <row r="21" spans="1:32" x14ac:dyDescent="0.25">
      <c r="A21" s="1">
        <v>12</v>
      </c>
      <c r="B21" s="1">
        <v>188.6</v>
      </c>
      <c r="E21" s="4">
        <f t="shared" si="7"/>
        <v>0.27881273513206395</v>
      </c>
      <c r="F21" s="4">
        <f t="shared" si="8"/>
        <v>0.27881273513206395</v>
      </c>
      <c r="G21" s="155">
        <f t="shared" si="0"/>
        <v>0</v>
      </c>
      <c r="H21" s="155">
        <f t="shared" si="1"/>
        <v>0</v>
      </c>
      <c r="I21" s="155">
        <f t="shared" si="2"/>
        <v>0</v>
      </c>
      <c r="J21" s="3">
        <v>0.25964080488929814</v>
      </c>
      <c r="K21" s="105">
        <v>1</v>
      </c>
      <c r="L21" s="3">
        <f t="shared" si="9"/>
        <v>0.63414658755654374</v>
      </c>
      <c r="M21" s="165">
        <f t="shared" si="10"/>
        <v>0.63414658755654374</v>
      </c>
      <c r="N21" s="107">
        <f t="shared" si="3"/>
        <v>0.63414658755654374</v>
      </c>
      <c r="O21" s="165">
        <f t="shared" si="11"/>
        <v>0.63414658755654374</v>
      </c>
      <c r="P21" s="165">
        <f t="shared" si="12"/>
        <v>0.63414658755654374</v>
      </c>
      <c r="Q21" s="3">
        <f t="shared" si="13"/>
        <v>0.63414658755654374</v>
      </c>
      <c r="R21" s="153">
        <f t="shared" si="14"/>
        <v>0.63414658755654374</v>
      </c>
      <c r="S21" s="153">
        <f t="shared" si="15"/>
        <v>0.63414658755654374</v>
      </c>
      <c r="T21" s="153">
        <f t="shared" si="16"/>
        <v>0.63414658755654374</v>
      </c>
      <c r="U21" s="148">
        <f>IF('OPFOK OUDERDIEREN'!$H$15="ja",L21-((E21-G21*95%-I21)/E21*L21)*$R$6,L21-((E21-G21*80%-I21)/E21*L21)*$R$6)</f>
        <v>0.63414658755654374</v>
      </c>
      <c r="V21" s="85">
        <f t="shared" si="4"/>
        <v>0.63414658755654374</v>
      </c>
      <c r="W21" s="162">
        <f t="shared" si="17"/>
        <v>0.63414658755654374</v>
      </c>
      <c r="X21" s="187">
        <f t="shared" si="18"/>
        <v>1</v>
      </c>
      <c r="AA21" s="1">
        <v>42</v>
      </c>
      <c r="AB21" s="106" t="s">
        <v>148</v>
      </c>
      <c r="AC21" s="120">
        <f>365/(AC19+AC20)</f>
        <v>9.3589743589743595</v>
      </c>
      <c r="AD21" s="121">
        <f>365/(AD19+AD20)</f>
        <v>11.060606060606061</v>
      </c>
      <c r="AE21" s="120">
        <f>365/(AE19+AE20)</f>
        <v>9.3589743589743595</v>
      </c>
      <c r="AF21" s="121">
        <f>365/(AF19+AF20)</f>
        <v>11.060606060606061</v>
      </c>
    </row>
    <row r="22" spans="1:32" x14ac:dyDescent="0.25">
      <c r="A22" s="122">
        <v>13</v>
      </c>
      <c r="B22" s="123">
        <v>204.3</v>
      </c>
      <c r="C22" s="124"/>
      <c r="D22" s="123"/>
      <c r="E22" s="4">
        <f t="shared" si="7"/>
        <v>0.29405646510002803</v>
      </c>
      <c r="F22" s="125">
        <f t="shared" si="8"/>
        <v>0.29405646510002803</v>
      </c>
      <c r="G22" s="155">
        <f t="shared" si="0"/>
        <v>0</v>
      </c>
      <c r="H22" s="155">
        <f t="shared" si="1"/>
        <v>0</v>
      </c>
      <c r="I22" s="155">
        <f t="shared" si="2"/>
        <v>0</v>
      </c>
      <c r="J22" s="3">
        <v>0.26446241851156127</v>
      </c>
      <c r="K22" s="105">
        <v>1</v>
      </c>
      <c r="L22" s="3">
        <f t="shared" si="9"/>
        <v>0.68123790330838996</v>
      </c>
      <c r="M22" s="165">
        <f t="shared" si="10"/>
        <v>0.68123790330838996</v>
      </c>
      <c r="N22" s="107">
        <f t="shared" si="3"/>
        <v>0.68123790330838996</v>
      </c>
      <c r="O22" s="165">
        <f t="shared" si="11"/>
        <v>0.68123790330838996</v>
      </c>
      <c r="P22" s="165">
        <f t="shared" si="12"/>
        <v>0.68123790330838996</v>
      </c>
      <c r="Q22" s="3">
        <f t="shared" si="13"/>
        <v>0.68123790330838996</v>
      </c>
      <c r="R22" s="153">
        <f t="shared" si="14"/>
        <v>0.68123790330838996</v>
      </c>
      <c r="S22" s="153">
        <f t="shared" si="15"/>
        <v>0.68123790330838996</v>
      </c>
      <c r="T22" s="153">
        <f t="shared" si="16"/>
        <v>0.68123790330838996</v>
      </c>
      <c r="U22" s="148">
        <f>IF('OPFOK OUDERDIEREN'!$H$15="ja",L22-((E22-G22*95%-I22)/E22*L22)*$R$6,L22-((E22-G22*80%-I22)/E22*L22)*$R$6)</f>
        <v>0.68123790330838996</v>
      </c>
      <c r="V22" s="85">
        <f t="shared" si="4"/>
        <v>0.68123790330838996</v>
      </c>
      <c r="W22" s="162">
        <f t="shared" si="17"/>
        <v>0.68123790330838996</v>
      </c>
      <c r="X22" s="187">
        <f t="shared" si="18"/>
        <v>1</v>
      </c>
      <c r="AA22" s="1">
        <v>10</v>
      </c>
      <c r="AB22" s="102" t="s">
        <v>149</v>
      </c>
      <c r="AC22" s="109">
        <f>AVERAGE(L23:L51)/$AA$23</f>
        <v>0.25290618803653042</v>
      </c>
      <c r="AD22" s="110">
        <f>AVERAGE(L29:L51)/$AA$23</f>
        <v>0.28628719407689046</v>
      </c>
      <c r="AE22" s="109">
        <f>AVERAGE(N23:N51)/$AA$23</f>
        <v>0.25290618803653042</v>
      </c>
      <c r="AF22" s="110">
        <f>AVERAGE(N29:N51)/$AA$23</f>
        <v>0.28628719407689046</v>
      </c>
    </row>
    <row r="23" spans="1:32" x14ac:dyDescent="0.25">
      <c r="A23" s="1">
        <v>14</v>
      </c>
      <c r="B23" s="1">
        <v>220</v>
      </c>
      <c r="E23" s="4">
        <f t="shared" si="7"/>
        <v>0.30924758897499999</v>
      </c>
      <c r="F23" s="4">
        <f t="shared" si="8"/>
        <v>0.30924758897499999</v>
      </c>
      <c r="G23" s="155">
        <f t="shared" si="0"/>
        <v>0</v>
      </c>
      <c r="H23" s="155">
        <f t="shared" si="1"/>
        <v>0</v>
      </c>
      <c r="I23" s="155">
        <f t="shared" si="2"/>
        <v>0</v>
      </c>
      <c r="J23" s="3">
        <v>0.26937357105638443</v>
      </c>
      <c r="K23" s="105">
        <v>1</v>
      </c>
      <c r="L23" s="3">
        <f t="shared" si="9"/>
        <v>0.72973539587308911</v>
      </c>
      <c r="M23" s="165">
        <f t="shared" si="10"/>
        <v>0.72973539587308911</v>
      </c>
      <c r="N23" s="107">
        <f t="shared" si="3"/>
        <v>0.72973539587308911</v>
      </c>
      <c r="O23" s="165">
        <f t="shared" si="11"/>
        <v>0.72973539587308911</v>
      </c>
      <c r="P23" s="165">
        <f t="shared" si="12"/>
        <v>0.72973539587308911</v>
      </c>
      <c r="Q23" s="3">
        <f t="shared" si="13"/>
        <v>0.72973539587308911</v>
      </c>
      <c r="R23" s="153">
        <f t="shared" si="14"/>
        <v>0.72973539587308911</v>
      </c>
      <c r="S23" s="153">
        <f t="shared" si="15"/>
        <v>0.72973539587308911</v>
      </c>
      <c r="T23" s="153">
        <f t="shared" si="16"/>
        <v>0.72973539587308911</v>
      </c>
      <c r="U23" s="148">
        <f>IF('OPFOK OUDERDIEREN'!$H$15="ja",L23-((E23-G23*95%-I23)/E23*L23)*$R$6,L23-((E23-G23*80%-I23)/E23*L23)*$R$6)</f>
        <v>0.72973539587308911</v>
      </c>
      <c r="V23" s="85">
        <f t="shared" si="4"/>
        <v>0.72973539587308911</v>
      </c>
      <c r="W23" s="162">
        <f t="shared" si="17"/>
        <v>0.72973539587308911</v>
      </c>
      <c r="X23" s="187">
        <f t="shared" si="18"/>
        <v>1</v>
      </c>
      <c r="AA23" s="2">
        <f>365/(AA21+AA22)</f>
        <v>7.0192307692307692</v>
      </c>
      <c r="AB23" s="111" t="s">
        <v>141</v>
      </c>
      <c r="AC23" s="112">
        <f>AC22*AC21</f>
        <v>2.3669425290598363</v>
      </c>
      <c r="AD23" s="113">
        <f>AD22*AD21</f>
        <v>3.166509873880758</v>
      </c>
      <c r="AE23" s="112">
        <f>AE22*AE21</f>
        <v>2.3669425290598363</v>
      </c>
      <c r="AF23" s="113">
        <f>AF22*AF21</f>
        <v>3.166509873880758</v>
      </c>
    </row>
    <row r="24" spans="1:32" x14ac:dyDescent="0.25">
      <c r="A24" s="1">
        <v>15</v>
      </c>
      <c r="B24" s="1">
        <v>238.4</v>
      </c>
      <c r="E24" s="4">
        <f t="shared" si="7"/>
        <v>0.32699624340869599</v>
      </c>
      <c r="F24" s="4">
        <f t="shared" si="8"/>
        <v>0.32699624340869599</v>
      </c>
      <c r="G24" s="155">
        <f t="shared" si="0"/>
        <v>0</v>
      </c>
      <c r="H24" s="155">
        <f t="shared" si="1"/>
        <v>0</v>
      </c>
      <c r="I24" s="155">
        <f t="shared" si="2"/>
        <v>0</v>
      </c>
      <c r="J24" s="3">
        <v>0.27437592529048455</v>
      </c>
      <c r="K24" s="105">
        <v>1</v>
      </c>
      <c r="L24" s="3">
        <f t="shared" si="9"/>
        <v>0.78594629642153546</v>
      </c>
      <c r="M24" s="165">
        <f t="shared" si="10"/>
        <v>0.78594629642153546</v>
      </c>
      <c r="N24" s="107">
        <f t="shared" si="3"/>
        <v>0.78594629642153546</v>
      </c>
      <c r="O24" s="165">
        <f t="shared" si="11"/>
        <v>0.78594629642153546</v>
      </c>
      <c r="P24" s="165">
        <f t="shared" si="12"/>
        <v>0.78594629642153546</v>
      </c>
      <c r="Q24" s="3">
        <f t="shared" si="13"/>
        <v>0.78594629642153546</v>
      </c>
      <c r="R24" s="153">
        <f t="shared" si="14"/>
        <v>0.78594629642153546</v>
      </c>
      <c r="S24" s="153">
        <f t="shared" si="15"/>
        <v>0.78594629642153546</v>
      </c>
      <c r="T24" s="153">
        <f t="shared" si="16"/>
        <v>0.78594629642153546</v>
      </c>
      <c r="U24" s="148">
        <f>IF('OPFOK OUDERDIEREN'!$H$15="ja",L24-((E24-G24*95%-I24)/E24*L24)*$R$6,L24-((E24-G24*80%-I24)/E24*L24)*$R$6)</f>
        <v>0.78594629642153546</v>
      </c>
      <c r="V24" s="85">
        <f t="shared" si="4"/>
        <v>0.78594629642153546</v>
      </c>
      <c r="W24" s="162">
        <f t="shared" si="17"/>
        <v>0.78594629642153546</v>
      </c>
      <c r="X24" s="187">
        <f t="shared" si="18"/>
        <v>1</v>
      </c>
      <c r="AA24" s="108">
        <f>AA22/(AA21+AA22)</f>
        <v>0.19230769230769232</v>
      </c>
      <c r="AB24" s="126" t="s">
        <v>150</v>
      </c>
      <c r="AC24" s="127">
        <f>(AC14+(AC23*2))/3</f>
        <v>1.9890691522381587</v>
      </c>
      <c r="AD24" s="128">
        <f>(AD14+AD23)/2</f>
        <v>2.0443886199898973</v>
      </c>
      <c r="AE24" s="127">
        <f>(AE14+(AE23*2))/3</f>
        <v>1.9890691522381587</v>
      </c>
      <c r="AF24" s="128">
        <f>(AF14+AF23)/2</f>
        <v>2.0443886199898973</v>
      </c>
    </row>
    <row r="25" spans="1:32" x14ac:dyDescent="0.25">
      <c r="A25" s="1">
        <v>16</v>
      </c>
      <c r="B25" s="1">
        <v>257</v>
      </c>
      <c r="E25" s="4">
        <f t="shared" si="7"/>
        <v>0.34489146745399996</v>
      </c>
      <c r="F25" s="4">
        <f t="shared" si="8"/>
        <v>0.34489146745399996</v>
      </c>
      <c r="G25" s="155">
        <f t="shared" si="0"/>
        <v>0</v>
      </c>
      <c r="H25" s="155">
        <f t="shared" si="1"/>
        <v>0</v>
      </c>
      <c r="I25" s="155">
        <f t="shared" si="2"/>
        <v>0</v>
      </c>
      <c r="J25" s="3">
        <v>0.27947117485869366</v>
      </c>
      <c r="K25" s="105">
        <v>1</v>
      </c>
      <c r="L25" s="3">
        <f t="shared" si="9"/>
        <v>0.84435207880702845</v>
      </c>
      <c r="M25" s="165">
        <f t="shared" si="10"/>
        <v>0.84435207880702845</v>
      </c>
      <c r="N25" s="107">
        <f t="shared" si="3"/>
        <v>0.84435207880702845</v>
      </c>
      <c r="O25" s="165">
        <f t="shared" si="11"/>
        <v>0.84435207880702845</v>
      </c>
      <c r="P25" s="165">
        <f t="shared" si="12"/>
        <v>0.84435207880702845</v>
      </c>
      <c r="Q25" s="3">
        <f t="shared" si="13"/>
        <v>0.84435207880702845</v>
      </c>
      <c r="R25" s="153">
        <f t="shared" si="14"/>
        <v>0.84435207880702845</v>
      </c>
      <c r="S25" s="153">
        <f t="shared" si="15"/>
        <v>0.84435207880702845</v>
      </c>
      <c r="T25" s="153">
        <f t="shared" si="16"/>
        <v>0.84435207880702845</v>
      </c>
      <c r="U25" s="148">
        <f>IF('OPFOK OUDERDIEREN'!$H$15="ja",L25-((E25-G25*95%-I25)/E25*L25)*$R$6,L25-((E25-G25*80%-I25)/E25*L25)*$R$6)</f>
        <v>0.84435207880702845</v>
      </c>
      <c r="V25" s="85">
        <f t="shared" si="4"/>
        <v>0.84435207880702845</v>
      </c>
      <c r="W25" s="162">
        <f t="shared" si="17"/>
        <v>0.84435207880702845</v>
      </c>
      <c r="X25" s="187">
        <f t="shared" si="18"/>
        <v>1</v>
      </c>
      <c r="AB25" s="129" t="s">
        <v>151</v>
      </c>
      <c r="AC25" s="130">
        <f>(AC24/$L$155)</f>
        <v>0.11085340408579891</v>
      </c>
      <c r="AD25" s="130">
        <f>(AD24/$L$155)</f>
        <v>0.11393642978432453</v>
      </c>
    </row>
    <row r="26" spans="1:32" x14ac:dyDescent="0.25">
      <c r="A26" s="1">
        <v>17</v>
      </c>
      <c r="B26" s="1">
        <v>275.60000000000002</v>
      </c>
      <c r="E26" s="4">
        <f t="shared" si="7"/>
        <v>0.362754863179304</v>
      </c>
      <c r="F26" s="4">
        <f t="shared" si="8"/>
        <v>0.362754863179304</v>
      </c>
      <c r="G26" s="155">
        <f t="shared" si="0"/>
        <v>0</v>
      </c>
      <c r="H26" s="155">
        <f t="shared" si="1"/>
        <v>0</v>
      </c>
      <c r="I26" s="155">
        <f t="shared" si="2"/>
        <v>0</v>
      </c>
      <c r="J26" s="3">
        <v>0.28466104485737542</v>
      </c>
      <c r="K26" s="105">
        <v>1</v>
      </c>
      <c r="L26" s="3">
        <f t="shared" si="9"/>
        <v>0.90457668260630297</v>
      </c>
      <c r="M26" s="165">
        <f t="shared" si="10"/>
        <v>0.90457668260630297</v>
      </c>
      <c r="N26" s="107">
        <f t="shared" si="3"/>
        <v>0.90457668260630297</v>
      </c>
      <c r="O26" s="165">
        <f t="shared" si="11"/>
        <v>0.90457668260630297</v>
      </c>
      <c r="P26" s="165">
        <f t="shared" si="12"/>
        <v>0.90457668260630297</v>
      </c>
      <c r="Q26" s="3">
        <f t="shared" si="13"/>
        <v>0.90457668260630297</v>
      </c>
      <c r="R26" s="153">
        <f t="shared" si="14"/>
        <v>0.90457668260630297</v>
      </c>
      <c r="S26" s="153">
        <f t="shared" si="15"/>
        <v>0.90457668260630297</v>
      </c>
      <c r="T26" s="153">
        <f t="shared" si="16"/>
        <v>0.90457668260630297</v>
      </c>
      <c r="U26" s="148">
        <f>IF('OPFOK OUDERDIEREN'!$H$15="ja",L26-((E26-G26*95%-I26)/E26*L26)*$R$6,L26-((E26-G26*80%-I26)/E26*L26)*$R$6)</f>
        <v>0.90457668260630297</v>
      </c>
      <c r="V26" s="85">
        <f t="shared" si="4"/>
        <v>0.90457668260630297</v>
      </c>
      <c r="W26" s="162">
        <f t="shared" si="17"/>
        <v>0.90457668260630297</v>
      </c>
      <c r="X26" s="187">
        <f t="shared" si="18"/>
        <v>1</v>
      </c>
      <c r="AB26" s="131" t="s">
        <v>152</v>
      </c>
      <c r="AE26" s="132">
        <f>(AC24-AE24)/AC24</f>
        <v>0</v>
      </c>
      <c r="AF26" s="132">
        <f>(AD24-AF24)/AD24</f>
        <v>0</v>
      </c>
    </row>
    <row r="27" spans="1:32" x14ac:dyDescent="0.25">
      <c r="A27" s="1">
        <v>18</v>
      </c>
      <c r="B27" s="1">
        <v>294.2</v>
      </c>
      <c r="E27" s="4">
        <f t="shared" si="7"/>
        <v>0.38060125649283194</v>
      </c>
      <c r="F27" s="4">
        <f t="shared" si="8"/>
        <v>0.38060125649283194</v>
      </c>
      <c r="G27" s="155">
        <f t="shared" si="0"/>
        <v>0</v>
      </c>
      <c r="H27" s="155">
        <f t="shared" si="1"/>
        <v>0</v>
      </c>
      <c r="I27" s="155">
        <f t="shared" si="2"/>
        <v>0</v>
      </c>
      <c r="J27" s="3">
        <v>0.28994729241849049</v>
      </c>
      <c r="K27" s="105">
        <v>1</v>
      </c>
      <c r="L27" s="3">
        <f t="shared" si="9"/>
        <v>0.96670370138586714</v>
      </c>
      <c r="M27" s="165">
        <f t="shared" si="10"/>
        <v>0.96670370138586714</v>
      </c>
      <c r="N27" s="107">
        <f t="shared" si="3"/>
        <v>0.96670370138586714</v>
      </c>
      <c r="O27" s="165">
        <f t="shared" si="11"/>
        <v>0.96670370138586714</v>
      </c>
      <c r="P27" s="165">
        <f t="shared" si="12"/>
        <v>0.96670370138586714</v>
      </c>
      <c r="Q27" s="3">
        <f t="shared" si="13"/>
        <v>0.96670370138586714</v>
      </c>
      <c r="R27" s="153">
        <f t="shared" si="14"/>
        <v>0.96670370138586714</v>
      </c>
      <c r="S27" s="153">
        <f t="shared" si="15"/>
        <v>0.96670370138586714</v>
      </c>
      <c r="T27" s="153">
        <f t="shared" si="16"/>
        <v>0.96670370138586714</v>
      </c>
      <c r="U27" s="148">
        <f>IF('OPFOK OUDERDIEREN'!$H$15="ja",L27-((E27-G27*95%-I27)/E27*L27)*$R$6,L27-((E27-G27*80%-I27)/E27*L27)*$R$6)</f>
        <v>0.96670370138586714</v>
      </c>
      <c r="V27" s="85">
        <f t="shared" si="4"/>
        <v>0.96670370138586714</v>
      </c>
      <c r="W27" s="162">
        <f t="shared" si="17"/>
        <v>0.96670370138586714</v>
      </c>
      <c r="X27" s="187">
        <f t="shared" si="18"/>
        <v>1</v>
      </c>
    </row>
    <row r="28" spans="1:32" x14ac:dyDescent="0.25">
      <c r="A28" s="122">
        <v>19</v>
      </c>
      <c r="B28" s="123">
        <v>312.8</v>
      </c>
      <c r="C28" s="124"/>
      <c r="D28" s="123"/>
      <c r="E28" s="4">
        <f t="shared" si="7"/>
        <v>0.398445473302808</v>
      </c>
      <c r="F28" s="125">
        <f t="shared" si="8"/>
        <v>0.398445473302808</v>
      </c>
      <c r="G28" s="155">
        <f t="shared" si="0"/>
        <v>0</v>
      </c>
      <c r="H28" s="155">
        <f t="shared" si="1"/>
        <v>0</v>
      </c>
      <c r="I28" s="155">
        <f t="shared" si="2"/>
        <v>0</v>
      </c>
      <c r="J28" s="3">
        <v>0.29533170730450725</v>
      </c>
      <c r="K28" s="105">
        <v>1</v>
      </c>
      <c r="L28" s="3">
        <f t="shared" si="9"/>
        <v>1.0308205774288517</v>
      </c>
      <c r="M28" s="165">
        <f t="shared" si="10"/>
        <v>1.0308205774288517</v>
      </c>
      <c r="N28" s="107">
        <f t="shared" si="3"/>
        <v>1.0308205774288517</v>
      </c>
      <c r="O28" s="165">
        <f t="shared" si="11"/>
        <v>1.0308205774288517</v>
      </c>
      <c r="P28" s="165">
        <f t="shared" si="12"/>
        <v>1.0308205774288517</v>
      </c>
      <c r="Q28" s="3">
        <f t="shared" si="13"/>
        <v>1.0308205774288517</v>
      </c>
      <c r="R28" s="153">
        <f t="shared" si="14"/>
        <v>1.0308205774288517</v>
      </c>
      <c r="S28" s="153">
        <f t="shared" si="15"/>
        <v>1.0308205774288517</v>
      </c>
      <c r="T28" s="153">
        <f t="shared" si="16"/>
        <v>1.0308205774288517</v>
      </c>
      <c r="U28" s="148">
        <f>IF('OPFOK OUDERDIEREN'!$H$15="ja",L28-((E28-G28*95%-I28)/E28*L28)*$R$6,L28-((E28-G28*80%-I28)/E28*L28)*$R$6)</f>
        <v>1.0308205774288517</v>
      </c>
      <c r="V28" s="85">
        <f t="shared" si="4"/>
        <v>1.0308205774288517</v>
      </c>
      <c r="W28" s="162">
        <f t="shared" si="17"/>
        <v>1.0308205774288517</v>
      </c>
      <c r="X28" s="187">
        <f t="shared" si="18"/>
        <v>1</v>
      </c>
    </row>
    <row r="29" spans="1:32" x14ac:dyDescent="0.25">
      <c r="A29" s="1">
        <v>20</v>
      </c>
      <c r="B29" s="1">
        <v>331.4</v>
      </c>
      <c r="E29" s="4">
        <f t="shared" si="7"/>
        <v>0.41630233951745599</v>
      </c>
      <c r="F29" s="4">
        <f t="shared" si="8"/>
        <v>0.41630233951745599</v>
      </c>
      <c r="G29" s="155">
        <f t="shared" si="0"/>
        <v>0</v>
      </c>
      <c r="H29" s="155">
        <f t="shared" si="1"/>
        <v>0</v>
      </c>
      <c r="I29" s="155">
        <f t="shared" si="2"/>
        <v>0</v>
      </c>
      <c r="J29" s="3">
        <v>0.30081611251436158</v>
      </c>
      <c r="K29" s="105">
        <v>1</v>
      </c>
      <c r="L29" s="3">
        <f t="shared" si="9"/>
        <v>1.0970187543014487</v>
      </c>
      <c r="M29" s="165">
        <f t="shared" si="10"/>
        <v>1.0970187543014487</v>
      </c>
      <c r="N29" s="107">
        <f t="shared" si="3"/>
        <v>1.0970187543014487</v>
      </c>
      <c r="O29" s="165">
        <f t="shared" si="11"/>
        <v>1.0970187543014487</v>
      </c>
      <c r="P29" s="165">
        <f t="shared" si="12"/>
        <v>1.0970187543014487</v>
      </c>
      <c r="Q29" s="3">
        <f t="shared" si="13"/>
        <v>1.0970187543014487</v>
      </c>
      <c r="R29" s="153">
        <f t="shared" si="14"/>
        <v>1.0970187543014487</v>
      </c>
      <c r="S29" s="153">
        <f t="shared" si="15"/>
        <v>1.0970187543014487</v>
      </c>
      <c r="T29" s="153">
        <f t="shared" si="16"/>
        <v>1.0970187543014487</v>
      </c>
      <c r="U29" s="148">
        <f>IF('OPFOK OUDERDIEREN'!$H$15="ja",L29-((E29-G29*95%-I29)/E29*L29)*$R$6,L29-((E29-G29*80%-I29)/E29*L29)*$R$6)</f>
        <v>1.0970187543014487</v>
      </c>
      <c r="V29" s="85">
        <f t="shared" si="4"/>
        <v>1.0970187543014487</v>
      </c>
      <c r="W29" s="162">
        <f t="shared" si="17"/>
        <v>1.0970187543014487</v>
      </c>
      <c r="X29" s="187">
        <f t="shared" si="18"/>
        <v>1</v>
      </c>
    </row>
    <row r="30" spans="1:32" x14ac:dyDescent="0.25">
      <c r="A30" s="1">
        <v>21</v>
      </c>
      <c r="B30" s="1">
        <v>350</v>
      </c>
      <c r="E30" s="4">
        <f t="shared" si="7"/>
        <v>0.43418668104499997</v>
      </c>
      <c r="F30" s="4">
        <f t="shared" si="8"/>
        <v>0.43418668104499997</v>
      </c>
      <c r="G30" s="155">
        <f t="shared" si="0"/>
        <v>0</v>
      </c>
      <c r="H30" s="155">
        <f t="shared" si="1"/>
        <v>0</v>
      </c>
      <c r="I30" s="155">
        <f t="shared" si="2"/>
        <v>0</v>
      </c>
      <c r="J30" s="3">
        <v>0.30640236490066852</v>
      </c>
      <c r="K30" s="105">
        <v>1</v>
      </c>
      <c r="L30" s="3">
        <f t="shared" si="9"/>
        <v>1.1653938347137081</v>
      </c>
      <c r="M30" s="165">
        <f t="shared" si="10"/>
        <v>1.1653938347137081</v>
      </c>
      <c r="N30" s="107">
        <f t="shared" si="3"/>
        <v>1.1653938347137081</v>
      </c>
      <c r="O30" s="165">
        <f t="shared" si="11"/>
        <v>1.1653938347137081</v>
      </c>
      <c r="P30" s="165">
        <f t="shared" si="12"/>
        <v>1.1653938347137081</v>
      </c>
      <c r="Q30" s="3">
        <f t="shared" si="13"/>
        <v>1.1653938347137081</v>
      </c>
      <c r="R30" s="153">
        <f t="shared" si="14"/>
        <v>1.1653938347137081</v>
      </c>
      <c r="S30" s="153">
        <f t="shared" si="15"/>
        <v>1.1653938347137081</v>
      </c>
      <c r="T30" s="153">
        <f t="shared" si="16"/>
        <v>1.1653938347137081</v>
      </c>
      <c r="U30" s="148">
        <f>IF('OPFOK OUDERDIEREN'!$H$15="ja",L30-((E30-G30*95%-I30)/E30*L30)*$R$6,L30-((E30-G30*80%-I30)/E30*L30)*$R$6)</f>
        <v>1.1653938347137081</v>
      </c>
      <c r="V30" s="85">
        <f t="shared" si="4"/>
        <v>1.1653938347137081</v>
      </c>
      <c r="W30" s="162">
        <f t="shared" si="17"/>
        <v>1.1653938347137081</v>
      </c>
      <c r="X30" s="187">
        <f t="shared" si="18"/>
        <v>1</v>
      </c>
    </row>
    <row r="31" spans="1:32" x14ac:dyDescent="0.25">
      <c r="A31" s="1">
        <v>22</v>
      </c>
      <c r="B31" s="1">
        <v>367.4</v>
      </c>
      <c r="E31" s="4">
        <f t="shared" si="7"/>
        <v>0.45095520103217596</v>
      </c>
      <c r="F31" s="4">
        <f t="shared" si="8"/>
        <v>0.45095520103217596</v>
      </c>
      <c r="G31" s="155">
        <f t="shared" si="0"/>
        <v>0</v>
      </c>
      <c r="H31" s="155">
        <f t="shared" si="1"/>
        <v>0</v>
      </c>
      <c r="I31" s="155">
        <f t="shared" si="2"/>
        <v>0</v>
      </c>
      <c r="J31" s="3">
        <v>0.31209235579839589</v>
      </c>
      <c r="K31" s="105">
        <v>1</v>
      </c>
      <c r="L31" s="3">
        <f t="shared" si="9"/>
        <v>1.2328795183951182</v>
      </c>
      <c r="M31" s="165">
        <f t="shared" si="10"/>
        <v>1.2328795183951182</v>
      </c>
      <c r="N31" s="107">
        <f t="shared" si="3"/>
        <v>1.2328795183951182</v>
      </c>
      <c r="O31" s="165">
        <f t="shared" si="11"/>
        <v>1.2328795183951182</v>
      </c>
      <c r="P31" s="165">
        <f t="shared" si="12"/>
        <v>1.2328795183951182</v>
      </c>
      <c r="Q31" s="3">
        <f t="shared" si="13"/>
        <v>1.2328795183951182</v>
      </c>
      <c r="R31" s="153">
        <f t="shared" si="14"/>
        <v>1.2328795183951182</v>
      </c>
      <c r="S31" s="153">
        <f t="shared" si="15"/>
        <v>1.2328795183951182</v>
      </c>
      <c r="T31" s="153">
        <f t="shared" si="16"/>
        <v>1.2328795183951182</v>
      </c>
      <c r="U31" s="148">
        <f>IF('OPFOK OUDERDIEREN'!$H$15="ja",L31-((E31-G31*95%-I31)/E31*L31)*$R$6,L31-((E31-G31*80%-I31)/E31*L31)*$R$6)</f>
        <v>1.2328795183951182</v>
      </c>
      <c r="V31" s="85">
        <f t="shared" si="4"/>
        <v>1.2328795183951182</v>
      </c>
      <c r="W31" s="162">
        <f t="shared" si="17"/>
        <v>1.2328795183951182</v>
      </c>
      <c r="X31" s="187">
        <f t="shared" si="18"/>
        <v>1</v>
      </c>
    </row>
    <row r="32" spans="1:32" x14ac:dyDescent="0.25">
      <c r="A32" s="1">
        <v>23</v>
      </c>
      <c r="B32" s="1">
        <v>384.5</v>
      </c>
      <c r="E32" s="4">
        <f t="shared" si="7"/>
        <v>0.46748243325649996</v>
      </c>
      <c r="F32" s="4">
        <f t="shared" si="8"/>
        <v>0.46748243325649996</v>
      </c>
      <c r="G32" s="155">
        <f t="shared" si="0"/>
        <v>0</v>
      </c>
      <c r="H32" s="155">
        <f t="shared" si="1"/>
        <v>0</v>
      </c>
      <c r="I32" s="155">
        <f t="shared" si="2"/>
        <v>0</v>
      </c>
      <c r="J32" s="3">
        <v>0.31788801166521291</v>
      </c>
      <c r="K32" s="105">
        <v>1</v>
      </c>
      <c r="L32" s="3">
        <f t="shared" si="9"/>
        <v>1.3017978560798016</v>
      </c>
      <c r="M32" s="165">
        <f t="shared" si="10"/>
        <v>1.3017978560798016</v>
      </c>
      <c r="N32" s="107">
        <f t="shared" si="3"/>
        <v>1.3017978560798016</v>
      </c>
      <c r="O32" s="165">
        <f t="shared" si="11"/>
        <v>1.3017978560798016</v>
      </c>
      <c r="P32" s="165">
        <f t="shared" si="12"/>
        <v>1.3017978560798016</v>
      </c>
      <c r="Q32" s="3">
        <f t="shared" si="13"/>
        <v>1.3017978560798016</v>
      </c>
      <c r="R32" s="153">
        <f t="shared" si="14"/>
        <v>1.3017978560798016</v>
      </c>
      <c r="S32" s="153">
        <f t="shared" si="15"/>
        <v>1.3017978560798016</v>
      </c>
      <c r="T32" s="153">
        <f t="shared" si="16"/>
        <v>1.3017978560798016</v>
      </c>
      <c r="U32" s="148">
        <f>IF('OPFOK OUDERDIEREN'!$H$15="ja",L32-((E32-G32*95%-I32)/E32*L32)*$R$6,L32-((E32-G32*80%-I32)/E32*L32)*$R$6)</f>
        <v>1.3017978560798016</v>
      </c>
      <c r="V32" s="85">
        <f t="shared" si="4"/>
        <v>1.3017978560798016</v>
      </c>
      <c r="W32" s="162">
        <f t="shared" si="17"/>
        <v>1.3017978560798016</v>
      </c>
      <c r="X32" s="187">
        <f t="shared" si="18"/>
        <v>1</v>
      </c>
    </row>
    <row r="33" spans="1:24" x14ac:dyDescent="0.25">
      <c r="A33" s="1">
        <v>24</v>
      </c>
      <c r="B33" s="1">
        <v>401.6</v>
      </c>
      <c r="E33" s="4">
        <f t="shared" si="7"/>
        <v>0.484068662122424</v>
      </c>
      <c r="F33" s="4">
        <f t="shared" si="8"/>
        <v>0.484068662122424</v>
      </c>
      <c r="G33" s="155">
        <f t="shared" si="0"/>
        <v>0</v>
      </c>
      <c r="H33" s="155">
        <f t="shared" si="1"/>
        <v>0</v>
      </c>
      <c r="I33" s="175">
        <f t="shared" si="2"/>
        <v>0</v>
      </c>
      <c r="J33" s="3">
        <v>0.32379129473372997</v>
      </c>
      <c r="K33" s="105">
        <v>1</v>
      </c>
      <c r="L33" s="3">
        <f t="shared" si="9"/>
        <v>1.3730180371141225</v>
      </c>
      <c r="M33" s="165">
        <f t="shared" si="10"/>
        <v>1.3730180371141225</v>
      </c>
      <c r="N33" s="107">
        <f t="shared" si="3"/>
        <v>1.3730180371141225</v>
      </c>
      <c r="O33" s="165">
        <f t="shared" si="11"/>
        <v>1.3730180371141225</v>
      </c>
      <c r="P33" s="165">
        <f t="shared" si="12"/>
        <v>1.3730180371141225</v>
      </c>
      <c r="Q33" s="3">
        <f t="shared" si="13"/>
        <v>1.3730180371141225</v>
      </c>
      <c r="R33" s="153">
        <f t="shared" si="14"/>
        <v>1.3730180371141225</v>
      </c>
      <c r="S33" s="153">
        <f t="shared" si="15"/>
        <v>1.3730180371141225</v>
      </c>
      <c r="T33" s="153">
        <f t="shared" si="16"/>
        <v>1.3730180371141225</v>
      </c>
      <c r="U33" s="148">
        <f>IF('OPFOK OUDERDIEREN'!$H$15="ja",L33-((E33-G33*95%-I33)/E33*L33)*$R$6,L33-((E33-G33*80%-I33)/E33*L33)*$R$6)</f>
        <v>1.3730180371141225</v>
      </c>
      <c r="V33" s="85">
        <f t="shared" si="4"/>
        <v>1.3730180371141225</v>
      </c>
      <c r="W33" s="162">
        <f t="shared" si="17"/>
        <v>1.3730180371141225</v>
      </c>
      <c r="X33" s="187">
        <f t="shared" si="18"/>
        <v>1</v>
      </c>
    </row>
    <row r="34" spans="1:24" x14ac:dyDescent="0.25">
      <c r="A34" s="1">
        <v>25</v>
      </c>
      <c r="B34" s="1">
        <v>418.7</v>
      </c>
      <c r="E34" s="4">
        <f t="shared" si="7"/>
        <v>0.5007254081160919</v>
      </c>
      <c r="F34" s="4">
        <f t="shared" si="8"/>
        <v>0.5007254081160919</v>
      </c>
      <c r="G34" s="155">
        <f t="shared" si="0"/>
        <v>0</v>
      </c>
      <c r="H34" s="155">
        <f t="shared" si="1"/>
        <v>0</v>
      </c>
      <c r="I34" s="155">
        <f t="shared" si="2"/>
        <v>0</v>
      </c>
      <c r="J34" s="3">
        <v>0.32980420367585112</v>
      </c>
      <c r="K34" s="105">
        <v>1</v>
      </c>
      <c r="L34" s="3">
        <f t="shared" si="9"/>
        <v>1.4466381776797805</v>
      </c>
      <c r="M34" s="165">
        <f t="shared" si="10"/>
        <v>1.4466381776797805</v>
      </c>
      <c r="N34" s="107">
        <f t="shared" si="3"/>
        <v>1.4466381776797805</v>
      </c>
      <c r="O34" s="165">
        <f t="shared" si="11"/>
        <v>1.4466381776797805</v>
      </c>
      <c r="P34" s="165">
        <f t="shared" si="12"/>
        <v>1.4466381776797805</v>
      </c>
      <c r="Q34" s="3">
        <f t="shared" si="13"/>
        <v>1.4466381776797805</v>
      </c>
      <c r="R34" s="153">
        <f t="shared" si="14"/>
        <v>1.4466381776797805</v>
      </c>
      <c r="S34" s="153">
        <f t="shared" si="15"/>
        <v>1.4466381776797805</v>
      </c>
      <c r="T34" s="153">
        <f t="shared" si="16"/>
        <v>1.4466381776797805</v>
      </c>
      <c r="U34" s="148">
        <f>IF('OPFOK OUDERDIEREN'!$H$15="ja",L34-((E34-G34*95%-I34)/E34*L34)*$R$6,L34-((E34-G34*80%-I34)/E34*L34)*$R$6)</f>
        <v>1.4466381776797805</v>
      </c>
      <c r="V34" s="85">
        <f>L34-((E34-G34-I34)/E34*L34)*$R$6</f>
        <v>1.4466381776797805</v>
      </c>
      <c r="W34" s="162">
        <f t="shared" si="17"/>
        <v>1.4466381776797805</v>
      </c>
      <c r="X34" s="187">
        <f t="shared" si="18"/>
        <v>1</v>
      </c>
    </row>
    <row r="35" spans="1:24" x14ac:dyDescent="0.25">
      <c r="A35" s="1">
        <v>26</v>
      </c>
      <c r="B35" s="1">
        <v>435.8</v>
      </c>
      <c r="E35" s="4">
        <f t="shared" si="7"/>
        <v>0.51746419172364799</v>
      </c>
      <c r="F35" s="4">
        <f t="shared" si="8"/>
        <v>0.51746419172364799</v>
      </c>
      <c r="G35" s="155">
        <f t="shared" si="0"/>
        <v>0</v>
      </c>
      <c r="H35" s="155">
        <f>IF(E35&lt;$R$5,E35-G35,$R$5)</f>
        <v>0</v>
      </c>
      <c r="I35" s="155">
        <f t="shared" si="2"/>
        <v>0</v>
      </c>
      <c r="J35" s="3">
        <v>0.33592877427946305</v>
      </c>
      <c r="K35" s="105">
        <v>1</v>
      </c>
      <c r="L35" s="3">
        <f t="shared" si="9"/>
        <v>1.5227605381349263</v>
      </c>
      <c r="M35" s="165">
        <f t="shared" si="10"/>
        <v>1.5227605381349263</v>
      </c>
      <c r="N35" s="107">
        <f t="shared" si="3"/>
        <v>1.5227605381349263</v>
      </c>
      <c r="O35" s="165">
        <f t="shared" si="11"/>
        <v>1.5227605381349263</v>
      </c>
      <c r="P35" s="165">
        <f t="shared" si="12"/>
        <v>1.5227605381349263</v>
      </c>
      <c r="Q35" s="3">
        <f t="shared" si="13"/>
        <v>1.5227605381349263</v>
      </c>
      <c r="R35" s="153">
        <f t="shared" si="14"/>
        <v>1.5227605381349263</v>
      </c>
      <c r="S35" s="153">
        <f t="shared" si="15"/>
        <v>1.5227605381349263</v>
      </c>
      <c r="T35" s="153">
        <f t="shared" si="16"/>
        <v>1.5227605381349263</v>
      </c>
      <c r="U35" s="148">
        <f>IF('OPFOK OUDERDIEREN'!$H$15="ja",L35-((E35-G35*95%-I35)/E35*L35)*$R$6,L35-((E35-G35*80%-I35)/E35*L35)*$R$6)</f>
        <v>1.5227605381349263</v>
      </c>
      <c r="V35" s="85">
        <f t="shared" ref="V35:V51" si="23">L35-((E35-G35-I35)/E35*L35)*$R$6</f>
        <v>1.5227605381349263</v>
      </c>
      <c r="W35" s="162">
        <f t="shared" si="17"/>
        <v>1.5227605381349263</v>
      </c>
      <c r="X35" s="187">
        <f t="shared" si="18"/>
        <v>1</v>
      </c>
    </row>
    <row r="36" spans="1:24" x14ac:dyDescent="0.25">
      <c r="A36" s="1">
        <v>27</v>
      </c>
      <c r="B36" s="1">
        <v>452.9</v>
      </c>
      <c r="E36" s="4">
        <f t="shared" si="7"/>
        <v>0.53429653343123595</v>
      </c>
      <c r="F36" s="4">
        <f t="shared" si="8"/>
        <v>0.53429653343123595</v>
      </c>
      <c r="G36" s="155">
        <f>IF($R$4&gt;0&lt;E36,E36,IF($R$4&gt;E36,E36,$R$4))</f>
        <v>0</v>
      </c>
      <c r="H36" s="155">
        <f t="shared" ref="H36:H51" si="24">IF(E36&lt;$R$5,E36-G36,$R$5)</f>
        <v>0</v>
      </c>
      <c r="I36" s="155">
        <f t="shared" si="2"/>
        <v>0</v>
      </c>
      <c r="J36" s="3">
        <v>0.34216708013769137</v>
      </c>
      <c r="K36" s="105">
        <v>1</v>
      </c>
      <c r="L36" s="3">
        <f t="shared" si="9"/>
        <v>1.6014916786014624</v>
      </c>
      <c r="M36" s="165">
        <f t="shared" si="10"/>
        <v>1.6014916786014624</v>
      </c>
      <c r="N36" s="107">
        <f t="shared" si="3"/>
        <v>1.6014916786014624</v>
      </c>
      <c r="O36" s="165">
        <f t="shared" si="11"/>
        <v>1.6014916786014624</v>
      </c>
      <c r="P36" s="165">
        <f t="shared" si="12"/>
        <v>1.6014916786014624</v>
      </c>
      <c r="Q36" s="3">
        <f t="shared" si="13"/>
        <v>1.6014916786014624</v>
      </c>
      <c r="R36" s="153">
        <f t="shared" si="14"/>
        <v>1.6014916786014624</v>
      </c>
      <c r="S36" s="153">
        <f t="shared" si="15"/>
        <v>1.6014916786014624</v>
      </c>
      <c r="T36" s="153">
        <f t="shared" si="16"/>
        <v>1.6014916786014624</v>
      </c>
      <c r="U36" s="148">
        <f>IF('OPFOK OUDERDIEREN'!$H$15="ja",L36-((E36-G36*95%-I36)/E36*L36)*$R$6,L36-((E36-G36*80%-I36)/E36*L36)*$R$6)</f>
        <v>1.6014916786014624</v>
      </c>
      <c r="V36" s="85">
        <f t="shared" si="23"/>
        <v>1.6014916786014624</v>
      </c>
      <c r="W36" s="162">
        <f t="shared" si="17"/>
        <v>1.6014916786014624</v>
      </c>
      <c r="X36" s="187">
        <f t="shared" si="18"/>
        <v>1</v>
      </c>
    </row>
    <row r="37" spans="1:24" x14ac:dyDescent="0.25">
      <c r="A37" s="1">
        <v>28</v>
      </c>
      <c r="B37" s="1">
        <v>470</v>
      </c>
      <c r="E37" s="4">
        <f t="shared" si="7"/>
        <v>0.55123395372499995</v>
      </c>
      <c r="F37" s="4">
        <f t="shared" si="8"/>
        <v>0.55123395372499995</v>
      </c>
      <c r="G37" s="155">
        <f t="shared" ref="G37:G51" si="25">IF($R$4&gt;0&lt;E37,E37,IF($R$4&gt;E37,E37,$R$4))</f>
        <v>0</v>
      </c>
      <c r="H37" s="155">
        <f t="shared" si="24"/>
        <v>0</v>
      </c>
      <c r="I37" s="155">
        <f t="shared" si="2"/>
        <v>0</v>
      </c>
      <c r="J37" s="3">
        <v>0.34852123335095586</v>
      </c>
      <c r="K37" s="105">
        <v>1</v>
      </c>
      <c r="L37" s="3">
        <f t="shared" si="9"/>
        <v>1.6829426197743278</v>
      </c>
      <c r="M37" s="165">
        <f t="shared" si="10"/>
        <v>1.6829426197743278</v>
      </c>
      <c r="N37" s="107">
        <f t="shared" si="3"/>
        <v>1.6829426197743278</v>
      </c>
      <c r="O37" s="165">
        <f t="shared" si="11"/>
        <v>1.6829426197743278</v>
      </c>
      <c r="P37" s="165">
        <f t="shared" si="12"/>
        <v>1.6829426197743278</v>
      </c>
      <c r="Q37" s="3">
        <f t="shared" si="13"/>
        <v>1.6829426197743278</v>
      </c>
      <c r="R37" s="153">
        <f t="shared" si="14"/>
        <v>1.6829426197743278</v>
      </c>
      <c r="S37" s="153">
        <f t="shared" si="15"/>
        <v>1.6829426197743278</v>
      </c>
      <c r="T37" s="153">
        <f t="shared" si="16"/>
        <v>1.6829426197743278</v>
      </c>
      <c r="U37" s="148">
        <f>IF('OPFOK OUDERDIEREN'!$H$15="ja",L37-((E37-G37*95%-I37)/E37*L37)*$R$6,L37-((E37-G37*80%-I37)/E37*L37)*$R$6)</f>
        <v>1.6829426197743278</v>
      </c>
      <c r="V37" s="85">
        <f t="shared" si="23"/>
        <v>1.6829426197743278</v>
      </c>
      <c r="W37" s="162">
        <f t="shared" si="17"/>
        <v>1.6829426197743278</v>
      </c>
      <c r="X37" s="187">
        <f t="shared" si="18"/>
        <v>1</v>
      </c>
    </row>
    <row r="38" spans="1:24" x14ac:dyDescent="0.25">
      <c r="A38" s="1">
        <v>29</v>
      </c>
      <c r="B38" s="1">
        <v>487.4</v>
      </c>
      <c r="E38" s="4">
        <f t="shared" si="7"/>
        <v>0.56858827631057585</v>
      </c>
      <c r="F38" s="4">
        <f t="shared" si="8"/>
        <v>0.56858827631057585</v>
      </c>
      <c r="G38" s="155">
        <f t="shared" si="25"/>
        <v>0</v>
      </c>
      <c r="H38" s="155">
        <f t="shared" si="24"/>
        <v>0</v>
      </c>
      <c r="I38" s="155">
        <f t="shared" si="2"/>
        <v>0</v>
      </c>
      <c r="J38" s="3">
        <v>0.35499338524206325</v>
      </c>
      <c r="K38" s="105">
        <v>1</v>
      </c>
      <c r="L38" s="3">
        <f t="shared" si="9"/>
        <v>1.7681628746640228</v>
      </c>
      <c r="M38" s="165">
        <f t="shared" si="10"/>
        <v>1.7681628746640228</v>
      </c>
      <c r="N38" s="107">
        <f>(((($J38*(1-$R$2))-$J$3)/1000*$F38*24*365*$K38)*(1-R$4))+(((($J38*(1-$R$2))-$J$3)/1000*$G38*24*365*$K38)*(1-R$3))</f>
        <v>1.7681628746640228</v>
      </c>
      <c r="O38" s="165">
        <f t="shared" si="11"/>
        <v>1.7681628746640228</v>
      </c>
      <c r="P38" s="165">
        <f t="shared" si="12"/>
        <v>1.7681628746640228</v>
      </c>
      <c r="Q38" s="3">
        <f t="shared" si="13"/>
        <v>1.7681628746640228</v>
      </c>
      <c r="R38" s="153">
        <f t="shared" si="14"/>
        <v>1.7681628746640228</v>
      </c>
      <c r="S38" s="153">
        <f t="shared" si="15"/>
        <v>1.7681628746640228</v>
      </c>
      <c r="T38" s="153">
        <f t="shared" si="16"/>
        <v>1.7681628746640228</v>
      </c>
      <c r="U38" s="148">
        <f>IF('OPFOK OUDERDIEREN'!$H$15="ja",L38-((E38-G38*95%-I38)/E38*L38)*$R$6,L38-((E38-G38*80%-I38)/E38*L38)*$R$6)</f>
        <v>1.7681628746640228</v>
      </c>
      <c r="V38" s="85">
        <f t="shared" si="23"/>
        <v>1.7681628746640228</v>
      </c>
      <c r="W38" s="162">
        <f t="shared" si="17"/>
        <v>1.7681628746640228</v>
      </c>
      <c r="X38" s="187">
        <f t="shared" si="18"/>
        <v>1</v>
      </c>
    </row>
    <row r="39" spans="1:24" x14ac:dyDescent="0.25">
      <c r="A39" s="1">
        <v>30</v>
      </c>
      <c r="B39" s="1">
        <v>504.5</v>
      </c>
      <c r="E39" s="4">
        <f t="shared" si="7"/>
        <v>0.58577276577649995</v>
      </c>
      <c r="F39" s="4">
        <f t="shared" si="8"/>
        <v>0.58577276577649995</v>
      </c>
      <c r="G39" s="155">
        <f t="shared" si="25"/>
        <v>0</v>
      </c>
      <c r="H39" s="155">
        <f t="shared" si="24"/>
        <v>0</v>
      </c>
      <c r="I39" s="155">
        <f t="shared" si="2"/>
        <v>0</v>
      </c>
      <c r="J39" s="3">
        <v>0.36158572708458003</v>
      </c>
      <c r="K39" s="105">
        <v>1</v>
      </c>
      <c r="L39" s="3">
        <f t="shared" si="9"/>
        <v>1.8554299456360566</v>
      </c>
      <c r="M39" s="165">
        <f t="shared" si="10"/>
        <v>1.8554299456360566</v>
      </c>
      <c r="N39" s="107">
        <f>(((($J39*(1-$R$2))-$J$3)/1000*$F39*24*365*$K39)*(1-R$4))+(((($J39*(1-$R$2))-$J$3)/1000*$G39*24*365*$K39)*(1-R$3))</f>
        <v>1.8554299456360566</v>
      </c>
      <c r="O39" s="165">
        <f t="shared" si="11"/>
        <v>1.8554299456360566</v>
      </c>
      <c r="P39" s="165">
        <f t="shared" si="12"/>
        <v>1.8554299456360566</v>
      </c>
      <c r="Q39" s="3">
        <f t="shared" si="13"/>
        <v>1.8554299456360566</v>
      </c>
      <c r="R39" s="153">
        <f t="shared" si="14"/>
        <v>1.8554299456360566</v>
      </c>
      <c r="S39" s="153">
        <f t="shared" si="15"/>
        <v>1.8554299456360566</v>
      </c>
      <c r="T39" s="153">
        <f t="shared" si="16"/>
        <v>1.8554299456360566</v>
      </c>
      <c r="U39" s="148">
        <f>IF('OPFOK OUDERDIEREN'!$H$15="ja",L39-((E39-G39*95%-I39)/E39*L39)*$R$6,L39-((E39-G39*80%-I39)/E39*L39)*$R$6)</f>
        <v>1.8554299456360566</v>
      </c>
      <c r="V39" s="85">
        <f t="shared" si="23"/>
        <v>1.8554299456360566</v>
      </c>
      <c r="W39" s="162">
        <f t="shared" si="17"/>
        <v>1.8554299456360566</v>
      </c>
      <c r="X39" s="187">
        <f t="shared" si="18"/>
        <v>1</v>
      </c>
    </row>
    <row r="40" spans="1:24" x14ac:dyDescent="0.25">
      <c r="A40" s="1">
        <v>31</v>
      </c>
      <c r="B40" s="1">
        <v>521.6</v>
      </c>
      <c r="E40" s="4">
        <f t="shared" si="7"/>
        <v>0.60309709740082396</v>
      </c>
      <c r="F40" s="4">
        <f t="shared" si="8"/>
        <v>0.60309709740082396</v>
      </c>
      <c r="G40" s="155">
        <f t="shared" si="25"/>
        <v>0</v>
      </c>
      <c r="H40" s="155">
        <f t="shared" si="24"/>
        <v>0</v>
      </c>
      <c r="I40" s="155">
        <f t="shared" si="2"/>
        <v>0</v>
      </c>
      <c r="J40" s="3">
        <v>0.36830049084473043</v>
      </c>
      <c r="K40" s="105">
        <v>1</v>
      </c>
      <c r="L40" s="3">
        <f t="shared" si="9"/>
        <v>1.9457795833178597</v>
      </c>
      <c r="M40" s="165">
        <f t="shared" si="10"/>
        <v>1.9457795833178597</v>
      </c>
      <c r="N40" s="107">
        <f>(((($J40*(1-$R$2))-$J$3)/1000*$F40*24*365*$K40)*(1-R$4))+(((($J40*(1-$R$2))-$J$3)/1000*$G40*24*365*$K40)*(1-R$3))</f>
        <v>1.9457795833178597</v>
      </c>
      <c r="O40" s="165">
        <f t="shared" si="11"/>
        <v>1.9457795833178597</v>
      </c>
      <c r="P40" s="165">
        <f t="shared" si="12"/>
        <v>1.9457795833178597</v>
      </c>
      <c r="Q40" s="3">
        <f t="shared" si="13"/>
        <v>1.9457795833178597</v>
      </c>
      <c r="R40" s="153">
        <f t="shared" si="14"/>
        <v>1.9457795833178597</v>
      </c>
      <c r="S40" s="153">
        <f t="shared" si="15"/>
        <v>1.9457795833178597</v>
      </c>
      <c r="T40" s="153">
        <f t="shared" si="16"/>
        <v>1.9457795833178597</v>
      </c>
      <c r="U40" s="148">
        <f>IF('OPFOK OUDERDIEREN'!$H$15="ja",L40-((E40-G40*95%-I40)/E40*L40)*$R$6,L40-((E40-G40*80%-I40)/E40*L40)*$R$6)</f>
        <v>1.9457795833178597</v>
      </c>
      <c r="V40" s="85">
        <f t="shared" si="23"/>
        <v>1.9457795833178597</v>
      </c>
      <c r="W40" s="162">
        <f t="shared" si="17"/>
        <v>1.9457795833178597</v>
      </c>
      <c r="X40" s="187">
        <f t="shared" si="18"/>
        <v>1</v>
      </c>
    </row>
    <row r="41" spans="1:24" x14ac:dyDescent="0.25">
      <c r="A41" s="1">
        <v>32</v>
      </c>
      <c r="B41" s="1">
        <v>538.70000000000005</v>
      </c>
      <c r="E41" s="4">
        <f t="shared" si="7"/>
        <v>0.62057279166969204</v>
      </c>
      <c r="F41" s="4">
        <f t="shared" si="8"/>
        <v>0.62057279166969204</v>
      </c>
      <c r="G41" s="155">
        <f t="shared" si="25"/>
        <v>0</v>
      </c>
      <c r="H41" s="155">
        <f t="shared" si="24"/>
        <v>0</v>
      </c>
      <c r="I41" s="155">
        <f t="shared" si="2"/>
        <v>0</v>
      </c>
      <c r="J41" s="3">
        <v>0.37513994993707267</v>
      </c>
      <c r="K41" s="105">
        <v>1</v>
      </c>
      <c r="L41" s="3">
        <f t="shared" si="9"/>
        <v>2.0393424189536726</v>
      </c>
      <c r="M41" s="165">
        <f t="shared" si="10"/>
        <v>2.0393424189536726</v>
      </c>
      <c r="N41" s="107">
        <f t="shared" ref="N41:N51" si="26">(((($J41*(1-$R$2))-$J$3)/1000*$F41*24*365*$K41)*(1-R$5))+(((($J41*(1-$R$2))-$J$3)/1000*$G41*24*365*$K41)*(1-R$3))</f>
        <v>2.0393424189536726</v>
      </c>
      <c r="O41" s="165">
        <f t="shared" si="11"/>
        <v>2.0393424189536726</v>
      </c>
      <c r="P41" s="165">
        <f t="shared" si="12"/>
        <v>2.0393424189536726</v>
      </c>
      <c r="Q41" s="3">
        <f t="shared" si="13"/>
        <v>2.0393424189536726</v>
      </c>
      <c r="R41" s="153">
        <f t="shared" si="14"/>
        <v>2.0393424189536726</v>
      </c>
      <c r="S41" s="153">
        <f t="shared" si="15"/>
        <v>2.0393424189536726</v>
      </c>
      <c r="T41" s="153">
        <f t="shared" si="16"/>
        <v>2.0393424189536726</v>
      </c>
      <c r="U41" s="148">
        <f>IF('OPFOK OUDERDIEREN'!$H$15="ja",L41-((E41-G41*95%-I41)/E41*L41)*$R$6,L41-((E41-G41*80%-I41)/E41*L41)*$R$6)</f>
        <v>2.0393424189536726</v>
      </c>
      <c r="V41" s="85">
        <f t="shared" si="23"/>
        <v>2.0393424189536726</v>
      </c>
      <c r="W41" s="162">
        <f t="shared" si="17"/>
        <v>2.0393424189536726</v>
      </c>
      <c r="X41" s="187">
        <f t="shared" si="18"/>
        <v>1</v>
      </c>
    </row>
    <row r="42" spans="1:24" x14ac:dyDescent="0.25">
      <c r="A42" s="1">
        <v>33</v>
      </c>
      <c r="B42" s="1">
        <v>555.79999999999995</v>
      </c>
      <c r="E42" s="4">
        <f t="shared" si="7"/>
        <v>0.63821136906924791</v>
      </c>
      <c r="F42" s="4">
        <f t="shared" si="8"/>
        <v>0.63821136906924791</v>
      </c>
      <c r="G42" s="155">
        <f t="shared" si="25"/>
        <v>0</v>
      </c>
      <c r="H42" s="155">
        <f t="shared" si="24"/>
        <v>0</v>
      </c>
      <c r="I42" s="155">
        <f t="shared" ref="I42:I50" si="27">MIN(R$5,E42-G42)</f>
        <v>0</v>
      </c>
      <c r="J42" s="3">
        <v>0.38210641999420758</v>
      </c>
      <c r="K42" s="105">
        <v>1</v>
      </c>
      <c r="L42" s="3">
        <f t="shared" si="9"/>
        <v>2.136254434167554</v>
      </c>
      <c r="M42" s="165">
        <f t="shared" si="10"/>
        <v>2.136254434167554</v>
      </c>
      <c r="N42" s="107">
        <f t="shared" si="26"/>
        <v>2.136254434167554</v>
      </c>
      <c r="O42" s="165">
        <f t="shared" si="11"/>
        <v>2.136254434167554</v>
      </c>
      <c r="P42" s="165">
        <f t="shared" si="12"/>
        <v>2.136254434167554</v>
      </c>
      <c r="Q42" s="3">
        <f t="shared" si="13"/>
        <v>2.136254434167554</v>
      </c>
      <c r="R42" s="153">
        <f t="shared" si="14"/>
        <v>2.136254434167554</v>
      </c>
      <c r="S42" s="153">
        <f t="shared" si="15"/>
        <v>2.136254434167554</v>
      </c>
      <c r="T42" s="153">
        <f t="shared" si="16"/>
        <v>2.136254434167554</v>
      </c>
      <c r="U42" s="148">
        <f>IF('OPFOK OUDERDIEREN'!$H$15="ja",L42-((E42-G42*95%-I42)/E42*L42)*$R$6,L42-((E42-G42*80%-I42)/E42*L42)*$R$6)</f>
        <v>2.136254434167554</v>
      </c>
      <c r="V42" s="85">
        <f t="shared" si="23"/>
        <v>2.136254434167554</v>
      </c>
      <c r="W42" s="162">
        <f t="shared" si="17"/>
        <v>2.136254434167554</v>
      </c>
      <c r="X42" s="187">
        <f t="shared" si="18"/>
        <v>1</v>
      </c>
    </row>
    <row r="43" spans="1:24" x14ac:dyDescent="0.25">
      <c r="A43" s="1">
        <v>34</v>
      </c>
      <c r="B43" s="1">
        <v>572.9</v>
      </c>
      <c r="E43" s="4">
        <f t="shared" si="7"/>
        <v>0.65602435008563598</v>
      </c>
      <c r="F43" s="4">
        <f t="shared" si="8"/>
        <v>0.65602435008563598</v>
      </c>
      <c r="G43" s="155">
        <f t="shared" si="25"/>
        <v>0</v>
      </c>
      <c r="H43" s="155">
        <f t="shared" si="24"/>
        <v>0</v>
      </c>
      <c r="I43" s="155">
        <f t="shared" si="27"/>
        <v>0</v>
      </c>
      <c r="J43" s="3">
        <v>0.38920225965078159</v>
      </c>
      <c r="K43" s="105">
        <v>1</v>
      </c>
      <c r="L43" s="3">
        <f t="shared" si="9"/>
        <v>2.2366571566879605</v>
      </c>
      <c r="M43" s="165">
        <f t="shared" si="10"/>
        <v>2.2366571566879605</v>
      </c>
      <c r="N43" s="107">
        <f t="shared" si="26"/>
        <v>2.2366571566879605</v>
      </c>
      <c r="O43" s="165">
        <f t="shared" si="11"/>
        <v>2.2366571566879605</v>
      </c>
      <c r="P43" s="165">
        <f t="shared" si="12"/>
        <v>2.2366571566879605</v>
      </c>
      <c r="Q43" s="3">
        <f t="shared" si="13"/>
        <v>2.2366571566879605</v>
      </c>
      <c r="R43" s="153">
        <f t="shared" si="14"/>
        <v>2.2366571566879605</v>
      </c>
      <c r="S43" s="153">
        <f t="shared" si="15"/>
        <v>2.2366571566879605</v>
      </c>
      <c r="T43" s="153">
        <f t="shared" si="16"/>
        <v>2.2366571566879605</v>
      </c>
      <c r="U43" s="148">
        <f>IF('OPFOK OUDERDIEREN'!$H$15="ja",L43-((E43-G43*95%-I43)/E43*L43)*$R$6,L43-((E43-G43*80%-I43)/E43*L43)*$R$6)</f>
        <v>2.2366571566879605</v>
      </c>
      <c r="V43" s="85">
        <f t="shared" si="23"/>
        <v>2.2366571566879605</v>
      </c>
      <c r="W43" s="162">
        <f t="shared" si="17"/>
        <v>2.2366571566879605</v>
      </c>
      <c r="X43" s="187">
        <f t="shared" si="18"/>
        <v>1</v>
      </c>
    </row>
    <row r="44" spans="1:24" x14ac:dyDescent="0.25">
      <c r="A44" s="1">
        <v>35</v>
      </c>
      <c r="B44" s="1">
        <v>590</v>
      </c>
      <c r="E44" s="4">
        <f t="shared" si="7"/>
        <v>0.67402325520499995</v>
      </c>
      <c r="F44" s="4">
        <f t="shared" si="8"/>
        <v>0.67402325520499995</v>
      </c>
      <c r="G44" s="155">
        <f t="shared" si="25"/>
        <v>0</v>
      </c>
      <c r="H44" s="155">
        <f t="shared" si="24"/>
        <v>0</v>
      </c>
      <c r="I44" s="155">
        <f t="shared" si="27"/>
        <v>0</v>
      </c>
      <c r="J44" s="3">
        <v>0.39642987134204843</v>
      </c>
      <c r="K44" s="105">
        <v>1</v>
      </c>
      <c r="L44" s="3">
        <f t="shared" si="9"/>
        <v>2.3406978625200088</v>
      </c>
      <c r="M44" s="165">
        <f t="shared" si="10"/>
        <v>2.3406978625200088</v>
      </c>
      <c r="N44" s="107">
        <f t="shared" si="26"/>
        <v>2.3406978625200088</v>
      </c>
      <c r="O44" s="165">
        <f t="shared" si="11"/>
        <v>2.3406978625200088</v>
      </c>
      <c r="P44" s="165">
        <f t="shared" si="12"/>
        <v>2.3406978625200088</v>
      </c>
      <c r="Q44" s="3">
        <f t="shared" si="13"/>
        <v>2.3406978625200088</v>
      </c>
      <c r="R44" s="153">
        <f t="shared" si="14"/>
        <v>2.3406978625200088</v>
      </c>
      <c r="S44" s="153">
        <f t="shared" si="15"/>
        <v>2.3406978625200088</v>
      </c>
      <c r="T44" s="153">
        <f t="shared" si="16"/>
        <v>2.3406978625200088</v>
      </c>
      <c r="U44" s="148">
        <f>IF('OPFOK OUDERDIEREN'!$H$15="ja",L44-((E44-G44*95%-I44)/E44*L44)*$R$6,L44-((E44-G44*80%-I44)/E44*L44)*$R$6)</f>
        <v>2.3406978625200088</v>
      </c>
      <c r="V44" s="85">
        <f t="shared" si="23"/>
        <v>2.3406978625200088</v>
      </c>
      <c r="W44" s="162">
        <f t="shared" si="17"/>
        <v>2.3406978625200088</v>
      </c>
      <c r="X44" s="187">
        <f t="shared" si="18"/>
        <v>1</v>
      </c>
    </row>
    <row r="45" spans="1:24" x14ac:dyDescent="0.25">
      <c r="A45" s="1">
        <v>36</v>
      </c>
      <c r="B45" s="1">
        <v>605.79999999999995</v>
      </c>
      <c r="E45" s="4">
        <f t="shared" si="7"/>
        <v>0.69082906256324783</v>
      </c>
      <c r="F45" s="4">
        <f t="shared" si="8"/>
        <v>0.69082906256324783</v>
      </c>
      <c r="G45" s="155">
        <f t="shared" si="25"/>
        <v>0</v>
      </c>
      <c r="H45" s="155">
        <f t="shared" si="24"/>
        <v>0</v>
      </c>
      <c r="I45" s="155">
        <f t="shared" si="27"/>
        <v>0</v>
      </c>
      <c r="J45" s="3">
        <v>0.40379170211726045</v>
      </c>
      <c r="K45" s="105">
        <v>1</v>
      </c>
      <c r="L45" s="3">
        <f t="shared" si="9"/>
        <v>2.4436111370696905</v>
      </c>
      <c r="M45" s="165">
        <f t="shared" si="10"/>
        <v>2.4436111370696905</v>
      </c>
      <c r="N45" s="107">
        <f t="shared" si="26"/>
        <v>2.4436111370696905</v>
      </c>
      <c r="O45" s="165">
        <f t="shared" si="11"/>
        <v>2.4436111370696905</v>
      </c>
      <c r="P45" s="165">
        <f t="shared" si="12"/>
        <v>2.4436111370696905</v>
      </c>
      <c r="Q45" s="3">
        <f t="shared" si="13"/>
        <v>2.4436111370696905</v>
      </c>
      <c r="R45" s="153">
        <f t="shared" si="14"/>
        <v>2.4436111370696905</v>
      </c>
      <c r="S45" s="153">
        <f t="shared" si="15"/>
        <v>2.4436111370696905</v>
      </c>
      <c r="T45" s="153">
        <f t="shared" si="16"/>
        <v>2.4436111370696905</v>
      </c>
      <c r="U45" s="148">
        <f>IF('OPFOK OUDERDIEREN'!$H$15="ja",L45-((E45-G45*95%-I45)/E45*L45)*$R$6,L45-((E45-G45*80%-I45)/E45*L45)*$R$6)</f>
        <v>2.4436111370696905</v>
      </c>
      <c r="V45" s="85">
        <f t="shared" si="23"/>
        <v>2.4436111370696905</v>
      </c>
      <c r="W45" s="162">
        <f t="shared" si="17"/>
        <v>2.4436111370696905</v>
      </c>
      <c r="X45" s="187">
        <f t="shared" si="18"/>
        <v>1</v>
      </c>
    </row>
    <row r="46" spans="1:24" x14ac:dyDescent="0.25">
      <c r="A46" s="1">
        <v>37</v>
      </c>
      <c r="B46" s="1">
        <v>621.5</v>
      </c>
      <c r="E46" s="4">
        <f t="shared" si="7"/>
        <v>0.70770445465549991</v>
      </c>
      <c r="F46" s="4">
        <f t="shared" si="8"/>
        <v>0.70770445465549991</v>
      </c>
      <c r="G46" s="155">
        <f t="shared" si="25"/>
        <v>0</v>
      </c>
      <c r="H46" s="155">
        <f t="shared" si="24"/>
        <v>0</v>
      </c>
      <c r="I46" s="155">
        <f t="shared" si="27"/>
        <v>0</v>
      </c>
      <c r="J46" s="3">
        <v>0.4112902444681652</v>
      </c>
      <c r="K46" s="105">
        <v>1</v>
      </c>
      <c r="L46" s="3">
        <f t="shared" si="9"/>
        <v>2.5497901783382781</v>
      </c>
      <c r="M46" s="165">
        <f t="shared" si="10"/>
        <v>2.5497901783382781</v>
      </c>
      <c r="N46" s="107">
        <f t="shared" si="26"/>
        <v>2.5497901783382781</v>
      </c>
      <c r="O46" s="165">
        <f t="shared" si="11"/>
        <v>2.5497901783382781</v>
      </c>
      <c r="P46" s="165">
        <f t="shared" si="12"/>
        <v>2.5497901783382781</v>
      </c>
      <c r="Q46" s="3">
        <f t="shared" si="13"/>
        <v>2.5497901783382781</v>
      </c>
      <c r="R46" s="153">
        <f t="shared" si="14"/>
        <v>2.5497901783382781</v>
      </c>
      <c r="S46" s="153">
        <f t="shared" si="15"/>
        <v>2.5497901783382781</v>
      </c>
      <c r="T46" s="153">
        <f t="shared" si="16"/>
        <v>2.5497901783382781</v>
      </c>
      <c r="U46" s="148">
        <f>IF('OPFOK OUDERDIEREN'!$H$15="ja",L46-((E46-G46*95%-I46)/E46*L46)*$R$6,L46-((E46-G46*80%-I46)/E46*L46)*$R$6)</f>
        <v>2.5497901783382781</v>
      </c>
      <c r="V46" s="85">
        <f t="shared" si="23"/>
        <v>2.5497901783382781</v>
      </c>
      <c r="W46" s="162">
        <f t="shared" si="17"/>
        <v>2.5497901783382781</v>
      </c>
      <c r="X46" s="187">
        <f t="shared" si="18"/>
        <v>1</v>
      </c>
    </row>
    <row r="47" spans="1:24" x14ac:dyDescent="0.25">
      <c r="A47" s="1">
        <v>38</v>
      </c>
      <c r="B47" s="1">
        <v>637.20000000000005</v>
      </c>
      <c r="E47" s="4">
        <f t="shared" si="7"/>
        <v>0.72476417394167203</v>
      </c>
      <c r="F47" s="4">
        <f t="shared" si="8"/>
        <v>0.72476417394167203</v>
      </c>
      <c r="G47" s="155">
        <f t="shared" si="25"/>
        <v>0</v>
      </c>
      <c r="H47" s="155">
        <f t="shared" si="24"/>
        <v>0</v>
      </c>
      <c r="I47" s="155">
        <f t="shared" si="27"/>
        <v>0</v>
      </c>
      <c r="J47" s="3">
        <v>0.41892803717288729</v>
      </c>
      <c r="K47" s="105">
        <v>1</v>
      </c>
      <c r="L47" s="3">
        <f t="shared" si="9"/>
        <v>2.6597465273508965</v>
      </c>
      <c r="M47" s="165">
        <f t="shared" si="10"/>
        <v>2.6597465273508965</v>
      </c>
      <c r="N47" s="107">
        <f t="shared" si="26"/>
        <v>2.6597465273508965</v>
      </c>
      <c r="O47" s="165">
        <f t="shared" si="11"/>
        <v>2.6597465273508965</v>
      </c>
      <c r="P47" s="165">
        <f t="shared" si="12"/>
        <v>2.6597465273508965</v>
      </c>
      <c r="Q47" s="3">
        <f t="shared" si="13"/>
        <v>2.6597465273508965</v>
      </c>
      <c r="R47" s="153">
        <f t="shared" si="14"/>
        <v>2.6597465273508965</v>
      </c>
      <c r="S47" s="153">
        <f t="shared" si="15"/>
        <v>2.6597465273508965</v>
      </c>
      <c r="T47" s="153">
        <f t="shared" si="16"/>
        <v>2.6597465273508965</v>
      </c>
      <c r="U47" s="148">
        <f>IF('OPFOK OUDERDIEREN'!$H$15="ja",L47-((E47-G47*95%-I47)/E47*L47)*$R$6,L47-((E47-G47*80%-I47)/E47*L47)*$R$6)</f>
        <v>2.6597465273508965</v>
      </c>
      <c r="V47" s="85">
        <f t="shared" si="23"/>
        <v>2.6597465273508965</v>
      </c>
      <c r="W47" s="162">
        <f t="shared" si="17"/>
        <v>2.6597465273508965</v>
      </c>
      <c r="X47" s="187">
        <f t="shared" si="18"/>
        <v>1</v>
      </c>
    </row>
    <row r="48" spans="1:24" x14ac:dyDescent="0.25">
      <c r="A48" s="1">
        <v>39</v>
      </c>
      <c r="B48" s="1">
        <v>652.9</v>
      </c>
      <c r="E48" s="4">
        <f t="shared" si="7"/>
        <v>0.74201713665523594</v>
      </c>
      <c r="F48" s="4">
        <f t="shared" si="8"/>
        <v>0.74201713665523594</v>
      </c>
      <c r="G48" s="155">
        <f t="shared" si="25"/>
        <v>0</v>
      </c>
      <c r="H48" s="155">
        <f t="shared" si="24"/>
        <v>0</v>
      </c>
      <c r="I48" s="155">
        <f t="shared" si="27"/>
        <v>0</v>
      </c>
      <c r="J48" s="3">
        <v>0.42670766615548111</v>
      </c>
      <c r="K48" s="105">
        <v>1</v>
      </c>
      <c r="L48" s="3">
        <f t="shared" si="9"/>
        <v>2.7736297495146687</v>
      </c>
      <c r="M48" s="165">
        <f t="shared" si="10"/>
        <v>2.7736297495146687</v>
      </c>
      <c r="N48" s="107">
        <f t="shared" si="26"/>
        <v>2.7736297495146687</v>
      </c>
      <c r="O48" s="165">
        <f t="shared" si="11"/>
        <v>2.7736297495146687</v>
      </c>
      <c r="P48" s="165">
        <f t="shared" si="12"/>
        <v>2.7736297495146687</v>
      </c>
      <c r="Q48" s="3">
        <f t="shared" si="13"/>
        <v>2.7736297495146687</v>
      </c>
      <c r="R48" s="153">
        <f t="shared" si="14"/>
        <v>2.7736297495146687</v>
      </c>
      <c r="S48" s="153">
        <f>IF(E48-G48-H48&gt;=0,L48-((E48-G48-H48)/E48*L48)*$R$6,IF(G48&gt;H48,L48-((E48-G48)/E48*L48)*$R$6,L48-((E48-H48)/E48*L48)*$R$6))</f>
        <v>2.7736297495146687</v>
      </c>
      <c r="T48" s="153">
        <f t="shared" si="16"/>
        <v>2.7736297495146687</v>
      </c>
      <c r="U48" s="148">
        <f>IF('OPFOK OUDERDIEREN'!$H$15="ja",L48-((E48-G48*95%-I48)/E48*L48)*$R$6,L48-((E48-G48*80%-I48)/E48*L48)*$R$6)</f>
        <v>2.7736297495146687</v>
      </c>
      <c r="V48" s="85">
        <f t="shared" si="23"/>
        <v>2.7736297495146687</v>
      </c>
      <c r="W48" s="162">
        <f t="shared" si="17"/>
        <v>2.7736297495146687</v>
      </c>
      <c r="X48" s="187">
        <f t="shared" si="18"/>
        <v>1</v>
      </c>
    </row>
    <row r="49" spans="1:24" x14ac:dyDescent="0.25">
      <c r="A49" s="1">
        <v>40</v>
      </c>
      <c r="B49" s="1">
        <v>668.6</v>
      </c>
      <c r="E49" s="4">
        <f t="shared" si="7"/>
        <v>0.75947225902966398</v>
      </c>
      <c r="F49" s="4">
        <f t="shared" si="8"/>
        <v>0.75947225902966398</v>
      </c>
      <c r="G49" s="155">
        <f t="shared" si="25"/>
        <v>0</v>
      </c>
      <c r="H49" s="155">
        <f t="shared" si="24"/>
        <v>0</v>
      </c>
      <c r="I49" s="155">
        <f t="shared" si="27"/>
        <v>0</v>
      </c>
      <c r="J49" s="3">
        <v>0.43463176536144604</v>
      </c>
      <c r="K49" s="105">
        <v>1</v>
      </c>
      <c r="L49" s="3">
        <f t="shared" si="9"/>
        <v>2.8915951336815486</v>
      </c>
      <c r="M49" s="165">
        <f t="shared" si="10"/>
        <v>2.8915951336815486</v>
      </c>
      <c r="N49" s="107">
        <f t="shared" si="26"/>
        <v>2.8915951336815486</v>
      </c>
      <c r="O49" s="165">
        <f t="shared" si="11"/>
        <v>2.8915951336815486</v>
      </c>
      <c r="P49" s="165">
        <f t="shared" si="12"/>
        <v>2.8915951336815486</v>
      </c>
      <c r="Q49" s="3">
        <f t="shared" si="13"/>
        <v>2.8915951336815486</v>
      </c>
      <c r="R49" s="153">
        <f t="shared" si="14"/>
        <v>2.8915951336815486</v>
      </c>
      <c r="S49" s="153">
        <f t="shared" si="15"/>
        <v>2.8915951336815486</v>
      </c>
      <c r="T49" s="153">
        <f t="shared" si="16"/>
        <v>2.8915951336815486</v>
      </c>
      <c r="U49" s="148">
        <f>IF('OPFOK OUDERDIEREN'!$H$15="ja",L49-((E49-G49*95%-I49)/E49*L49)*$R$6,L49-((E49-G49*80%-I49)/E49*L49)*$R$6)</f>
        <v>2.8915951336815486</v>
      </c>
      <c r="V49" s="85">
        <f t="shared" si="23"/>
        <v>2.8915951336815486</v>
      </c>
      <c r="W49" s="162">
        <f t="shared" si="17"/>
        <v>2.8915951336815486</v>
      </c>
      <c r="X49" s="187">
        <f t="shared" si="18"/>
        <v>1</v>
      </c>
    </row>
    <row r="50" spans="1:24" x14ac:dyDescent="0.25">
      <c r="A50" s="1">
        <v>41</v>
      </c>
      <c r="B50" s="1">
        <v>684.3</v>
      </c>
      <c r="E50" s="4">
        <f t="shared" si="7"/>
        <v>0.7771384572984279</v>
      </c>
      <c r="F50" s="4">
        <f t="shared" si="8"/>
        <v>0.7771384572984279</v>
      </c>
      <c r="G50" s="155">
        <f t="shared" si="25"/>
        <v>0</v>
      </c>
      <c r="H50" s="155">
        <f t="shared" si="24"/>
        <v>0</v>
      </c>
      <c r="I50" s="155">
        <f t="shared" si="27"/>
        <v>0</v>
      </c>
      <c r="J50" s="3">
        <v>0.44270301764950043</v>
      </c>
      <c r="K50" s="105">
        <v>1</v>
      </c>
      <c r="L50" s="3">
        <f t="shared" si="9"/>
        <v>3.0138038919548249</v>
      </c>
      <c r="M50" s="165">
        <f t="shared" si="10"/>
        <v>3.0138038919548249</v>
      </c>
      <c r="N50" s="107">
        <f t="shared" si="26"/>
        <v>3.0138038919548249</v>
      </c>
      <c r="O50" s="165">
        <f t="shared" si="11"/>
        <v>3.0138038919548249</v>
      </c>
      <c r="P50" s="165">
        <f t="shared" si="12"/>
        <v>3.0138038919548249</v>
      </c>
      <c r="Q50" s="3">
        <f t="shared" si="13"/>
        <v>3.0138038919548249</v>
      </c>
      <c r="R50" s="153">
        <f t="shared" si="14"/>
        <v>3.0138038919548249</v>
      </c>
      <c r="S50" s="153">
        <f t="shared" si="15"/>
        <v>3.0138038919548249</v>
      </c>
      <c r="T50" s="153">
        <f t="shared" si="16"/>
        <v>3.0138038919548249</v>
      </c>
      <c r="U50" s="148">
        <f>IF('OPFOK OUDERDIEREN'!$H$15="ja",L50-((E50-G50*95%-I50)/E50*L50)*$R$6,L50-((E50-G50*80%-I50)/E50*L50)*$R$6)</f>
        <v>3.0138038919548249</v>
      </c>
      <c r="V50" s="85">
        <f t="shared" si="23"/>
        <v>3.0138038919548249</v>
      </c>
      <c r="W50" s="162">
        <f t="shared" si="17"/>
        <v>3.0138038919548249</v>
      </c>
      <c r="X50" s="187">
        <f t="shared" si="18"/>
        <v>1</v>
      </c>
    </row>
    <row r="51" spans="1:24" x14ac:dyDescent="0.25">
      <c r="A51" s="1">
        <v>42</v>
      </c>
      <c r="B51" s="1">
        <v>700</v>
      </c>
      <c r="E51" s="4">
        <f t="shared" si="7"/>
        <v>0.79502464769500003</v>
      </c>
      <c r="F51" s="4">
        <f t="shared" si="8"/>
        <v>0.79502464769500003</v>
      </c>
      <c r="G51" s="155">
        <f t="shared" si="25"/>
        <v>0</v>
      </c>
      <c r="H51" s="155">
        <f t="shared" si="24"/>
        <v>0</v>
      </c>
      <c r="I51" s="155">
        <f>MIN(R$5,E51-G51)</f>
        <v>0</v>
      </c>
      <c r="J51" s="3">
        <v>0.45092415569991562</v>
      </c>
      <c r="K51" s="105">
        <v>1</v>
      </c>
      <c r="L51" s="3">
        <f t="shared" si="9"/>
        <v>3.1404233658770195</v>
      </c>
      <c r="M51" s="165">
        <f t="shared" si="10"/>
        <v>3.1404233658770195</v>
      </c>
      <c r="N51" s="107">
        <f t="shared" si="26"/>
        <v>3.1404233658770195</v>
      </c>
      <c r="O51" s="165">
        <f t="shared" si="11"/>
        <v>3.1404233658770195</v>
      </c>
      <c r="P51" s="165">
        <f t="shared" si="12"/>
        <v>3.1404233658770195</v>
      </c>
      <c r="Q51" s="3">
        <f t="shared" si="13"/>
        <v>3.1404233658770195</v>
      </c>
      <c r="R51" s="153">
        <f>IF(E51-G51-H51&gt;=0,L51-((E51-G51*80%-H51*95%)/E51*L51)*$R$6,IF(G51&gt;H51,L51-((E51-G51)/E51*L51)*$R$6,L51-((E51-H51)/E51*L51)*$R$6))</f>
        <v>3.1404233658770195</v>
      </c>
      <c r="S51" s="153">
        <f t="shared" si="15"/>
        <v>3.1404233658770195</v>
      </c>
      <c r="T51" s="153">
        <f t="shared" si="16"/>
        <v>3.1404233658770195</v>
      </c>
      <c r="U51" s="148">
        <f>IF('OPFOK OUDERDIEREN'!$H$15="ja",L51-((E51-G51*95%-I51)/E51*L51)*$R$6,L51-((E51-G51*80%-I51)/E51*L51)*$R$6)</f>
        <v>3.1404233658770195</v>
      </c>
      <c r="V51" s="85">
        <f t="shared" si="23"/>
        <v>3.1404233658770195</v>
      </c>
      <c r="W51" s="162">
        <f t="shared" si="17"/>
        <v>3.1404233658770195</v>
      </c>
      <c r="X51" s="187">
        <f t="shared" si="18"/>
        <v>1</v>
      </c>
    </row>
    <row r="52" spans="1:24" x14ac:dyDescent="0.25">
      <c r="A52" s="1">
        <v>43</v>
      </c>
      <c r="B52" s="1">
        <v>714.2</v>
      </c>
      <c r="E52" s="4">
        <f t="shared" si="7"/>
        <v>0.81139886961843199</v>
      </c>
      <c r="F52" s="4">
        <f t="shared" ref="F52:F58" si="28">E52-G52</f>
        <v>0.81139886961843199</v>
      </c>
      <c r="G52" s="155">
        <f t="shared" ref="G52:G58" si="29">IF($R$4&gt;0&lt;E52,E52,IF($R$4&gt;E52,E52,$R$4))</f>
        <v>0</v>
      </c>
      <c r="H52" s="155">
        <f t="shared" ref="H52:H58" si="30">IF(E52&lt;$R$5,E52-G52,$R$5)</f>
        <v>0</v>
      </c>
      <c r="I52" s="155">
        <f t="shared" ref="I52:I58" si="31">MIN(R$5,E52-G52)</f>
        <v>0</v>
      </c>
      <c r="J52" s="3">
        <v>0.45929796293971847</v>
      </c>
      <c r="K52" s="105">
        <v>1</v>
      </c>
      <c r="L52" s="3">
        <f t="shared" si="9"/>
        <v>3.2646229080186639</v>
      </c>
      <c r="M52" s="165">
        <f t="shared" si="10"/>
        <v>3.2646229080186639</v>
      </c>
      <c r="N52" s="107">
        <f t="shared" ref="N52:N58" si="32">(((($J52*(1-$R$2))-$J$3)/1000*$F52*24*365*$K52)*(1-R$5))+(((($J52*(1-$R$2))-$J$3)/1000*$G52*24*365*$K52)*(1-R$3))</f>
        <v>3.2646229080186639</v>
      </c>
      <c r="O52" s="165">
        <f t="shared" ref="O52:O58" si="33">(((($J52)-$J$3)/1000*$F52*24*365*$K52))+(((($J52*(1-$R$2))-$J$3)/1000*$G52*24*365*$K52)*(1-R$3))</f>
        <v>3.2646229080186639</v>
      </c>
      <c r="P52" s="165">
        <f t="shared" si="12"/>
        <v>3.2646229080186639</v>
      </c>
      <c r="Q52" s="3">
        <f t="shared" si="13"/>
        <v>3.2646229080186639</v>
      </c>
      <c r="R52" s="153">
        <f t="shared" ref="R52:R58" si="34">IF(E52-G52-H52&gt;=0,L52-((E52-G52*80%-H52*95%)/E52*L52)*$R$6,IF(G52&gt;H52,L52-((E52-G52)/E52*L52)*$R$6,L52-((E52-H52)/E52*L52)*$R$6))</f>
        <v>3.2646229080186639</v>
      </c>
      <c r="S52" s="153">
        <f t="shared" ref="S52:S58" si="35">IF(E52-G52-H52&gt;=0,L52-((E52-G52-H52)/E52*L52)*$R$6,IF(G52&gt;H52,L52-((E52-G52)/E52*L52)*$R$6,L52-((E52-H52)/E52*L52)*$R$6))</f>
        <v>3.2646229080186639</v>
      </c>
      <c r="T52" s="153">
        <f t="shared" ref="T52:T58" si="36">L52-(E52-H52)/E52*L52*$R$6</f>
        <v>3.2646229080186639</v>
      </c>
      <c r="U52" s="148">
        <f>IF('OPFOK OUDERDIEREN'!$H$15="ja",L52-((E52-G52*95%-I52)/E52*L52)*$R$6,L52-((E52-G52*80%-I52)/E52*L52)*$R$6)</f>
        <v>3.2646229080186639</v>
      </c>
      <c r="V52" s="85">
        <f t="shared" ref="V52:V58" si="37">L52-((E52-G52-I52)/E52*L52)*$R$6</f>
        <v>3.2646229080186639</v>
      </c>
      <c r="W52" s="162">
        <f t="shared" ref="W52:W58" si="38">L52-(E52-H52)/E52*L52*$R$6</f>
        <v>3.2646229080186639</v>
      </c>
      <c r="X52" s="187"/>
    </row>
    <row r="53" spans="1:24" x14ac:dyDescent="0.25">
      <c r="A53" s="1">
        <v>44</v>
      </c>
      <c r="B53" s="1">
        <v>728.5</v>
      </c>
      <c r="E53" s="4">
        <f t="shared" si="7"/>
        <v>0.82808432561649992</v>
      </c>
      <c r="F53" s="4">
        <f t="shared" si="28"/>
        <v>0.82808432561649992</v>
      </c>
      <c r="G53" s="155">
        <f t="shared" si="29"/>
        <v>0</v>
      </c>
      <c r="H53" s="155">
        <f t="shared" si="30"/>
        <v>0</v>
      </c>
      <c r="I53" s="155">
        <f t="shared" si="31"/>
        <v>0</v>
      </c>
      <c r="J53" s="3">
        <v>0.46782727448507472</v>
      </c>
      <c r="K53" s="105">
        <v>1</v>
      </c>
      <c r="L53" s="3">
        <f t="shared" si="9"/>
        <v>3.3936277939295296</v>
      </c>
      <c r="M53" s="165">
        <f t="shared" si="10"/>
        <v>3.3936277939295296</v>
      </c>
      <c r="N53" s="107">
        <f t="shared" si="32"/>
        <v>3.3936277939295296</v>
      </c>
      <c r="O53" s="165">
        <f t="shared" si="33"/>
        <v>3.3936277939295296</v>
      </c>
      <c r="P53" s="165">
        <f t="shared" si="12"/>
        <v>3.3936277939295296</v>
      </c>
      <c r="Q53" s="3">
        <f t="shared" si="13"/>
        <v>3.3936277939295296</v>
      </c>
      <c r="R53" s="153">
        <f t="shared" si="34"/>
        <v>3.3936277939295296</v>
      </c>
      <c r="S53" s="153">
        <f t="shared" si="35"/>
        <v>3.3936277939295296</v>
      </c>
      <c r="T53" s="153">
        <f t="shared" si="36"/>
        <v>3.3936277939295296</v>
      </c>
      <c r="U53" s="148">
        <f>IF('OPFOK OUDERDIEREN'!$H$15="ja",L53-((E53-G53*95%-I53)/E53*L53)*$R$6,L53-((E53-G53*80%-I53)/E53*L53)*$R$6)</f>
        <v>3.3936277939295296</v>
      </c>
      <c r="V53" s="85">
        <f t="shared" si="37"/>
        <v>3.3936277939295296</v>
      </c>
      <c r="W53" s="162">
        <f t="shared" si="38"/>
        <v>3.3936277939295296</v>
      </c>
      <c r="X53" s="187"/>
    </row>
    <row r="54" spans="1:24" x14ac:dyDescent="0.25">
      <c r="A54" s="1">
        <v>45</v>
      </c>
      <c r="B54" s="1">
        <v>742.8</v>
      </c>
      <c r="E54" s="4">
        <f t="shared" si="7"/>
        <v>0.84497311338320791</v>
      </c>
      <c r="F54" s="4">
        <f t="shared" si="28"/>
        <v>0.84497311338320791</v>
      </c>
      <c r="G54" s="155">
        <f t="shared" si="29"/>
        <v>0</v>
      </c>
      <c r="H54" s="155">
        <f t="shared" si="30"/>
        <v>0</v>
      </c>
      <c r="I54" s="155">
        <f t="shared" si="31"/>
        <v>0</v>
      </c>
      <c r="J54" s="3">
        <v>0.47651497810117321</v>
      </c>
      <c r="K54" s="105">
        <v>1</v>
      </c>
      <c r="L54" s="3">
        <f t="shared" si="9"/>
        <v>3.5271469388701444</v>
      </c>
      <c r="M54" s="165">
        <f t="shared" si="10"/>
        <v>3.5271469388701444</v>
      </c>
      <c r="N54" s="107">
        <f t="shared" si="32"/>
        <v>3.5271469388701444</v>
      </c>
      <c r="O54" s="165">
        <f t="shared" si="33"/>
        <v>3.5271469388701444</v>
      </c>
      <c r="P54" s="165">
        <f t="shared" si="12"/>
        <v>3.5271469388701444</v>
      </c>
      <c r="Q54" s="3">
        <f t="shared" si="13"/>
        <v>3.5271469388701444</v>
      </c>
      <c r="R54" s="153">
        <f t="shared" si="34"/>
        <v>3.5271469388701444</v>
      </c>
      <c r="S54" s="153">
        <f t="shared" si="35"/>
        <v>3.5271469388701444</v>
      </c>
      <c r="T54" s="153">
        <f t="shared" si="36"/>
        <v>3.5271469388701444</v>
      </c>
      <c r="U54" s="148">
        <f>IF('OPFOK OUDERDIEREN'!$H$15="ja",L54-((E54-G54*95%-I54)/E54*L54)*$R$6,L54-((E54-G54*80%-I54)/E54*L54)*$R$6)</f>
        <v>3.5271469388701444</v>
      </c>
      <c r="V54" s="85">
        <f t="shared" si="37"/>
        <v>3.5271469388701444</v>
      </c>
      <c r="W54" s="162">
        <f t="shared" si="38"/>
        <v>3.5271469388701444</v>
      </c>
      <c r="X54" s="187"/>
    </row>
    <row r="55" spans="1:24" x14ac:dyDescent="0.25">
      <c r="A55" s="1">
        <v>46</v>
      </c>
      <c r="B55" s="1">
        <v>757.1</v>
      </c>
      <c r="E55" s="4">
        <f t="shared" si="7"/>
        <v>0.86207197029148397</v>
      </c>
      <c r="F55" s="4">
        <f t="shared" si="28"/>
        <v>0.86207197029148397</v>
      </c>
      <c r="G55" s="155">
        <f t="shared" si="29"/>
        <v>0</v>
      </c>
      <c r="H55" s="155">
        <f t="shared" si="30"/>
        <v>0</v>
      </c>
      <c r="I55" s="155">
        <f t="shared" si="31"/>
        <v>0</v>
      </c>
      <c r="J55" s="3">
        <v>0.48536401517993538</v>
      </c>
      <c r="K55" s="105">
        <v>1</v>
      </c>
      <c r="L55" s="3">
        <f t="shared" si="9"/>
        <v>3.6653479247828336</v>
      </c>
      <c r="M55" s="165">
        <f t="shared" si="10"/>
        <v>3.6653479247828336</v>
      </c>
      <c r="N55" s="107">
        <f t="shared" si="32"/>
        <v>3.6653479247828336</v>
      </c>
      <c r="O55" s="165">
        <f t="shared" si="33"/>
        <v>3.6653479247828336</v>
      </c>
      <c r="P55" s="165">
        <f t="shared" si="12"/>
        <v>3.6653479247828336</v>
      </c>
      <c r="Q55" s="3">
        <f t="shared" si="13"/>
        <v>3.6653479247828336</v>
      </c>
      <c r="R55" s="153">
        <f t="shared" si="34"/>
        <v>3.6653479247828336</v>
      </c>
      <c r="S55" s="153">
        <f t="shared" si="35"/>
        <v>3.6653479247828336</v>
      </c>
      <c r="T55" s="153">
        <f t="shared" si="36"/>
        <v>3.6653479247828336</v>
      </c>
      <c r="U55" s="148">
        <f>IF('OPFOK OUDERDIEREN'!$H$15="ja",L55-((E55-G55*95%-I55)/E55*L55)*$R$6,L55-((E55-G55*80%-I55)/E55*L55)*$R$6)</f>
        <v>3.6653479247828336</v>
      </c>
      <c r="V55" s="85">
        <f t="shared" si="37"/>
        <v>3.6653479247828336</v>
      </c>
      <c r="W55" s="162">
        <f t="shared" si="38"/>
        <v>3.6653479247828336</v>
      </c>
      <c r="X55" s="187"/>
    </row>
    <row r="56" spans="1:24" x14ac:dyDescent="0.25">
      <c r="A56" s="1">
        <v>47</v>
      </c>
      <c r="B56" s="1">
        <v>771.4</v>
      </c>
      <c r="E56" s="4">
        <f t="shared" si="7"/>
        <v>0.87938763371425588</v>
      </c>
      <c r="F56" s="4">
        <f t="shared" si="28"/>
        <v>0.87938763371425588</v>
      </c>
      <c r="G56" s="155">
        <f t="shared" si="29"/>
        <v>0</v>
      </c>
      <c r="H56" s="155">
        <f t="shared" si="30"/>
        <v>0</v>
      </c>
      <c r="I56" s="155">
        <f t="shared" si="31"/>
        <v>0</v>
      </c>
      <c r="J56" s="3">
        <v>0.49437738173588069</v>
      </c>
      <c r="K56" s="105">
        <v>1</v>
      </c>
      <c r="L56" s="3">
        <f t="shared" si="9"/>
        <v>3.8084043575663138</v>
      </c>
      <c r="M56" s="165">
        <f t="shared" si="10"/>
        <v>3.8084043575663138</v>
      </c>
      <c r="N56" s="107">
        <f t="shared" si="32"/>
        <v>3.8084043575663138</v>
      </c>
      <c r="O56" s="165">
        <f t="shared" si="33"/>
        <v>3.8084043575663138</v>
      </c>
      <c r="P56" s="165">
        <f t="shared" si="12"/>
        <v>3.8084043575663138</v>
      </c>
      <c r="Q56" s="3">
        <f t="shared" si="13"/>
        <v>3.8084043575663138</v>
      </c>
      <c r="R56" s="153">
        <f t="shared" si="34"/>
        <v>3.8084043575663138</v>
      </c>
      <c r="S56" s="153">
        <f t="shared" si="35"/>
        <v>3.8084043575663138</v>
      </c>
      <c r="T56" s="153">
        <f t="shared" si="36"/>
        <v>3.8084043575663138</v>
      </c>
      <c r="U56" s="148">
        <f>IF('OPFOK OUDERDIEREN'!$H$15="ja",L56-((E56-G56*95%-I56)/E56*L56)*$R$6,L56-((E56-G56*80%-I56)/E56*L56)*$R$6)</f>
        <v>3.8084043575663138</v>
      </c>
      <c r="V56" s="85">
        <f t="shared" si="37"/>
        <v>3.8084043575663138</v>
      </c>
      <c r="W56" s="162">
        <f t="shared" si="38"/>
        <v>3.8084043575663138</v>
      </c>
      <c r="X56" s="187"/>
    </row>
    <row r="57" spans="1:24" x14ac:dyDescent="0.25">
      <c r="A57" s="1">
        <v>48</v>
      </c>
      <c r="B57" s="1">
        <v>785.7</v>
      </c>
      <c r="E57" s="4">
        <f t="shared" si="7"/>
        <v>0.89692684102445208</v>
      </c>
      <c r="F57" s="4">
        <f t="shared" si="28"/>
        <v>0.89692684102445208</v>
      </c>
      <c r="G57" s="155">
        <f t="shared" si="29"/>
        <v>0</v>
      </c>
      <c r="H57" s="155">
        <f t="shared" si="30"/>
        <v>0</v>
      </c>
      <c r="I57" s="155">
        <f t="shared" si="31"/>
        <v>0</v>
      </c>
      <c r="J57" s="3">
        <v>0.50355812942048617</v>
      </c>
      <c r="K57" s="105">
        <v>1</v>
      </c>
      <c r="L57" s="3">
        <f t="shared" si="9"/>
        <v>3.9564960680892978</v>
      </c>
      <c r="M57" s="165">
        <f t="shared" si="10"/>
        <v>3.9564960680892978</v>
      </c>
      <c r="N57" s="107">
        <f t="shared" si="32"/>
        <v>3.9564960680892978</v>
      </c>
      <c r="O57" s="165">
        <f t="shared" si="33"/>
        <v>3.9564960680892978</v>
      </c>
      <c r="P57" s="165">
        <f t="shared" si="12"/>
        <v>3.9564960680892978</v>
      </c>
      <c r="Q57" s="3">
        <f t="shared" si="13"/>
        <v>3.9564960680892978</v>
      </c>
      <c r="R57" s="153">
        <f t="shared" si="34"/>
        <v>3.9564960680892978</v>
      </c>
      <c r="S57" s="153">
        <f t="shared" si="35"/>
        <v>3.9564960680892978</v>
      </c>
      <c r="T57" s="153">
        <f t="shared" si="36"/>
        <v>3.9564960680892978</v>
      </c>
      <c r="U57" s="148">
        <f>IF('OPFOK OUDERDIEREN'!$H$15="ja",L57-((E57-G57*95%-I57)/E57*L57)*$R$6,L57-((E57-G57*80%-I57)/E57*L57)*$R$6)</f>
        <v>3.9564960680892978</v>
      </c>
      <c r="V57" s="85">
        <f t="shared" si="37"/>
        <v>3.9564960680892978</v>
      </c>
      <c r="W57" s="162">
        <f t="shared" si="38"/>
        <v>3.9564960680892978</v>
      </c>
      <c r="X57" s="187"/>
    </row>
    <row r="58" spans="1:24" x14ac:dyDescent="0.25">
      <c r="A58" s="1">
        <v>49</v>
      </c>
      <c r="B58" s="1">
        <v>800</v>
      </c>
      <c r="E58" s="4">
        <f t="shared" si="7"/>
        <v>0.91469632959499991</v>
      </c>
      <c r="F58" s="4">
        <f t="shared" si="28"/>
        <v>0.91469632959499991</v>
      </c>
      <c r="G58" s="155">
        <f t="shared" si="29"/>
        <v>0</v>
      </c>
      <c r="H58" s="155">
        <f t="shared" si="30"/>
        <v>0</v>
      </c>
      <c r="I58" s="155">
        <f t="shared" si="31"/>
        <v>0</v>
      </c>
      <c r="J58" s="3">
        <v>0.51290936655538244</v>
      </c>
      <c r="K58" s="105">
        <v>1</v>
      </c>
      <c r="L58" s="3">
        <f t="shared" si="9"/>
        <v>4.109809319427197</v>
      </c>
      <c r="M58" s="165">
        <f t="shared" si="10"/>
        <v>4.109809319427197</v>
      </c>
      <c r="N58" s="107">
        <f t="shared" si="32"/>
        <v>4.109809319427197</v>
      </c>
      <c r="O58" s="165">
        <f t="shared" si="33"/>
        <v>4.109809319427197</v>
      </c>
      <c r="P58" s="165">
        <f t="shared" si="12"/>
        <v>4.109809319427197</v>
      </c>
      <c r="Q58" s="3">
        <f t="shared" si="13"/>
        <v>4.109809319427197</v>
      </c>
      <c r="R58" s="153">
        <f t="shared" si="34"/>
        <v>4.109809319427197</v>
      </c>
      <c r="S58" s="153">
        <f t="shared" si="35"/>
        <v>4.109809319427197</v>
      </c>
      <c r="T58" s="153">
        <f t="shared" si="36"/>
        <v>4.109809319427197</v>
      </c>
      <c r="U58" s="148">
        <f>IF('OPFOK OUDERDIEREN'!$H$15="ja",L58-((E58-G58*95%-I58)/E58*L58)*$R$6,L58-((E58-G58*80%-I58)/E58*L58)*$R$6)</f>
        <v>4.109809319427197</v>
      </c>
      <c r="V58" s="85">
        <f t="shared" si="37"/>
        <v>4.109809319427197</v>
      </c>
      <c r="W58" s="162">
        <f t="shared" si="38"/>
        <v>4.109809319427197</v>
      </c>
      <c r="X58" s="187"/>
    </row>
    <row r="59" spans="1:24" x14ac:dyDescent="0.25">
      <c r="A59" s="1">
        <v>50</v>
      </c>
      <c r="B59" s="1">
        <v>814.2</v>
      </c>
      <c r="E59" s="4">
        <f t="shared" ref="E59:E122" si="39">0.000000000384*B59^3-0.000000342064*B59^2+0.001060852819*B59+0.088327034395</f>
        <v>0.932576078686432</v>
      </c>
      <c r="F59" s="4">
        <f t="shared" ref="F59:F122" si="40">E59-G59</f>
        <v>0.932576078686432</v>
      </c>
      <c r="G59" s="155">
        <f t="shared" ref="G59:G122" si="41">IF($R$4&gt;0&lt;E59,E59,IF($R$4&gt;E59,E59,$R$4))</f>
        <v>0</v>
      </c>
      <c r="H59" s="155">
        <f t="shared" ref="H59:H122" si="42">IF(E59&lt;$R$5,E59-G59,$R$5)</f>
        <v>0</v>
      </c>
      <c r="I59" s="155">
        <f t="shared" ref="I59:I122" si="43">MIN(R$5,E59-G59)</f>
        <v>0</v>
      </c>
      <c r="J59" s="3">
        <v>0.52243425918473718</v>
      </c>
      <c r="K59" s="105">
        <v>1</v>
      </c>
      <c r="L59" s="3">
        <f t="shared" ref="L59:L122" si="44">J59/1000*E59*24*365</f>
        <v>4.267956908945111</v>
      </c>
      <c r="M59" s="165">
        <f t="shared" si="10"/>
        <v>4.267956908945111</v>
      </c>
      <c r="N59" s="107">
        <f t="shared" ref="N59:N122" si="45">(((($J59*(1-$R$2))-$J$3)/1000*$F59*24*365*$K59)*(1-R$5))+(((($J59*(1-$R$2))-$J$3)/1000*$G59*24*365*$K59)*(1-R$3))</f>
        <v>4.267956908945111</v>
      </c>
      <c r="O59" s="165">
        <f t="shared" ref="O59:O122" si="46">(((($J59)-$J$3)/1000*$F59*24*365*$K59))+(((($J59*(1-$R$2))-$J$3)/1000*$G59*24*365*$K59)*(1-R$3))</f>
        <v>4.267956908945111</v>
      </c>
      <c r="P59" s="165">
        <f t="shared" si="12"/>
        <v>4.267956908945111</v>
      </c>
      <c r="Q59" s="3">
        <f t="shared" si="13"/>
        <v>4.267956908945111</v>
      </c>
      <c r="R59" s="153">
        <f t="shared" ref="R59:R122" si="47">IF(E59-G59-H59&gt;=0,L59-((E59-G59*80%-H59*95%)/E59*L59)*$R$6,IF(G59&gt;H59,L59-((E59-G59)/E59*L59)*$R$6,L59-((E59-H59)/E59*L59)*$R$6))</f>
        <v>4.267956908945111</v>
      </c>
      <c r="S59" s="153">
        <f t="shared" ref="S59:S122" si="48">IF(E59-G59-H59&gt;=0,L59-((E59-G59-H59)/E59*L59)*$R$6,IF(G59&gt;H59,L59-((E59-G59)/E59*L59)*$R$6,L59-((E59-H59)/E59*L59)*$R$6))</f>
        <v>4.267956908945111</v>
      </c>
      <c r="T59" s="153">
        <f t="shared" ref="T59:T122" si="49">L59-(E59-H59)/E59*L59*$R$6</f>
        <v>4.267956908945111</v>
      </c>
      <c r="U59" s="148">
        <f>IF('OPFOK OUDERDIEREN'!$H$15="ja",L59-((E59-G59*95%-I59)/E59*L59)*$R$6,L59-((E59-G59*80%-I59)/E59*L59)*$R$6)</f>
        <v>4.267956908945111</v>
      </c>
      <c r="V59" s="85">
        <f t="shared" ref="V59:V122" si="50">L59-((E59-G59-I59)/E59*L59)*$R$6</f>
        <v>4.267956908945111</v>
      </c>
      <c r="W59" s="162">
        <f t="shared" ref="W59:W122" si="51">L59-(E59-H59)/E59*L59*$R$6</f>
        <v>4.267956908945111</v>
      </c>
      <c r="X59" s="187"/>
    </row>
    <row r="60" spans="1:24" x14ac:dyDescent="0.25">
      <c r="A60" s="1">
        <v>51</v>
      </c>
      <c r="B60" s="1">
        <v>828.5</v>
      </c>
      <c r="E60" s="4">
        <f t="shared" si="39"/>
        <v>0.95082461391649997</v>
      </c>
      <c r="F60" s="4">
        <f t="shared" si="40"/>
        <v>0.95082461391649997</v>
      </c>
      <c r="G60" s="155">
        <f t="shared" si="41"/>
        <v>0</v>
      </c>
      <c r="H60" s="155">
        <f t="shared" si="42"/>
        <v>0</v>
      </c>
      <c r="I60" s="155">
        <f t="shared" si="43"/>
        <v>0</v>
      </c>
      <c r="J60" s="3">
        <v>0.53213603214718075</v>
      </c>
      <c r="K60" s="105">
        <v>1</v>
      </c>
      <c r="L60" s="3">
        <f t="shared" si="44"/>
        <v>4.4322800069004362</v>
      </c>
      <c r="M60" s="165">
        <f t="shared" si="10"/>
        <v>4.4322800069004362</v>
      </c>
      <c r="N60" s="107">
        <f t="shared" si="45"/>
        <v>4.4322800069004362</v>
      </c>
      <c r="O60" s="165">
        <f t="shared" si="46"/>
        <v>4.4322800069004362</v>
      </c>
      <c r="P60" s="165">
        <f t="shared" si="12"/>
        <v>4.4322800069004362</v>
      </c>
      <c r="Q60" s="3">
        <f t="shared" si="13"/>
        <v>4.4322800069004362</v>
      </c>
      <c r="R60" s="153">
        <f t="shared" si="47"/>
        <v>4.4322800069004362</v>
      </c>
      <c r="S60" s="153">
        <f t="shared" si="48"/>
        <v>4.4322800069004362</v>
      </c>
      <c r="T60" s="153">
        <f t="shared" si="49"/>
        <v>4.4322800069004362</v>
      </c>
      <c r="U60" s="148">
        <f>IF('OPFOK OUDERDIEREN'!$H$15="ja",L60-((E60-G60*95%-I60)/E60*L60)*$R$6,L60-((E60-G60*80%-I60)/E60*L60)*$R$6)</f>
        <v>4.4322800069004362</v>
      </c>
      <c r="V60" s="85">
        <f t="shared" si="50"/>
        <v>4.4322800069004362</v>
      </c>
      <c r="W60" s="162">
        <f t="shared" si="51"/>
        <v>4.4322800069004362</v>
      </c>
      <c r="X60" s="187"/>
    </row>
    <row r="61" spans="1:24" x14ac:dyDescent="0.25">
      <c r="A61" s="1">
        <v>52</v>
      </c>
      <c r="B61" s="1">
        <v>842.8</v>
      </c>
      <c r="E61" s="4">
        <f t="shared" si="39"/>
        <v>0.96932359541120783</v>
      </c>
      <c r="F61" s="4">
        <f t="shared" si="40"/>
        <v>0.96932359541120783</v>
      </c>
      <c r="G61" s="155">
        <f t="shared" si="41"/>
        <v>0</v>
      </c>
      <c r="H61" s="155">
        <f t="shared" si="42"/>
        <v>0</v>
      </c>
      <c r="I61" s="155">
        <f t="shared" si="43"/>
        <v>0</v>
      </c>
      <c r="J61" s="3">
        <v>0.54201797016763897</v>
      </c>
      <c r="K61" s="105">
        <v>1</v>
      </c>
      <c r="L61" s="3">
        <f t="shared" si="44"/>
        <v>4.6024234747545343</v>
      </c>
      <c r="M61" s="165">
        <f t="shared" si="10"/>
        <v>4.6024234747545343</v>
      </c>
      <c r="N61" s="107">
        <f t="shared" si="45"/>
        <v>4.6024234747545343</v>
      </c>
      <c r="O61" s="165">
        <f t="shared" si="46"/>
        <v>4.6024234747545343</v>
      </c>
      <c r="P61" s="165">
        <f t="shared" si="12"/>
        <v>4.6024234747545343</v>
      </c>
      <c r="Q61" s="3">
        <f t="shared" si="13"/>
        <v>4.6024234747545343</v>
      </c>
      <c r="R61" s="153">
        <f t="shared" si="47"/>
        <v>4.6024234747545343</v>
      </c>
      <c r="S61" s="153">
        <f t="shared" si="48"/>
        <v>4.6024234747545343</v>
      </c>
      <c r="T61" s="153">
        <f t="shared" si="49"/>
        <v>4.6024234747545343</v>
      </c>
      <c r="U61" s="148">
        <f>IF('OPFOK OUDERDIEREN'!$H$15="ja",L61-((E61-G61*95%-I61)/E61*L61)*$R$6,L61-((E61-G61*80%-I61)/E61*L61)*$R$6)</f>
        <v>4.6024234747545343</v>
      </c>
      <c r="V61" s="85">
        <f t="shared" si="50"/>
        <v>4.6024234747545343</v>
      </c>
      <c r="W61" s="162">
        <f t="shared" si="51"/>
        <v>4.6024234747545343</v>
      </c>
      <c r="X61" s="187"/>
    </row>
    <row r="62" spans="1:24" x14ac:dyDescent="0.25">
      <c r="A62" s="1">
        <v>53</v>
      </c>
      <c r="B62" s="1">
        <v>857.1</v>
      </c>
      <c r="E62" s="4">
        <f t="shared" si="39"/>
        <v>0.9880797605434839</v>
      </c>
      <c r="F62" s="4">
        <f t="shared" si="40"/>
        <v>0.9880797605434839</v>
      </c>
      <c r="G62" s="155">
        <f t="shared" si="41"/>
        <v>0</v>
      </c>
      <c r="H62" s="155">
        <f t="shared" si="42"/>
        <v>0</v>
      </c>
      <c r="I62" s="155">
        <f t="shared" si="43"/>
        <v>0</v>
      </c>
      <c r="J62" s="3">
        <v>0.55208341896944024</v>
      </c>
      <c r="K62" s="105">
        <v>1</v>
      </c>
      <c r="L62" s="3">
        <f t="shared" si="44"/>
        <v>4.7786014831584884</v>
      </c>
      <c r="M62" s="165">
        <f t="shared" si="10"/>
        <v>4.7786014831584884</v>
      </c>
      <c r="N62" s="107">
        <f t="shared" si="45"/>
        <v>4.7786014831584884</v>
      </c>
      <c r="O62" s="165">
        <f t="shared" si="46"/>
        <v>4.7786014831584884</v>
      </c>
      <c r="P62" s="165">
        <f t="shared" si="12"/>
        <v>4.7786014831584884</v>
      </c>
      <c r="Q62" s="3">
        <f t="shared" si="13"/>
        <v>4.7786014831584884</v>
      </c>
      <c r="R62" s="153">
        <f t="shared" si="47"/>
        <v>4.7786014831584884</v>
      </c>
      <c r="S62" s="153">
        <f t="shared" si="48"/>
        <v>4.7786014831584884</v>
      </c>
      <c r="T62" s="153">
        <f t="shared" si="49"/>
        <v>4.7786014831584884</v>
      </c>
      <c r="U62" s="148">
        <f>IF('OPFOK OUDERDIEREN'!$H$15="ja",L62-((E62-G62*95%-I62)/E62*L62)*$R$6,L62-((E62-G62*80%-I62)/E62*L62)*$R$6)</f>
        <v>4.7786014831584884</v>
      </c>
      <c r="V62" s="85">
        <f t="shared" si="50"/>
        <v>4.7786014831584884</v>
      </c>
      <c r="W62" s="162">
        <f t="shared" si="51"/>
        <v>4.7786014831584884</v>
      </c>
      <c r="X62" s="187"/>
    </row>
    <row r="63" spans="1:24" x14ac:dyDescent="0.25">
      <c r="A63" s="1">
        <v>54</v>
      </c>
      <c r="B63" s="1">
        <v>871.4</v>
      </c>
      <c r="E63" s="4">
        <f t="shared" si="39"/>
        <v>1.007099846686256</v>
      </c>
      <c r="F63" s="4">
        <f t="shared" si="40"/>
        <v>1.007099846686256</v>
      </c>
      <c r="G63" s="155">
        <f t="shared" si="41"/>
        <v>0</v>
      </c>
      <c r="H63" s="155">
        <f t="shared" si="42"/>
        <v>0</v>
      </c>
      <c r="I63" s="155">
        <f t="shared" si="43"/>
        <v>0</v>
      </c>
      <c r="J63" s="3">
        <v>0.56233578640707649</v>
      </c>
      <c r="K63" s="105">
        <v>1</v>
      </c>
      <c r="L63" s="3">
        <f t="shared" si="44"/>
        <v>4.9610357702644343</v>
      </c>
      <c r="M63" s="165">
        <f t="shared" si="10"/>
        <v>4.9610357702644343</v>
      </c>
      <c r="N63" s="107">
        <f t="shared" si="45"/>
        <v>4.9610357702644343</v>
      </c>
      <c r="O63" s="165">
        <f t="shared" si="46"/>
        <v>4.9610357702644343</v>
      </c>
      <c r="P63" s="165">
        <f t="shared" si="12"/>
        <v>4.9610357702644343</v>
      </c>
      <c r="Q63" s="3">
        <f t="shared" si="13"/>
        <v>4.9610357702644343</v>
      </c>
      <c r="R63" s="153">
        <f t="shared" si="47"/>
        <v>4.9610357702644343</v>
      </c>
      <c r="S63" s="153">
        <f t="shared" si="48"/>
        <v>4.9610357702644343</v>
      </c>
      <c r="T63" s="153">
        <f t="shared" si="49"/>
        <v>4.9610357702644343</v>
      </c>
      <c r="U63" s="148">
        <f>IF('OPFOK OUDERDIEREN'!$H$15="ja",L63-((E63-G63*95%-I63)/E63*L63)*$R$6,L63-((E63-G63*80%-I63)/E63*L63)*$R$6)</f>
        <v>4.9610357702644343</v>
      </c>
      <c r="V63" s="85">
        <f t="shared" si="50"/>
        <v>4.9610357702644343</v>
      </c>
      <c r="W63" s="162">
        <f t="shared" si="51"/>
        <v>4.9610357702644343</v>
      </c>
      <c r="X63" s="187"/>
    </row>
    <row r="64" spans="1:24" x14ac:dyDescent="0.25">
      <c r="A64" s="1">
        <v>55</v>
      </c>
      <c r="B64" s="1">
        <v>885.7</v>
      </c>
      <c r="E64" s="4">
        <f t="shared" si="39"/>
        <v>1.026390591212452</v>
      </c>
      <c r="F64" s="4">
        <f t="shared" si="40"/>
        <v>1.026390591212452</v>
      </c>
      <c r="G64" s="155">
        <f t="shared" si="41"/>
        <v>0</v>
      </c>
      <c r="H64" s="155">
        <f t="shared" si="42"/>
        <v>0</v>
      </c>
      <c r="I64" s="155">
        <f t="shared" si="43"/>
        <v>0</v>
      </c>
      <c r="J64" s="3">
        <v>0.5727785436199978</v>
      </c>
      <c r="K64" s="105">
        <v>1</v>
      </c>
      <c r="L64" s="3">
        <f t="shared" si="44"/>
        <v>5.1499558902546454</v>
      </c>
      <c r="M64" s="165">
        <f t="shared" si="10"/>
        <v>5.1499558902546454</v>
      </c>
      <c r="N64" s="107">
        <f t="shared" si="45"/>
        <v>5.1499558902546454</v>
      </c>
      <c r="O64" s="165">
        <f t="shared" si="46"/>
        <v>5.1499558902546454</v>
      </c>
      <c r="P64" s="165">
        <f t="shared" si="12"/>
        <v>5.1499558902546454</v>
      </c>
      <c r="Q64" s="3">
        <f t="shared" si="13"/>
        <v>5.1499558902546454</v>
      </c>
      <c r="R64" s="153">
        <f t="shared" si="47"/>
        <v>5.1499558902546454</v>
      </c>
      <c r="S64" s="153">
        <f t="shared" si="48"/>
        <v>5.1499558902546454</v>
      </c>
      <c r="T64" s="153">
        <f t="shared" si="49"/>
        <v>5.1499558902546454</v>
      </c>
      <c r="U64" s="148">
        <f>IF('OPFOK OUDERDIEREN'!$H$15="ja",L64-((E64-G64*95%-I64)/E64*L64)*$R$6,L64-((E64-G64*80%-I64)/E64*L64)*$R$6)</f>
        <v>5.1499558902546454</v>
      </c>
      <c r="V64" s="85">
        <f t="shared" si="50"/>
        <v>5.1499558902546454</v>
      </c>
      <c r="W64" s="162">
        <f t="shared" si="51"/>
        <v>5.1499558902546454</v>
      </c>
      <c r="X64" s="187"/>
    </row>
    <row r="65" spans="1:24" x14ac:dyDescent="0.25">
      <c r="A65" s="1">
        <v>56</v>
      </c>
      <c r="B65" s="1">
        <v>900</v>
      </c>
      <c r="E65" s="4">
        <f t="shared" si="39"/>
        <v>1.0459587314949998</v>
      </c>
      <c r="F65" s="4">
        <f t="shared" si="40"/>
        <v>1.0459587314949998</v>
      </c>
      <c r="G65" s="155">
        <f t="shared" si="41"/>
        <v>0</v>
      </c>
      <c r="H65" s="155">
        <f t="shared" si="42"/>
        <v>0</v>
      </c>
      <c r="I65" s="155">
        <f t="shared" si="43"/>
        <v>0</v>
      </c>
      <c r="J65" s="3">
        <v>0.5834152262078357</v>
      </c>
      <c r="K65" s="105">
        <v>1</v>
      </c>
      <c r="L65" s="3">
        <f t="shared" si="44"/>
        <v>5.3455994694675342</v>
      </c>
      <c r="M65" s="165">
        <f t="shared" si="10"/>
        <v>5.3455994694675342</v>
      </c>
      <c r="N65" s="107">
        <f t="shared" si="45"/>
        <v>5.3455994694675342</v>
      </c>
      <c r="O65" s="165">
        <f t="shared" si="46"/>
        <v>5.3455994694675342</v>
      </c>
      <c r="P65" s="165">
        <f t="shared" si="12"/>
        <v>5.3455994694675342</v>
      </c>
      <c r="Q65" s="3">
        <f t="shared" si="13"/>
        <v>5.3455994694675342</v>
      </c>
      <c r="R65" s="153">
        <f t="shared" si="47"/>
        <v>5.3455994694675342</v>
      </c>
      <c r="S65" s="153">
        <f t="shared" si="48"/>
        <v>5.3455994694675342</v>
      </c>
      <c r="T65" s="153">
        <f t="shared" si="49"/>
        <v>5.3455994694675342</v>
      </c>
      <c r="U65" s="148">
        <f>IF('OPFOK OUDERDIEREN'!$H$15="ja",L65-((E65-G65*95%-I65)/E65*L65)*$R$6,L65-((E65-G65*80%-I65)/E65*L65)*$R$6)</f>
        <v>5.3455994694675342</v>
      </c>
      <c r="V65" s="85">
        <f t="shared" si="50"/>
        <v>5.3455994694675342</v>
      </c>
      <c r="W65" s="162">
        <f t="shared" si="51"/>
        <v>5.3455994694675342</v>
      </c>
      <c r="X65" s="187"/>
    </row>
    <row r="66" spans="1:24" x14ac:dyDescent="0.25">
      <c r="A66" s="1">
        <v>57</v>
      </c>
      <c r="B66" s="1">
        <v>914.2</v>
      </c>
      <c r="E66" s="4">
        <f t="shared" si="39"/>
        <v>1.0656711757544319</v>
      </c>
      <c r="F66" s="4">
        <f t="shared" si="40"/>
        <v>1.0656711757544319</v>
      </c>
      <c r="G66" s="155">
        <f t="shared" si="41"/>
        <v>0</v>
      </c>
      <c r="H66" s="155">
        <f t="shared" si="42"/>
        <v>0</v>
      </c>
      <c r="I66" s="155">
        <f t="shared" si="43"/>
        <v>0</v>
      </c>
      <c r="J66" s="3">
        <v>0.59424943542744912</v>
      </c>
      <c r="K66" s="105">
        <v>1</v>
      </c>
      <c r="L66" s="3">
        <f t="shared" si="44"/>
        <v>5.5474845721999833</v>
      </c>
      <c r="M66" s="165">
        <f t="shared" si="10"/>
        <v>5.5474845721999833</v>
      </c>
      <c r="N66" s="107">
        <f t="shared" si="45"/>
        <v>5.5474845721999833</v>
      </c>
      <c r="O66" s="165">
        <f t="shared" si="46"/>
        <v>5.5474845721999833</v>
      </c>
      <c r="P66" s="165">
        <f t="shared" si="12"/>
        <v>5.5474845721999833</v>
      </c>
      <c r="Q66" s="3">
        <f t="shared" si="13"/>
        <v>5.5474845721999833</v>
      </c>
      <c r="R66" s="153">
        <f t="shared" si="47"/>
        <v>5.5474845721999833</v>
      </c>
      <c r="S66" s="153">
        <f t="shared" si="48"/>
        <v>5.5474845721999833</v>
      </c>
      <c r="T66" s="153">
        <f t="shared" si="49"/>
        <v>5.5474845721999833</v>
      </c>
      <c r="U66" s="148">
        <f>IF('OPFOK OUDERDIEREN'!$H$15="ja",L66-((E66-G66*95%-I66)/E66*L66)*$R$6,L66-((E66-G66*80%-I66)/E66*L66)*$R$6)</f>
        <v>5.5474845721999833</v>
      </c>
      <c r="V66" s="85">
        <f t="shared" si="50"/>
        <v>5.5474845721999833</v>
      </c>
      <c r="W66" s="162">
        <f t="shared" si="51"/>
        <v>5.5474845721999833</v>
      </c>
      <c r="X66" s="187"/>
    </row>
    <row r="67" spans="1:24" x14ac:dyDescent="0.25">
      <c r="A67" s="1">
        <v>58</v>
      </c>
      <c r="B67" s="1">
        <v>928.5</v>
      </c>
      <c r="E67" s="4">
        <f t="shared" si="39"/>
        <v>1.0858122622164998</v>
      </c>
      <c r="F67" s="4">
        <f t="shared" si="40"/>
        <v>1.0858122622164998</v>
      </c>
      <c r="G67" s="155">
        <f t="shared" si="41"/>
        <v>0</v>
      </c>
      <c r="H67" s="155">
        <f t="shared" si="42"/>
        <v>0</v>
      </c>
      <c r="I67" s="155">
        <f t="shared" si="43"/>
        <v>0</v>
      </c>
      <c r="J67" s="3">
        <v>0.60528483941219946</v>
      </c>
      <c r="K67" s="105">
        <v>1</v>
      </c>
      <c r="L67" s="3">
        <f t="shared" si="44"/>
        <v>5.7572971387233975</v>
      </c>
      <c r="M67" s="165">
        <f t="shared" si="10"/>
        <v>5.7572971387233975</v>
      </c>
      <c r="N67" s="107">
        <f t="shared" si="45"/>
        <v>5.7572971387233975</v>
      </c>
      <c r="O67" s="165">
        <f t="shared" si="46"/>
        <v>5.7572971387233975</v>
      </c>
      <c r="P67" s="165">
        <f t="shared" si="12"/>
        <v>5.7572971387233975</v>
      </c>
      <c r="Q67" s="3">
        <f t="shared" si="13"/>
        <v>5.7572971387233975</v>
      </c>
      <c r="R67" s="153">
        <f t="shared" si="47"/>
        <v>5.7572971387233975</v>
      </c>
      <c r="S67" s="153">
        <f t="shared" si="48"/>
        <v>5.7572971387233975</v>
      </c>
      <c r="T67" s="153">
        <f t="shared" si="49"/>
        <v>5.7572971387233975</v>
      </c>
      <c r="U67" s="148">
        <f>IF('OPFOK OUDERDIEREN'!$H$15="ja",L67-((E67-G67*95%-I67)/E67*L67)*$R$6,L67-((E67-G67*80%-I67)/E67*L67)*$R$6)</f>
        <v>5.7572971387233975</v>
      </c>
      <c r="V67" s="85">
        <f t="shared" si="50"/>
        <v>5.7572971387233975</v>
      </c>
      <c r="W67" s="162">
        <f t="shared" si="51"/>
        <v>5.7572971387233975</v>
      </c>
      <c r="X67" s="187"/>
    </row>
    <row r="68" spans="1:24" x14ac:dyDescent="0.25">
      <c r="A68" s="1">
        <v>59</v>
      </c>
      <c r="B68" s="1">
        <v>942.8</v>
      </c>
      <c r="E68" s="4">
        <f t="shared" si="39"/>
        <v>1.1062509094392079</v>
      </c>
      <c r="F68" s="4">
        <f t="shared" si="40"/>
        <v>1.1062509094392079</v>
      </c>
      <c r="G68" s="155">
        <f t="shared" si="41"/>
        <v>0</v>
      </c>
      <c r="H68" s="155">
        <f t="shared" si="42"/>
        <v>0</v>
      </c>
      <c r="I68" s="155">
        <f t="shared" si="43"/>
        <v>0</v>
      </c>
      <c r="J68" s="3">
        <v>0.61652517441387056</v>
      </c>
      <c r="K68" s="105">
        <v>1</v>
      </c>
      <c r="L68" s="3">
        <f t="shared" si="44"/>
        <v>5.9745962456145918</v>
      </c>
      <c r="M68" s="165">
        <f t="shared" si="10"/>
        <v>5.9745962456145918</v>
      </c>
      <c r="N68" s="107">
        <f t="shared" si="45"/>
        <v>5.9745962456145918</v>
      </c>
      <c r="O68" s="165">
        <f t="shared" si="46"/>
        <v>5.9745962456145918</v>
      </c>
      <c r="P68" s="165">
        <f t="shared" si="12"/>
        <v>5.9745962456145918</v>
      </c>
      <c r="Q68" s="3">
        <f t="shared" si="13"/>
        <v>5.9745962456145918</v>
      </c>
      <c r="R68" s="153">
        <f t="shared" si="47"/>
        <v>5.9745962456145918</v>
      </c>
      <c r="S68" s="153">
        <f t="shared" si="48"/>
        <v>5.9745962456145918</v>
      </c>
      <c r="T68" s="153">
        <f t="shared" si="49"/>
        <v>5.9745962456145918</v>
      </c>
      <c r="U68" s="148">
        <f>IF('OPFOK OUDERDIEREN'!$H$15="ja",L68-((E68-G68*95%-I68)/E68*L68)*$R$6,L68-((E68-G68*80%-I68)/E68*L68)*$R$6)</f>
        <v>5.9745962456145918</v>
      </c>
      <c r="V68" s="85">
        <f t="shared" si="50"/>
        <v>5.9745962456145918</v>
      </c>
      <c r="W68" s="162">
        <f t="shared" si="51"/>
        <v>5.9745962456145918</v>
      </c>
      <c r="X68" s="187"/>
    </row>
    <row r="69" spans="1:24" x14ac:dyDescent="0.25">
      <c r="A69" s="1">
        <v>60</v>
      </c>
      <c r="B69" s="1">
        <v>957.1</v>
      </c>
      <c r="E69" s="4">
        <f t="shared" si="39"/>
        <v>1.1269938547954841</v>
      </c>
      <c r="F69" s="4">
        <f t="shared" si="40"/>
        <v>1.1269938547954841</v>
      </c>
      <c r="G69" s="155">
        <f t="shared" si="41"/>
        <v>0</v>
      </c>
      <c r="H69" s="155">
        <f t="shared" si="42"/>
        <v>0</v>
      </c>
      <c r="I69" s="155">
        <f t="shared" si="43"/>
        <v>0</v>
      </c>
      <c r="J69" s="3">
        <v>0.6279742460676484</v>
      </c>
      <c r="K69" s="105">
        <v>1</v>
      </c>
      <c r="L69" s="3">
        <f t="shared" si="44"/>
        <v>6.1996544986834667</v>
      </c>
      <c r="M69" s="165">
        <f t="shared" si="10"/>
        <v>6.1996544986834667</v>
      </c>
      <c r="N69" s="107">
        <f t="shared" si="45"/>
        <v>6.1996544986834667</v>
      </c>
      <c r="O69" s="165">
        <f t="shared" si="46"/>
        <v>6.1996544986834667</v>
      </c>
      <c r="P69" s="165">
        <f t="shared" si="12"/>
        <v>6.1996544986834667</v>
      </c>
      <c r="Q69" s="3">
        <f t="shared" si="13"/>
        <v>6.1996544986834667</v>
      </c>
      <c r="R69" s="153">
        <f t="shared" si="47"/>
        <v>6.1996544986834667</v>
      </c>
      <c r="S69" s="153">
        <f t="shared" si="48"/>
        <v>6.1996544986834667</v>
      </c>
      <c r="T69" s="153">
        <f t="shared" si="49"/>
        <v>6.1996544986834667</v>
      </c>
      <c r="U69" s="148">
        <f>IF('OPFOK OUDERDIEREN'!$H$15="ja",L69-((E69-G69*95%-I69)/E69*L69)*$R$6,L69-((E69-G69*80%-I69)/E69*L69)*$R$6)</f>
        <v>6.1996544986834667</v>
      </c>
      <c r="V69" s="85">
        <f t="shared" si="50"/>
        <v>6.1996544986834667</v>
      </c>
      <c r="W69" s="162">
        <f t="shared" si="51"/>
        <v>6.1996544986834667</v>
      </c>
      <c r="X69" s="187"/>
    </row>
    <row r="70" spans="1:24" x14ac:dyDescent="0.25">
      <c r="A70" s="1">
        <v>61</v>
      </c>
      <c r="B70" s="1">
        <v>971.4</v>
      </c>
      <c r="E70" s="4">
        <f t="shared" si="39"/>
        <v>1.1480478356582557</v>
      </c>
      <c r="F70" s="4">
        <f t="shared" si="40"/>
        <v>1.1480478356582557</v>
      </c>
      <c r="G70" s="155">
        <f t="shared" si="41"/>
        <v>0</v>
      </c>
      <c r="H70" s="155">
        <f t="shared" si="42"/>
        <v>0</v>
      </c>
      <c r="I70" s="155">
        <f t="shared" si="43"/>
        <v>0</v>
      </c>
      <c r="J70" s="3">
        <v>0.63963593068059343</v>
      </c>
      <c r="K70" s="105">
        <v>1</v>
      </c>
      <c r="L70" s="3">
        <f t="shared" si="44"/>
        <v>6.4327539774454774</v>
      </c>
      <c r="M70" s="165">
        <f t="shared" si="10"/>
        <v>6.4327539774454774</v>
      </c>
      <c r="N70" s="107">
        <f t="shared" si="45"/>
        <v>6.4327539774454774</v>
      </c>
      <c r="O70" s="165">
        <f t="shared" si="46"/>
        <v>6.4327539774454774</v>
      </c>
      <c r="P70" s="165">
        <f t="shared" si="12"/>
        <v>6.4327539774454774</v>
      </c>
      <c r="Q70" s="3">
        <f t="shared" si="13"/>
        <v>6.4327539774454774</v>
      </c>
      <c r="R70" s="153">
        <f t="shared" si="47"/>
        <v>6.4327539774454774</v>
      </c>
      <c r="S70" s="153">
        <f t="shared" si="48"/>
        <v>6.4327539774454774</v>
      </c>
      <c r="T70" s="153">
        <f t="shared" si="49"/>
        <v>6.4327539774454774</v>
      </c>
      <c r="U70" s="148">
        <f>IF('OPFOK OUDERDIEREN'!$H$15="ja",L70-((E70-G70*95%-I70)/E70*L70)*$R$6,L70-((E70-G70*80%-I70)/E70*L70)*$R$6)</f>
        <v>6.4327539774454774</v>
      </c>
      <c r="V70" s="85">
        <f t="shared" si="50"/>
        <v>6.4327539774454774</v>
      </c>
      <c r="W70" s="162">
        <f t="shared" si="51"/>
        <v>6.4327539774454774</v>
      </c>
      <c r="X70" s="187"/>
    </row>
    <row r="71" spans="1:24" x14ac:dyDescent="0.25">
      <c r="A71" s="1">
        <v>62</v>
      </c>
      <c r="B71" s="1">
        <v>985.7</v>
      </c>
      <c r="E71" s="4">
        <f t="shared" si="39"/>
        <v>1.169419589400452</v>
      </c>
      <c r="F71" s="4">
        <f t="shared" si="40"/>
        <v>1.169419589400452</v>
      </c>
      <c r="G71" s="155">
        <f t="shared" si="41"/>
        <v>0</v>
      </c>
      <c r="H71" s="155">
        <f t="shared" si="42"/>
        <v>0</v>
      </c>
      <c r="I71" s="155">
        <f t="shared" si="43"/>
        <v>0</v>
      </c>
      <c r="J71" s="3">
        <v>0.6515141765440412</v>
      </c>
      <c r="K71" s="105">
        <v>1</v>
      </c>
      <c r="L71" s="3">
        <f t="shared" si="44"/>
        <v>6.6741865416069066</v>
      </c>
      <c r="M71" s="165">
        <f t="shared" si="10"/>
        <v>6.6741865416069066</v>
      </c>
      <c r="N71" s="107">
        <f t="shared" si="45"/>
        <v>6.6741865416069066</v>
      </c>
      <c r="O71" s="165">
        <f t="shared" si="46"/>
        <v>6.6741865416069066</v>
      </c>
      <c r="P71" s="165">
        <f t="shared" si="12"/>
        <v>6.6741865416069066</v>
      </c>
      <c r="Q71" s="3">
        <f t="shared" si="13"/>
        <v>6.6741865416069066</v>
      </c>
      <c r="R71" s="153">
        <f t="shared" si="47"/>
        <v>6.6741865416069066</v>
      </c>
      <c r="S71" s="153">
        <f t="shared" si="48"/>
        <v>6.6741865416069066</v>
      </c>
      <c r="T71" s="153">
        <f t="shared" si="49"/>
        <v>6.6741865416069066</v>
      </c>
      <c r="U71" s="148">
        <f>IF('OPFOK OUDERDIEREN'!$H$15="ja",L71-((E71-G71*95%-I71)/E71*L71)*$R$6,L71-((E71-G71*80%-I71)/E71*L71)*$R$6)</f>
        <v>6.6741865416069066</v>
      </c>
      <c r="V71" s="85">
        <f t="shared" si="50"/>
        <v>6.6741865416069066</v>
      </c>
      <c r="W71" s="162">
        <f t="shared" si="51"/>
        <v>6.6741865416069066</v>
      </c>
      <c r="X71" s="187"/>
    </row>
    <row r="72" spans="1:24" x14ac:dyDescent="0.25">
      <c r="A72" s="1">
        <v>63</v>
      </c>
      <c r="B72" s="1">
        <v>1000</v>
      </c>
      <c r="E72" s="4">
        <f t="shared" si="39"/>
        <v>1.1911158533949999</v>
      </c>
      <c r="F72" s="4">
        <f t="shared" si="40"/>
        <v>1.1911158533949999</v>
      </c>
      <c r="G72" s="155">
        <f t="shared" si="41"/>
        <v>0</v>
      </c>
      <c r="H72" s="155">
        <f t="shared" si="42"/>
        <v>0</v>
      </c>
      <c r="I72" s="155">
        <f t="shared" si="43"/>
        <v>0</v>
      </c>
      <c r="J72" s="3">
        <v>0.66361300527037204</v>
      </c>
      <c r="K72" s="105">
        <v>1</v>
      </c>
      <c r="L72" s="3">
        <f t="shared" si="44"/>
        <v>6.9242541468065637</v>
      </c>
      <c r="M72" s="165">
        <f t="shared" si="10"/>
        <v>6.9242541468065637</v>
      </c>
      <c r="N72" s="107">
        <f t="shared" si="45"/>
        <v>6.9242541468065637</v>
      </c>
      <c r="O72" s="165">
        <f t="shared" si="46"/>
        <v>6.9242541468065637</v>
      </c>
      <c r="P72" s="165">
        <f t="shared" si="12"/>
        <v>6.9242541468065637</v>
      </c>
      <c r="Q72" s="3">
        <f t="shared" si="13"/>
        <v>6.9242541468065637</v>
      </c>
      <c r="R72" s="153">
        <f t="shared" si="47"/>
        <v>6.9242541468065637</v>
      </c>
      <c r="S72" s="153">
        <f t="shared" si="48"/>
        <v>6.9242541468065637</v>
      </c>
      <c r="T72" s="153">
        <f t="shared" si="49"/>
        <v>6.9242541468065637</v>
      </c>
      <c r="U72" s="148">
        <f>IF('OPFOK OUDERDIEREN'!$H$15="ja",L72-((E72-G72*95%-I72)/E72*L72)*$R$6,L72-((E72-G72*80%-I72)/E72*L72)*$R$6)</f>
        <v>6.9242541468065637</v>
      </c>
      <c r="V72" s="85">
        <f t="shared" si="50"/>
        <v>6.9242541468065637</v>
      </c>
      <c r="W72" s="162">
        <f t="shared" si="51"/>
        <v>6.9242541468065637</v>
      </c>
      <c r="X72" s="187"/>
    </row>
    <row r="73" spans="1:24" x14ac:dyDescent="0.25">
      <c r="A73" s="1">
        <v>64</v>
      </c>
      <c r="B73" s="1">
        <v>1014.2</v>
      </c>
      <c r="E73" s="4">
        <f t="shared" si="39"/>
        <v>1.212988160822432</v>
      </c>
      <c r="F73" s="4">
        <f t="shared" si="40"/>
        <v>1.212988160822432</v>
      </c>
      <c r="G73" s="155">
        <f t="shared" si="41"/>
        <v>0</v>
      </c>
      <c r="H73" s="155">
        <f t="shared" si="42"/>
        <v>0</v>
      </c>
      <c r="I73" s="155">
        <f t="shared" si="43"/>
        <v>0</v>
      </c>
      <c r="J73" s="3">
        <v>0.6759365131546079</v>
      </c>
      <c r="K73" s="105">
        <v>1</v>
      </c>
      <c r="L73" s="3">
        <f t="shared" si="44"/>
        <v>7.1823501742154257</v>
      </c>
      <c r="M73" s="165">
        <f t="shared" si="10"/>
        <v>7.1823501742154257</v>
      </c>
      <c r="N73" s="107">
        <f t="shared" si="45"/>
        <v>7.1823501742154257</v>
      </c>
      <c r="O73" s="165">
        <f t="shared" si="46"/>
        <v>7.1823501742154257</v>
      </c>
      <c r="P73" s="165">
        <f t="shared" si="12"/>
        <v>7.1823501742154257</v>
      </c>
      <c r="Q73" s="3">
        <f t="shared" si="13"/>
        <v>7.1823501742154257</v>
      </c>
      <c r="R73" s="153">
        <f t="shared" si="47"/>
        <v>7.1823501742154257</v>
      </c>
      <c r="S73" s="153">
        <f t="shared" si="48"/>
        <v>7.1823501742154257</v>
      </c>
      <c r="T73" s="153">
        <f t="shared" si="49"/>
        <v>7.1823501742154257</v>
      </c>
      <c r="U73" s="148">
        <f>IF('OPFOK OUDERDIEREN'!$H$15="ja",L73-((E73-G73*95%-I73)/E73*L73)*$R$6,L73-((E73-G73*80%-I73)/E73*L73)*$R$6)</f>
        <v>7.1823501742154257</v>
      </c>
      <c r="V73" s="85">
        <f t="shared" si="50"/>
        <v>7.1823501742154257</v>
      </c>
      <c r="W73" s="162">
        <f t="shared" si="51"/>
        <v>7.1823501742154257</v>
      </c>
      <c r="X73" s="187"/>
    </row>
    <row r="74" spans="1:24" x14ac:dyDescent="0.25">
      <c r="A74" s="1">
        <v>65</v>
      </c>
      <c r="B74" s="1">
        <v>1028.5</v>
      </c>
      <c r="E74" s="4">
        <f t="shared" si="39"/>
        <v>1.2353512705165</v>
      </c>
      <c r="F74" s="4">
        <f t="shared" si="40"/>
        <v>1.2353512705165</v>
      </c>
      <c r="G74" s="155">
        <f t="shared" si="41"/>
        <v>0</v>
      </c>
      <c r="H74" s="155">
        <f t="shared" si="42"/>
        <v>0</v>
      </c>
      <c r="I74" s="155">
        <f t="shared" si="43"/>
        <v>0</v>
      </c>
      <c r="J74" s="3">
        <v>0.68848887256129243</v>
      </c>
      <c r="K74" s="105">
        <v>1</v>
      </c>
      <c r="L74" s="3">
        <f t="shared" si="44"/>
        <v>7.4506042862663717</v>
      </c>
      <c r="M74" s="165">
        <f t="shared" si="10"/>
        <v>7.4506042862663717</v>
      </c>
      <c r="N74" s="107">
        <f t="shared" si="45"/>
        <v>7.4506042862663717</v>
      </c>
      <c r="O74" s="165">
        <f t="shared" si="46"/>
        <v>7.4506042862663717</v>
      </c>
      <c r="P74" s="165">
        <f t="shared" si="12"/>
        <v>7.4506042862663717</v>
      </c>
      <c r="Q74" s="3">
        <f t="shared" si="13"/>
        <v>7.4506042862663717</v>
      </c>
      <c r="R74" s="153">
        <f t="shared" si="47"/>
        <v>7.4506042862663717</v>
      </c>
      <c r="S74" s="153">
        <f t="shared" si="48"/>
        <v>7.4506042862663717</v>
      </c>
      <c r="T74" s="153">
        <f t="shared" si="49"/>
        <v>7.4506042862663717</v>
      </c>
      <c r="U74" s="148">
        <f>IF('OPFOK OUDERDIEREN'!$H$15="ja",L74-((E74-G74*95%-I74)/E74*L74)*$R$6,L74-((E74-G74*80%-I74)/E74*L74)*$R$6)</f>
        <v>7.4506042862663717</v>
      </c>
      <c r="V74" s="85">
        <f t="shared" si="50"/>
        <v>7.4506042862663717</v>
      </c>
      <c r="W74" s="162">
        <f t="shared" si="51"/>
        <v>7.4506042862663717</v>
      </c>
      <c r="X74" s="187"/>
    </row>
    <row r="75" spans="1:24" x14ac:dyDescent="0.25">
      <c r="A75" s="1">
        <v>66</v>
      </c>
      <c r="B75" s="1">
        <v>1042.8</v>
      </c>
      <c r="E75" s="4">
        <f t="shared" si="39"/>
        <v>1.258059055467208</v>
      </c>
      <c r="F75" s="4">
        <f t="shared" si="40"/>
        <v>1.258059055467208</v>
      </c>
      <c r="G75" s="155">
        <f t="shared" si="41"/>
        <v>0</v>
      </c>
      <c r="H75" s="155">
        <f t="shared" si="42"/>
        <v>0</v>
      </c>
      <c r="I75" s="155">
        <f t="shared" si="43"/>
        <v>0</v>
      </c>
      <c r="J75" s="3">
        <v>0.70127433333712652</v>
      </c>
      <c r="K75" s="105">
        <v>1</v>
      </c>
      <c r="L75" s="3">
        <f t="shared" si="44"/>
        <v>7.7284620426923523</v>
      </c>
      <c r="M75" s="165">
        <f t="shared" ref="M75:M138" si="52">IF(E75&gt;$R$5,L75-(R$5)/E75*L75*M$7,L75-(E75)/E75*L75*M$7)</f>
        <v>7.7284620426923523</v>
      </c>
      <c r="N75" s="107">
        <f t="shared" si="45"/>
        <v>7.7284620426923523</v>
      </c>
      <c r="O75" s="165">
        <f t="shared" si="46"/>
        <v>7.7284620426923523</v>
      </c>
      <c r="P75" s="165">
        <f t="shared" ref="P75:P138" si="53">IF(I75=0,L75,IF(I75&gt;$R$5,L75-(R$5)/E75*L75*(M$7+2),L75-(I75)/E75*L75*(M$7+2%)))</f>
        <v>7.7284620426923523</v>
      </c>
      <c r="Q75" s="3">
        <f t="shared" ref="Q75:Q138" si="54">(((($J75)-$J$3)/1000*$F75*24*365*$K75))+(((($J75)-$J$3)/1000*$G75*24*365*$K75)*(1-95%))</f>
        <v>7.7284620426923523</v>
      </c>
      <c r="R75" s="153">
        <f t="shared" si="47"/>
        <v>7.7284620426923523</v>
      </c>
      <c r="S75" s="153">
        <f t="shared" si="48"/>
        <v>7.7284620426923523</v>
      </c>
      <c r="T75" s="153">
        <f t="shared" si="49"/>
        <v>7.7284620426923523</v>
      </c>
      <c r="U75" s="148">
        <f>IF('OPFOK OUDERDIEREN'!$H$15="ja",L75-((E75-G75*95%-I75)/E75*L75)*$R$6,L75-((E75-G75*80%-I75)/E75*L75)*$R$6)</f>
        <v>7.7284620426923523</v>
      </c>
      <c r="V75" s="85">
        <f t="shared" si="50"/>
        <v>7.7284620426923523</v>
      </c>
      <c r="W75" s="162">
        <f t="shared" si="51"/>
        <v>7.7284620426923523</v>
      </c>
      <c r="X75" s="187"/>
    </row>
    <row r="76" spans="1:24" x14ac:dyDescent="0.25">
      <c r="A76" s="1">
        <v>67</v>
      </c>
      <c r="B76" s="1">
        <v>1057.0999999999999</v>
      </c>
      <c r="E76" s="4">
        <f t="shared" si="39"/>
        <v>1.2811182530474838</v>
      </c>
      <c r="F76" s="4">
        <f t="shared" si="40"/>
        <v>1.2811182530474838</v>
      </c>
      <c r="G76" s="155">
        <f t="shared" si="41"/>
        <v>0</v>
      </c>
      <c r="H76" s="155">
        <f t="shared" si="42"/>
        <v>0</v>
      </c>
      <c r="I76" s="155">
        <f t="shared" si="43"/>
        <v>0</v>
      </c>
      <c r="J76" s="3">
        <v>0.71429722424983755</v>
      </c>
      <c r="K76" s="105">
        <v>1</v>
      </c>
      <c r="L76" s="3">
        <f t="shared" si="44"/>
        <v>8.0162690978875393</v>
      </c>
      <c r="M76" s="165">
        <f t="shared" si="52"/>
        <v>8.0162690978875393</v>
      </c>
      <c r="N76" s="107">
        <f t="shared" si="45"/>
        <v>8.0162690978875393</v>
      </c>
      <c r="O76" s="165">
        <f t="shared" si="46"/>
        <v>8.0162690978875393</v>
      </c>
      <c r="P76" s="165">
        <f t="shared" si="53"/>
        <v>8.0162690978875393</v>
      </c>
      <c r="Q76" s="3">
        <f t="shared" si="54"/>
        <v>8.0162690978875393</v>
      </c>
      <c r="R76" s="153">
        <f t="shared" si="47"/>
        <v>8.0162690978875393</v>
      </c>
      <c r="S76" s="153">
        <f t="shared" si="48"/>
        <v>8.0162690978875393</v>
      </c>
      <c r="T76" s="153">
        <f t="shared" si="49"/>
        <v>8.0162690978875393</v>
      </c>
      <c r="U76" s="148">
        <f>IF('OPFOK OUDERDIEREN'!$H$15="ja",L76-((E76-G76*95%-I76)/E76*L76)*$R$6,L76-((E76-G76*80%-I76)/E76*L76)*$R$6)</f>
        <v>8.0162690978875393</v>
      </c>
      <c r="V76" s="85">
        <f t="shared" si="50"/>
        <v>8.0162690978875393</v>
      </c>
      <c r="W76" s="162">
        <f t="shared" si="51"/>
        <v>8.0162690978875393</v>
      </c>
      <c r="X76" s="187"/>
    </row>
    <row r="77" spans="1:24" x14ac:dyDescent="0.25">
      <c r="A77" s="1">
        <v>68</v>
      </c>
      <c r="B77" s="1">
        <v>1071.4000000000001</v>
      </c>
      <c r="E77" s="4">
        <f t="shared" si="39"/>
        <v>1.3045356006302562</v>
      </c>
      <c r="F77" s="4">
        <f t="shared" si="40"/>
        <v>1.3045356006302562</v>
      </c>
      <c r="G77" s="155">
        <f t="shared" si="41"/>
        <v>0</v>
      </c>
      <c r="H77" s="155">
        <f t="shared" si="42"/>
        <v>0</v>
      </c>
      <c r="I77" s="155">
        <f t="shared" si="43"/>
        <v>0</v>
      </c>
      <c r="J77" s="3">
        <v>0.72756195445376759</v>
      </c>
      <c r="K77" s="105">
        <v>1</v>
      </c>
      <c r="L77" s="3">
        <f t="shared" si="44"/>
        <v>8.3143829281418427</v>
      </c>
      <c r="M77" s="165">
        <f t="shared" si="52"/>
        <v>8.3143829281418427</v>
      </c>
      <c r="N77" s="107">
        <f t="shared" si="45"/>
        <v>8.3143829281418427</v>
      </c>
      <c r="O77" s="165">
        <f t="shared" si="46"/>
        <v>8.3143829281418427</v>
      </c>
      <c r="P77" s="165">
        <f t="shared" si="53"/>
        <v>8.3143829281418427</v>
      </c>
      <c r="Q77" s="3">
        <f t="shared" si="54"/>
        <v>8.3143829281418427</v>
      </c>
      <c r="R77" s="153">
        <f t="shared" si="47"/>
        <v>8.3143829281418427</v>
      </c>
      <c r="S77" s="153">
        <f t="shared" si="48"/>
        <v>8.3143829281418427</v>
      </c>
      <c r="T77" s="153">
        <f t="shared" si="49"/>
        <v>8.3143829281418427</v>
      </c>
      <c r="U77" s="148">
        <f>IF('OPFOK OUDERDIEREN'!$H$15="ja",L77-((E77-G77*95%-I77)/E77*L77)*$R$6,L77-((E77-G77*80%-I77)/E77*L77)*$R$6)</f>
        <v>8.3143829281418427</v>
      </c>
      <c r="V77" s="85">
        <f t="shared" si="50"/>
        <v>8.3143829281418427</v>
      </c>
      <c r="W77" s="162">
        <f t="shared" si="51"/>
        <v>8.3143829281418427</v>
      </c>
      <c r="X77" s="187"/>
    </row>
    <row r="78" spans="1:24" x14ac:dyDescent="0.25">
      <c r="A78" s="1">
        <v>69</v>
      </c>
      <c r="B78" s="1">
        <v>1085.7</v>
      </c>
      <c r="E78" s="4">
        <f t="shared" si="39"/>
        <v>1.328317835588452</v>
      </c>
      <c r="F78" s="4">
        <f t="shared" si="40"/>
        <v>1.328317835588452</v>
      </c>
      <c r="G78" s="155">
        <f t="shared" si="41"/>
        <v>0</v>
      </c>
      <c r="H78" s="155">
        <f t="shared" si="42"/>
        <v>0</v>
      </c>
      <c r="I78" s="155">
        <f t="shared" si="43"/>
        <v>0</v>
      </c>
      <c r="J78" s="3">
        <v>0.74107301498267952</v>
      </c>
      <c r="K78" s="105">
        <v>1</v>
      </c>
      <c r="L78" s="3">
        <f t="shared" si="44"/>
        <v>8.6231732086872608</v>
      </c>
      <c r="M78" s="165">
        <f t="shared" si="52"/>
        <v>8.6231732086872608</v>
      </c>
      <c r="N78" s="107">
        <f t="shared" si="45"/>
        <v>8.6231732086872608</v>
      </c>
      <c r="O78" s="165">
        <f t="shared" si="46"/>
        <v>8.6231732086872608</v>
      </c>
      <c r="P78" s="165">
        <f t="shared" si="53"/>
        <v>8.6231732086872608</v>
      </c>
      <c r="Q78" s="3">
        <f t="shared" si="54"/>
        <v>8.6231732086872608</v>
      </c>
      <c r="R78" s="153">
        <f t="shared" si="47"/>
        <v>8.6231732086872608</v>
      </c>
      <c r="S78" s="153">
        <f t="shared" si="48"/>
        <v>8.6231732086872608</v>
      </c>
      <c r="T78" s="153">
        <f t="shared" si="49"/>
        <v>8.6231732086872608</v>
      </c>
      <c r="U78" s="148">
        <f>IF('OPFOK OUDERDIEREN'!$H$15="ja",L78-((E78-G78*95%-I78)/E78*L78)*$R$6,L78-((E78-G78*80%-I78)/E78*L78)*$R$6)</f>
        <v>8.6231732086872608</v>
      </c>
      <c r="V78" s="85">
        <f t="shared" si="50"/>
        <v>8.6231732086872608</v>
      </c>
      <c r="W78" s="162">
        <f t="shared" si="51"/>
        <v>8.6231732086872608</v>
      </c>
      <c r="X78" s="187"/>
    </row>
    <row r="79" spans="1:24" x14ac:dyDescent="0.25">
      <c r="A79" s="1">
        <v>70</v>
      </c>
      <c r="B79" s="1">
        <v>1100</v>
      </c>
      <c r="E79" s="4">
        <f t="shared" si="39"/>
        <v>1.352471695295</v>
      </c>
      <c r="F79" s="4">
        <f t="shared" si="40"/>
        <v>1.352471695295</v>
      </c>
      <c r="G79" s="155">
        <f t="shared" si="41"/>
        <v>0</v>
      </c>
      <c r="H79" s="155">
        <f t="shared" si="42"/>
        <v>0</v>
      </c>
      <c r="I79" s="155">
        <f t="shared" si="43"/>
        <v>0</v>
      </c>
      <c r="J79" s="3">
        <v>0.75483498027028362</v>
      </c>
      <c r="K79" s="105">
        <v>1</v>
      </c>
      <c r="L79" s="3">
        <f t="shared" si="44"/>
        <v>8.9430222020028776</v>
      </c>
      <c r="M79" s="165">
        <f t="shared" si="52"/>
        <v>8.9430222020028776</v>
      </c>
      <c r="N79" s="107">
        <f t="shared" si="45"/>
        <v>8.9430222020028776</v>
      </c>
      <c r="O79" s="165">
        <f t="shared" si="46"/>
        <v>8.9430222020028776</v>
      </c>
      <c r="P79" s="165">
        <f t="shared" si="53"/>
        <v>8.9430222020028776</v>
      </c>
      <c r="Q79" s="3">
        <f t="shared" si="54"/>
        <v>8.9430222020028776</v>
      </c>
      <c r="R79" s="153">
        <f t="shared" si="47"/>
        <v>8.9430222020028776</v>
      </c>
      <c r="S79" s="153">
        <f t="shared" si="48"/>
        <v>8.9430222020028776</v>
      </c>
      <c r="T79" s="153">
        <f t="shared" si="49"/>
        <v>8.9430222020028776</v>
      </c>
      <c r="U79" s="148">
        <f>IF('OPFOK OUDERDIEREN'!$H$15="ja",L79-((E79-G79*95%-I79)/E79*L79)*$R$6,L79-((E79-G79*80%-I79)/E79*L79)*$R$6)</f>
        <v>8.9430222020028776</v>
      </c>
      <c r="V79" s="85">
        <f t="shared" si="50"/>
        <v>8.9430222020028776</v>
      </c>
      <c r="W79" s="162">
        <f t="shared" si="51"/>
        <v>8.9430222020028776</v>
      </c>
      <c r="X79" s="187"/>
    </row>
    <row r="80" spans="1:24" x14ac:dyDescent="0.25">
      <c r="A80" s="1">
        <v>71</v>
      </c>
      <c r="B80" s="1">
        <v>1114.2</v>
      </c>
      <c r="E80" s="4">
        <f t="shared" si="39"/>
        <v>1.3768310338904319</v>
      </c>
      <c r="F80" s="4">
        <f t="shared" si="40"/>
        <v>1.3768310338904319</v>
      </c>
      <c r="G80" s="155">
        <f t="shared" si="41"/>
        <v>0</v>
      </c>
      <c r="H80" s="155">
        <f t="shared" si="42"/>
        <v>0</v>
      </c>
      <c r="I80" s="155">
        <f t="shared" si="43"/>
        <v>0</v>
      </c>
      <c r="J80" s="3">
        <v>0.76885250969900243</v>
      </c>
      <c r="K80" s="105">
        <v>1</v>
      </c>
      <c r="L80" s="3">
        <f t="shared" si="44"/>
        <v>9.273160763542025</v>
      </c>
      <c r="M80" s="165">
        <f t="shared" si="52"/>
        <v>9.273160763542025</v>
      </c>
      <c r="N80" s="107">
        <f t="shared" si="45"/>
        <v>9.273160763542025</v>
      </c>
      <c r="O80" s="165">
        <f t="shared" si="46"/>
        <v>9.273160763542025</v>
      </c>
      <c r="P80" s="165">
        <f t="shared" si="53"/>
        <v>9.273160763542025</v>
      </c>
      <c r="Q80" s="3">
        <f t="shared" si="54"/>
        <v>9.273160763542025</v>
      </c>
      <c r="R80" s="153">
        <f t="shared" si="47"/>
        <v>9.273160763542025</v>
      </c>
      <c r="S80" s="153">
        <f t="shared" si="48"/>
        <v>9.273160763542025</v>
      </c>
      <c r="T80" s="153">
        <f t="shared" si="49"/>
        <v>9.273160763542025</v>
      </c>
      <c r="U80" s="148">
        <f>IF('OPFOK OUDERDIEREN'!$H$15="ja",L80-((E80-G80*95%-I80)/E80*L80)*$R$6,L80-((E80-G80*80%-I80)/E80*L80)*$R$6)</f>
        <v>9.273160763542025</v>
      </c>
      <c r="V80" s="85">
        <f t="shared" si="50"/>
        <v>9.273160763542025</v>
      </c>
      <c r="W80" s="162">
        <f t="shared" si="51"/>
        <v>9.273160763542025</v>
      </c>
      <c r="X80" s="187"/>
    </row>
    <row r="81" spans="1:24" x14ac:dyDescent="0.25">
      <c r="A81" s="1">
        <v>72</v>
      </c>
      <c r="B81" s="1">
        <v>1128.5</v>
      </c>
      <c r="E81" s="4">
        <f t="shared" si="39"/>
        <v>1.4017456388164999</v>
      </c>
      <c r="F81" s="4">
        <f t="shared" si="40"/>
        <v>1.4017456388164999</v>
      </c>
      <c r="G81" s="155">
        <f t="shared" si="41"/>
        <v>0</v>
      </c>
      <c r="H81" s="155">
        <f t="shared" si="42"/>
        <v>0</v>
      </c>
      <c r="I81" s="155">
        <f t="shared" si="43"/>
        <v>0</v>
      </c>
      <c r="J81" s="3">
        <v>0.78313034917749469</v>
      </c>
      <c r="K81" s="105">
        <v>1</v>
      </c>
      <c r="L81" s="3">
        <f t="shared" si="44"/>
        <v>9.6162860718793084</v>
      </c>
      <c r="M81" s="165">
        <f t="shared" si="52"/>
        <v>9.6162860718793084</v>
      </c>
      <c r="N81" s="107">
        <f t="shared" si="45"/>
        <v>9.6162860718793084</v>
      </c>
      <c r="O81" s="165">
        <f t="shared" si="46"/>
        <v>9.6162860718793084</v>
      </c>
      <c r="P81" s="165">
        <f t="shared" si="53"/>
        <v>9.6162860718793084</v>
      </c>
      <c r="Q81" s="3">
        <f t="shared" si="54"/>
        <v>9.6162860718793084</v>
      </c>
      <c r="R81" s="153">
        <f t="shared" si="47"/>
        <v>9.6162860718793084</v>
      </c>
      <c r="S81" s="153">
        <f t="shared" si="48"/>
        <v>9.6162860718793084</v>
      </c>
      <c r="T81" s="153">
        <f t="shared" si="49"/>
        <v>9.6162860718793084</v>
      </c>
      <c r="U81" s="148">
        <f>IF('OPFOK OUDERDIEREN'!$H$15="ja",L81-((E81-G81*95%-I81)/E81*L81)*$R$6,L81-((E81-G81*80%-I81)/E81*L81)*$R$6)</f>
        <v>9.6162860718793084</v>
      </c>
      <c r="V81" s="85">
        <f t="shared" si="50"/>
        <v>9.6162860718793084</v>
      </c>
      <c r="W81" s="162">
        <f t="shared" si="51"/>
        <v>9.6162860718793084</v>
      </c>
      <c r="X81" s="187"/>
    </row>
    <row r="82" spans="1:24" x14ac:dyDescent="0.25">
      <c r="A82" s="1">
        <v>73</v>
      </c>
      <c r="B82" s="1">
        <v>1142.8</v>
      </c>
      <c r="E82" s="4">
        <f t="shared" si="39"/>
        <v>1.4270520334952079</v>
      </c>
      <c r="F82" s="4">
        <f t="shared" si="40"/>
        <v>1.4270520334952079</v>
      </c>
      <c r="G82" s="155">
        <f t="shared" si="41"/>
        <v>0</v>
      </c>
      <c r="H82" s="155">
        <f t="shared" si="42"/>
        <v>0</v>
      </c>
      <c r="I82" s="155">
        <f t="shared" si="43"/>
        <v>0</v>
      </c>
      <c r="J82" s="3">
        <v>0.79767333274747643</v>
      </c>
      <c r="K82" s="105">
        <v>1</v>
      </c>
      <c r="L82" s="3">
        <f t="shared" si="44"/>
        <v>9.9716950396847484</v>
      </c>
      <c r="M82" s="165">
        <f t="shared" si="52"/>
        <v>9.9716950396847484</v>
      </c>
      <c r="N82" s="107">
        <f t="shared" si="45"/>
        <v>9.9716950396847484</v>
      </c>
      <c r="O82" s="165">
        <f t="shared" si="46"/>
        <v>9.9716950396847484</v>
      </c>
      <c r="P82" s="165">
        <f t="shared" si="53"/>
        <v>9.9716950396847484</v>
      </c>
      <c r="Q82" s="3">
        <f t="shared" si="54"/>
        <v>9.9716950396847484</v>
      </c>
      <c r="R82" s="153">
        <f t="shared" si="47"/>
        <v>9.9716950396847484</v>
      </c>
      <c r="S82" s="153">
        <f t="shared" si="48"/>
        <v>9.9716950396847484</v>
      </c>
      <c r="T82" s="153">
        <f t="shared" si="49"/>
        <v>9.9716950396847484</v>
      </c>
      <c r="U82" s="148">
        <f>IF('OPFOK OUDERDIEREN'!$H$15="ja",L82-((E82-G82*95%-I82)/E82*L82)*$R$6,L82-((E82-G82*80%-I82)/E82*L82)*$R$6)</f>
        <v>9.9716950396847484</v>
      </c>
      <c r="V82" s="85">
        <f t="shared" si="50"/>
        <v>9.9716950396847484</v>
      </c>
      <c r="W82" s="162">
        <f t="shared" si="51"/>
        <v>9.9716950396847484</v>
      </c>
      <c r="X82" s="187"/>
    </row>
    <row r="83" spans="1:24" x14ac:dyDescent="0.25">
      <c r="A83" s="1">
        <v>74</v>
      </c>
      <c r="B83" s="1">
        <v>1157.0999999999999</v>
      </c>
      <c r="E83" s="4">
        <f t="shared" si="39"/>
        <v>1.4527569552994837</v>
      </c>
      <c r="F83" s="4">
        <f t="shared" si="40"/>
        <v>1.4527569552994837</v>
      </c>
      <c r="G83" s="155">
        <f t="shared" si="41"/>
        <v>0</v>
      </c>
      <c r="H83" s="155">
        <f t="shared" si="42"/>
        <v>0</v>
      </c>
      <c r="I83" s="155">
        <f t="shared" si="43"/>
        <v>0</v>
      </c>
      <c r="J83" s="3">
        <v>0.81248638422038</v>
      </c>
      <c r="K83" s="105">
        <v>1</v>
      </c>
      <c r="L83" s="3">
        <f t="shared" si="44"/>
        <v>10.339824352877622</v>
      </c>
      <c r="M83" s="165">
        <f t="shared" si="52"/>
        <v>10.339824352877622</v>
      </c>
      <c r="N83" s="107">
        <f t="shared" si="45"/>
        <v>10.339824352877622</v>
      </c>
      <c r="O83" s="165">
        <f t="shared" si="46"/>
        <v>10.339824352877622</v>
      </c>
      <c r="P83" s="165">
        <f t="shared" si="53"/>
        <v>10.339824352877622</v>
      </c>
      <c r="Q83" s="3">
        <f t="shared" si="54"/>
        <v>10.339824352877622</v>
      </c>
      <c r="R83" s="153">
        <f t="shared" si="47"/>
        <v>10.339824352877622</v>
      </c>
      <c r="S83" s="153">
        <f t="shared" si="48"/>
        <v>10.339824352877622</v>
      </c>
      <c r="T83" s="153">
        <f t="shared" si="49"/>
        <v>10.339824352877622</v>
      </c>
      <c r="U83" s="148">
        <f>IF('OPFOK OUDERDIEREN'!$H$15="ja",L83-((E83-G83*95%-I83)/E83*L83)*$R$6,L83-((E83-G83*80%-I83)/E83*L83)*$R$6)</f>
        <v>10.339824352877622</v>
      </c>
      <c r="V83" s="85">
        <f t="shared" si="50"/>
        <v>10.339824352877622</v>
      </c>
      <c r="W83" s="162">
        <f t="shared" si="51"/>
        <v>10.339824352877622</v>
      </c>
      <c r="X83" s="187"/>
    </row>
    <row r="84" spans="1:24" x14ac:dyDescent="0.25">
      <c r="A84" s="1">
        <v>75</v>
      </c>
      <c r="B84" s="1">
        <v>1171.4000000000001</v>
      </c>
      <c r="E84" s="4">
        <f t="shared" si="39"/>
        <v>1.4788671416022561</v>
      </c>
      <c r="F84" s="4">
        <f t="shared" si="40"/>
        <v>1.4788671416022561</v>
      </c>
      <c r="G84" s="155">
        <f t="shared" si="41"/>
        <v>0</v>
      </c>
      <c r="H84" s="155">
        <f t="shared" si="42"/>
        <v>0</v>
      </c>
      <c r="I84" s="155">
        <f t="shared" si="43"/>
        <v>0</v>
      </c>
      <c r="J84" s="3">
        <v>0.82757451884440647</v>
      </c>
      <c r="K84" s="105">
        <v>1</v>
      </c>
      <c r="L84" s="3">
        <f t="shared" si="44"/>
        <v>10.721125405161498</v>
      </c>
      <c r="M84" s="165">
        <f t="shared" si="52"/>
        <v>10.721125405161498</v>
      </c>
      <c r="N84" s="107">
        <f t="shared" si="45"/>
        <v>10.721125405161498</v>
      </c>
      <c r="O84" s="165">
        <f t="shared" si="46"/>
        <v>10.721125405161498</v>
      </c>
      <c r="P84" s="165">
        <f t="shared" si="53"/>
        <v>10.721125405161498</v>
      </c>
      <c r="Q84" s="3">
        <f t="shared" si="54"/>
        <v>10.721125405161498</v>
      </c>
      <c r="R84" s="153">
        <f t="shared" si="47"/>
        <v>10.721125405161498</v>
      </c>
      <c r="S84" s="153">
        <f t="shared" si="48"/>
        <v>10.721125405161498</v>
      </c>
      <c r="T84" s="153">
        <f t="shared" si="49"/>
        <v>10.721125405161498</v>
      </c>
      <c r="U84" s="148">
        <f>IF('OPFOK OUDERDIEREN'!$H$15="ja",L84-((E84-G84*95%-I84)/E84*L84)*$R$6,L84-((E84-G84*80%-I84)/E84*L84)*$R$6)</f>
        <v>10.721125405161498</v>
      </c>
      <c r="V84" s="85">
        <f t="shared" si="50"/>
        <v>10.721125405161498</v>
      </c>
      <c r="W84" s="162">
        <f t="shared" si="51"/>
        <v>10.721125405161498</v>
      </c>
      <c r="X84" s="187"/>
    </row>
    <row r="85" spans="1:24" x14ac:dyDescent="0.25">
      <c r="A85" s="1">
        <v>76</v>
      </c>
      <c r="B85" s="1">
        <v>1185.7</v>
      </c>
      <c r="E85" s="4">
        <f t="shared" si="39"/>
        <v>1.505389329776452</v>
      </c>
      <c r="F85" s="4">
        <f t="shared" si="40"/>
        <v>1.505389329776452</v>
      </c>
      <c r="G85" s="155">
        <f t="shared" si="41"/>
        <v>0</v>
      </c>
      <c r="H85" s="155">
        <f t="shared" si="42"/>
        <v>0</v>
      </c>
      <c r="I85" s="155">
        <f t="shared" si="43"/>
        <v>0</v>
      </c>
      <c r="J85" s="3">
        <v>0.84294284500253636</v>
      </c>
      <c r="K85" s="105">
        <v>1</v>
      </c>
      <c r="L85" s="3">
        <f t="shared" si="44"/>
        <v>11.116064760829241</v>
      </c>
      <c r="M85" s="165">
        <f t="shared" si="52"/>
        <v>11.116064760829241</v>
      </c>
      <c r="N85" s="107">
        <f t="shared" si="45"/>
        <v>11.116064760829241</v>
      </c>
      <c r="O85" s="165">
        <f t="shared" si="46"/>
        <v>11.116064760829241</v>
      </c>
      <c r="P85" s="165">
        <f t="shared" si="53"/>
        <v>11.116064760829241</v>
      </c>
      <c r="Q85" s="3">
        <f t="shared" si="54"/>
        <v>11.116064760829241</v>
      </c>
      <c r="R85" s="153">
        <f t="shared" si="47"/>
        <v>11.116064760829241</v>
      </c>
      <c r="S85" s="153">
        <f t="shared" si="48"/>
        <v>11.116064760829241</v>
      </c>
      <c r="T85" s="153">
        <f t="shared" si="49"/>
        <v>11.116064760829241</v>
      </c>
      <c r="U85" s="148">
        <f>IF('OPFOK OUDERDIEREN'!$H$15="ja",L85-((E85-G85*95%-I85)/E85*L85)*$R$6,L85-((E85-G85*80%-I85)/E85*L85)*$R$6)</f>
        <v>11.116064760829241</v>
      </c>
      <c r="V85" s="85">
        <f t="shared" si="50"/>
        <v>11.116064760829241</v>
      </c>
      <c r="W85" s="162">
        <f t="shared" si="51"/>
        <v>11.116064760829241</v>
      </c>
      <c r="X85" s="187"/>
    </row>
    <row r="86" spans="1:24" x14ac:dyDescent="0.25">
      <c r="A86" s="1">
        <v>77</v>
      </c>
      <c r="B86" s="1">
        <v>1200</v>
      </c>
      <c r="E86" s="4">
        <f t="shared" si="39"/>
        <v>1.5323302571949999</v>
      </c>
      <c r="F86" s="4">
        <f t="shared" si="40"/>
        <v>1.5323302571949999</v>
      </c>
      <c r="G86" s="155">
        <f t="shared" si="41"/>
        <v>0</v>
      </c>
      <c r="H86" s="155">
        <f t="shared" si="42"/>
        <v>0</v>
      </c>
      <c r="I86" s="155">
        <f t="shared" si="43"/>
        <v>0</v>
      </c>
      <c r="J86" s="3">
        <v>0.8585965659420719</v>
      </c>
      <c r="K86" s="105">
        <v>1</v>
      </c>
      <c r="L86" s="3">
        <f t="shared" si="44"/>
        <v>11.525124631238807</v>
      </c>
      <c r="M86" s="165">
        <f t="shared" si="52"/>
        <v>11.525124631238807</v>
      </c>
      <c r="N86" s="107">
        <f t="shared" si="45"/>
        <v>11.525124631238807</v>
      </c>
      <c r="O86" s="165">
        <f t="shared" si="46"/>
        <v>11.525124631238807</v>
      </c>
      <c r="P86" s="165">
        <f t="shared" si="53"/>
        <v>11.525124631238807</v>
      </c>
      <c r="Q86" s="3">
        <f t="shared" si="54"/>
        <v>11.525124631238807</v>
      </c>
      <c r="R86" s="153">
        <f t="shared" si="47"/>
        <v>11.525124631238807</v>
      </c>
      <c r="S86" s="153">
        <f t="shared" si="48"/>
        <v>11.525124631238807</v>
      </c>
      <c r="T86" s="153">
        <f t="shared" si="49"/>
        <v>11.525124631238807</v>
      </c>
      <c r="U86" s="148">
        <f>IF('OPFOK OUDERDIEREN'!$H$15="ja",L86-((E86-G86*95%-I86)/E86*L86)*$R$6,L86-((E86-G86*80%-I86)/E86*L86)*$R$6)</f>
        <v>11.525124631238807</v>
      </c>
      <c r="V86" s="85">
        <f t="shared" si="50"/>
        <v>11.525124631238807</v>
      </c>
      <c r="W86" s="162">
        <f t="shared" si="51"/>
        <v>11.525124631238807</v>
      </c>
      <c r="X86" s="187"/>
    </row>
    <row r="87" spans="1:24" x14ac:dyDescent="0.25">
      <c r="A87" s="1">
        <v>78</v>
      </c>
      <c r="B87" s="1">
        <v>1214.2</v>
      </c>
      <c r="E87" s="4">
        <f t="shared" si="39"/>
        <v>1.5595037949584318</v>
      </c>
      <c r="F87" s="4">
        <f t="shared" si="40"/>
        <v>1.5595037949584318</v>
      </c>
      <c r="G87" s="155">
        <f t="shared" si="41"/>
        <v>0</v>
      </c>
      <c r="H87" s="155">
        <f t="shared" si="42"/>
        <v>0</v>
      </c>
      <c r="I87" s="155">
        <f t="shared" si="43"/>
        <v>0</v>
      </c>
      <c r="J87" s="3">
        <v>0.87454098153629933</v>
      </c>
      <c r="K87" s="105">
        <v>1</v>
      </c>
      <c r="L87" s="3">
        <f t="shared" si="44"/>
        <v>11.94732582088017</v>
      </c>
      <c r="M87" s="165">
        <f t="shared" si="52"/>
        <v>11.94732582088017</v>
      </c>
      <c r="N87" s="107">
        <f t="shared" si="45"/>
        <v>11.94732582088017</v>
      </c>
      <c r="O87" s="165">
        <f t="shared" si="46"/>
        <v>11.94732582088017</v>
      </c>
      <c r="P87" s="165">
        <f t="shared" si="53"/>
        <v>11.94732582088017</v>
      </c>
      <c r="Q87" s="3">
        <f t="shared" si="54"/>
        <v>11.94732582088017</v>
      </c>
      <c r="R87" s="153">
        <f t="shared" si="47"/>
        <v>11.94732582088017</v>
      </c>
      <c r="S87" s="153">
        <f t="shared" si="48"/>
        <v>11.94732582088017</v>
      </c>
      <c r="T87" s="153">
        <f t="shared" si="49"/>
        <v>11.94732582088017</v>
      </c>
      <c r="U87" s="148">
        <f>IF('OPFOK OUDERDIEREN'!$H$15="ja",L87-((E87-G87*95%-I87)/E87*L87)*$R$6,L87-((E87-G87*80%-I87)/E87*L87)*$R$6)</f>
        <v>11.94732582088017</v>
      </c>
      <c r="V87" s="85">
        <f t="shared" si="50"/>
        <v>11.94732582088017</v>
      </c>
      <c r="W87" s="162">
        <f t="shared" si="51"/>
        <v>11.94732582088017</v>
      </c>
      <c r="X87" s="187"/>
    </row>
    <row r="88" spans="1:24" x14ac:dyDescent="0.25">
      <c r="A88" s="1">
        <v>79</v>
      </c>
      <c r="B88" s="1">
        <v>1228.5</v>
      </c>
      <c r="E88" s="4">
        <f t="shared" si="39"/>
        <v>1.5872993671164999</v>
      </c>
      <c r="F88" s="4">
        <f t="shared" si="40"/>
        <v>1.5872993671164999</v>
      </c>
      <c r="G88" s="155">
        <f t="shared" si="41"/>
        <v>0</v>
      </c>
      <c r="H88" s="155">
        <f t="shared" si="42"/>
        <v>0</v>
      </c>
      <c r="I88" s="155">
        <f t="shared" si="43"/>
        <v>0</v>
      </c>
      <c r="J88" s="3">
        <v>0.89078149007886331</v>
      </c>
      <c r="K88" s="105">
        <v>1</v>
      </c>
      <c r="L88" s="3">
        <f t="shared" si="44"/>
        <v>12.386087204065547</v>
      </c>
      <c r="M88" s="165">
        <f t="shared" si="52"/>
        <v>12.386087204065547</v>
      </c>
      <c r="N88" s="107">
        <f t="shared" si="45"/>
        <v>12.386087204065547</v>
      </c>
      <c r="O88" s="165">
        <f t="shared" si="46"/>
        <v>12.386087204065547</v>
      </c>
      <c r="P88" s="165">
        <f t="shared" si="53"/>
        <v>12.386087204065547</v>
      </c>
      <c r="Q88" s="3">
        <f t="shared" si="54"/>
        <v>12.386087204065547</v>
      </c>
      <c r="R88" s="153">
        <f t="shared" si="47"/>
        <v>12.386087204065547</v>
      </c>
      <c r="S88" s="153">
        <f t="shared" si="48"/>
        <v>12.386087204065547</v>
      </c>
      <c r="T88" s="153">
        <f t="shared" si="49"/>
        <v>12.386087204065547</v>
      </c>
      <c r="U88" s="148">
        <f>IF('OPFOK OUDERDIEREN'!$H$15="ja",L88-((E88-G88*95%-I88)/E88*L88)*$R$6,L88-((E88-G88*80%-I88)/E88*L88)*$R$6)</f>
        <v>12.386087204065547</v>
      </c>
      <c r="V88" s="85">
        <f t="shared" si="50"/>
        <v>12.386087204065547</v>
      </c>
      <c r="W88" s="162">
        <f t="shared" si="51"/>
        <v>12.386087204065547</v>
      </c>
      <c r="X88" s="187"/>
    </row>
    <row r="89" spans="1:24" x14ac:dyDescent="0.25">
      <c r="A89" s="1">
        <v>80</v>
      </c>
      <c r="B89" s="1">
        <v>1242.8</v>
      </c>
      <c r="E89" s="4">
        <f t="shared" si="39"/>
        <v>1.6155338435232081</v>
      </c>
      <c r="F89" s="4">
        <f t="shared" si="40"/>
        <v>1.6155338435232081</v>
      </c>
      <c r="G89" s="155">
        <f t="shared" si="41"/>
        <v>0</v>
      </c>
      <c r="H89" s="155">
        <f t="shared" si="42"/>
        <v>0</v>
      </c>
      <c r="I89" s="155">
        <f t="shared" si="43"/>
        <v>0</v>
      </c>
      <c r="J89" s="3">
        <v>0.90732359011146546</v>
      </c>
      <c r="K89" s="105">
        <v>1</v>
      </c>
      <c r="L89" s="3">
        <f t="shared" si="44"/>
        <v>12.840512829623972</v>
      </c>
      <c r="M89" s="165">
        <f t="shared" si="52"/>
        <v>12.840512829623972</v>
      </c>
      <c r="N89" s="107">
        <f t="shared" si="45"/>
        <v>12.840512829623972</v>
      </c>
      <c r="O89" s="165">
        <f t="shared" si="46"/>
        <v>12.840512829623972</v>
      </c>
      <c r="P89" s="165">
        <f t="shared" si="53"/>
        <v>12.840512829623972</v>
      </c>
      <c r="Q89" s="3">
        <f t="shared" si="54"/>
        <v>12.840512829623972</v>
      </c>
      <c r="R89" s="153">
        <f t="shared" si="47"/>
        <v>12.840512829623972</v>
      </c>
      <c r="S89" s="153">
        <f t="shared" si="48"/>
        <v>12.840512829623972</v>
      </c>
      <c r="T89" s="153">
        <f t="shared" si="49"/>
        <v>12.840512829623972</v>
      </c>
      <c r="U89" s="148">
        <f>IF('OPFOK OUDERDIEREN'!$H$15="ja",L89-((E89-G89*95%-I89)/E89*L89)*$R$6,L89-((E89-G89*80%-I89)/E89*L89)*$R$6)</f>
        <v>12.840512829623972</v>
      </c>
      <c r="V89" s="85">
        <f t="shared" si="50"/>
        <v>12.840512829623972</v>
      </c>
      <c r="W89" s="162">
        <f t="shared" si="51"/>
        <v>12.840512829623972</v>
      </c>
      <c r="X89" s="187"/>
    </row>
    <row r="90" spans="1:24" x14ac:dyDescent="0.25">
      <c r="A90" s="1">
        <v>81</v>
      </c>
      <c r="B90" s="1">
        <v>1257.0999999999999</v>
      </c>
      <c r="E90" s="4">
        <f t="shared" si="39"/>
        <v>1.6442139615514837</v>
      </c>
      <c r="F90" s="4">
        <f t="shared" si="40"/>
        <v>1.6442139615514837</v>
      </c>
      <c r="G90" s="155">
        <f t="shared" si="41"/>
        <v>0</v>
      </c>
      <c r="H90" s="155">
        <f t="shared" si="42"/>
        <v>0</v>
      </c>
      <c r="I90" s="155">
        <f t="shared" si="43"/>
        <v>0</v>
      </c>
      <c r="J90" s="3">
        <v>0.92417288228550343</v>
      </c>
      <c r="K90" s="105">
        <v>1</v>
      </c>
      <c r="L90" s="3">
        <f t="shared" si="44"/>
        <v>13.311152494044043</v>
      </c>
      <c r="M90" s="165">
        <f t="shared" si="52"/>
        <v>13.311152494044043</v>
      </c>
      <c r="N90" s="107">
        <f t="shared" si="45"/>
        <v>13.311152494044043</v>
      </c>
      <c r="O90" s="165">
        <f t="shared" si="46"/>
        <v>13.311152494044043</v>
      </c>
      <c r="P90" s="165">
        <f t="shared" si="53"/>
        <v>13.311152494044043</v>
      </c>
      <c r="Q90" s="3">
        <f t="shared" si="54"/>
        <v>13.311152494044043</v>
      </c>
      <c r="R90" s="153">
        <f t="shared" si="47"/>
        <v>13.311152494044043</v>
      </c>
      <c r="S90" s="153">
        <f t="shared" si="48"/>
        <v>13.311152494044043</v>
      </c>
      <c r="T90" s="153">
        <f t="shared" si="49"/>
        <v>13.311152494044043</v>
      </c>
      <c r="U90" s="148">
        <f>IF('OPFOK OUDERDIEREN'!$H$15="ja",L90-((E90-G90*95%-I90)/E90*L90)*$R$6,L90-((E90-G90*80%-I90)/E90*L90)*$R$6)</f>
        <v>13.311152494044043</v>
      </c>
      <c r="V90" s="85">
        <f t="shared" si="50"/>
        <v>13.311152494044043</v>
      </c>
      <c r="W90" s="162">
        <f t="shared" si="51"/>
        <v>13.311152494044043</v>
      </c>
      <c r="X90" s="187"/>
    </row>
    <row r="91" spans="1:24" x14ac:dyDescent="0.25">
      <c r="A91" s="1">
        <v>82</v>
      </c>
      <c r="B91" s="1">
        <v>1271.4000000000001</v>
      </c>
      <c r="E91" s="4">
        <f t="shared" si="39"/>
        <v>1.6733464585742561</v>
      </c>
      <c r="F91" s="4">
        <f t="shared" si="40"/>
        <v>1.6733464585742561</v>
      </c>
      <c r="G91" s="155">
        <f t="shared" si="41"/>
        <v>0</v>
      </c>
      <c r="H91" s="155">
        <f t="shared" si="42"/>
        <v>0</v>
      </c>
      <c r="I91" s="155">
        <f t="shared" si="43"/>
        <v>0</v>
      </c>
      <c r="J91" s="3">
        <v>0.94133507125828009</v>
      </c>
      <c r="K91" s="105">
        <v>1</v>
      </c>
      <c r="L91" s="3">
        <f t="shared" si="44"/>
        <v>13.798574240518862</v>
      </c>
      <c r="M91" s="165">
        <f t="shared" si="52"/>
        <v>13.798574240518862</v>
      </c>
      <c r="N91" s="107">
        <f t="shared" si="45"/>
        <v>13.798574240518862</v>
      </c>
      <c r="O91" s="165">
        <f t="shared" si="46"/>
        <v>13.798574240518862</v>
      </c>
      <c r="P91" s="165">
        <f t="shared" si="53"/>
        <v>13.798574240518862</v>
      </c>
      <c r="Q91" s="3">
        <f t="shared" si="54"/>
        <v>13.798574240518862</v>
      </c>
      <c r="R91" s="153">
        <f t="shared" si="47"/>
        <v>13.798574240518862</v>
      </c>
      <c r="S91" s="153">
        <f t="shared" si="48"/>
        <v>13.798574240518862</v>
      </c>
      <c r="T91" s="153">
        <f t="shared" si="49"/>
        <v>13.798574240518862</v>
      </c>
      <c r="U91" s="148">
        <f>IF('OPFOK OUDERDIEREN'!$H$15="ja",L91-((E91-G91*95%-I91)/E91*L91)*$R$6,L91-((E91-G91*80%-I91)/E91*L91)*$R$6)</f>
        <v>13.798574240518862</v>
      </c>
      <c r="V91" s="85">
        <f t="shared" si="50"/>
        <v>13.798574240518862</v>
      </c>
      <c r="W91" s="162">
        <f t="shared" si="51"/>
        <v>13.798574240518862</v>
      </c>
      <c r="X91" s="187"/>
    </row>
    <row r="92" spans="1:24" x14ac:dyDescent="0.25">
      <c r="A92" s="1">
        <v>83</v>
      </c>
      <c r="B92" s="1">
        <v>1285.7</v>
      </c>
      <c r="E92" s="4">
        <f t="shared" si="39"/>
        <v>1.702938071964452</v>
      </c>
      <c r="F92" s="4">
        <f t="shared" si="40"/>
        <v>1.702938071964452</v>
      </c>
      <c r="G92" s="155">
        <f t="shared" si="41"/>
        <v>0</v>
      </c>
      <c r="H92" s="155">
        <f t="shared" si="42"/>
        <v>0</v>
      </c>
      <c r="I92" s="155">
        <f t="shared" si="43"/>
        <v>0</v>
      </c>
      <c r="J92" s="3">
        <v>0.95881596762442789</v>
      </c>
      <c r="K92" s="105">
        <v>1</v>
      </c>
      <c r="L92" s="3">
        <f t="shared" si="44"/>
        <v>14.303364925809646</v>
      </c>
      <c r="M92" s="165">
        <f t="shared" si="52"/>
        <v>14.303364925809646</v>
      </c>
      <c r="N92" s="107">
        <f t="shared" si="45"/>
        <v>14.303364925809646</v>
      </c>
      <c r="O92" s="165">
        <f t="shared" si="46"/>
        <v>14.303364925809646</v>
      </c>
      <c r="P92" s="165">
        <f t="shared" si="53"/>
        <v>14.303364925809646</v>
      </c>
      <c r="Q92" s="3">
        <f t="shared" si="54"/>
        <v>14.303364925809646</v>
      </c>
      <c r="R92" s="153">
        <f t="shared" si="47"/>
        <v>14.303364925809646</v>
      </c>
      <c r="S92" s="153">
        <f t="shared" si="48"/>
        <v>14.303364925809646</v>
      </c>
      <c r="T92" s="153">
        <f t="shared" si="49"/>
        <v>14.303364925809646</v>
      </c>
      <c r="U92" s="148">
        <f>IF('OPFOK OUDERDIEREN'!$H$15="ja",L92-((E92-G92*95%-I92)/E92*L92)*$R$6,L92-((E92-G92*80%-I92)/E92*L92)*$R$6)</f>
        <v>14.303364925809646</v>
      </c>
      <c r="V92" s="85">
        <f t="shared" si="50"/>
        <v>14.303364925809646</v>
      </c>
      <c r="W92" s="162">
        <f t="shared" si="51"/>
        <v>14.303364925809646</v>
      </c>
      <c r="X92" s="187"/>
    </row>
    <row r="93" spans="1:24" x14ac:dyDescent="0.25">
      <c r="A93" s="1">
        <v>84</v>
      </c>
      <c r="B93" s="1">
        <v>1300</v>
      </c>
      <c r="E93" s="4">
        <f t="shared" si="39"/>
        <v>1.732995539095</v>
      </c>
      <c r="F93" s="4">
        <f t="shared" si="40"/>
        <v>1.732995539095</v>
      </c>
      <c r="G93" s="155">
        <f t="shared" si="41"/>
        <v>0</v>
      </c>
      <c r="H93" s="155">
        <f t="shared" si="42"/>
        <v>0</v>
      </c>
      <c r="I93" s="155">
        <f t="shared" si="43"/>
        <v>0</v>
      </c>
      <c r="J93" s="3">
        <v>0.97662148988319786</v>
      </c>
      <c r="K93" s="105">
        <v>1</v>
      </c>
      <c r="L93" s="3">
        <f t="shared" si="44"/>
        <v>14.826130803682595</v>
      </c>
      <c r="M93" s="165">
        <f t="shared" si="52"/>
        <v>14.826130803682595</v>
      </c>
      <c r="N93" s="107">
        <f t="shared" si="45"/>
        <v>14.826130803682595</v>
      </c>
      <c r="O93" s="165">
        <f t="shared" si="46"/>
        <v>14.826130803682595</v>
      </c>
      <c r="P93" s="165">
        <f t="shared" si="53"/>
        <v>14.826130803682595</v>
      </c>
      <c r="Q93" s="3">
        <f t="shared" si="54"/>
        <v>14.826130803682595</v>
      </c>
      <c r="R93" s="153">
        <f t="shared" si="47"/>
        <v>14.826130803682595</v>
      </c>
      <c r="S93" s="153">
        <f t="shared" si="48"/>
        <v>14.826130803682595</v>
      </c>
      <c r="T93" s="153">
        <f t="shared" si="49"/>
        <v>14.826130803682595</v>
      </c>
      <c r="U93" s="148">
        <f>IF('OPFOK OUDERDIEREN'!$H$15="ja",L93-((E93-G93*95%-I93)/E93*L93)*$R$6,L93-((E93-G93*80%-I93)/E93*L93)*$R$6)</f>
        <v>14.826130803682595</v>
      </c>
      <c r="V93" s="85">
        <f t="shared" si="50"/>
        <v>14.826130803682595</v>
      </c>
      <c r="W93" s="162">
        <f t="shared" si="51"/>
        <v>14.826130803682595</v>
      </c>
      <c r="X93" s="187"/>
    </row>
    <row r="94" spans="1:24" x14ac:dyDescent="0.25">
      <c r="A94" s="1">
        <v>85</v>
      </c>
      <c r="B94" s="1">
        <v>1314.2</v>
      </c>
      <c r="E94" s="4">
        <f t="shared" si="39"/>
        <v>1.763310444026432</v>
      </c>
      <c r="F94" s="4">
        <f t="shared" si="40"/>
        <v>1.763310444026432</v>
      </c>
      <c r="G94" s="155">
        <f t="shared" si="41"/>
        <v>0</v>
      </c>
      <c r="H94" s="155">
        <f t="shared" si="42"/>
        <v>0</v>
      </c>
      <c r="I94" s="155">
        <f t="shared" si="43"/>
        <v>0</v>
      </c>
      <c r="J94" s="3">
        <v>0.99475766644228514</v>
      </c>
      <c r="K94" s="105">
        <v>1</v>
      </c>
      <c r="L94" s="3">
        <f t="shared" si="44"/>
        <v>15.365623262814259</v>
      </c>
      <c r="M94" s="165">
        <f t="shared" si="52"/>
        <v>15.365623262814259</v>
      </c>
      <c r="N94" s="107">
        <f t="shared" si="45"/>
        <v>15.365623262814259</v>
      </c>
      <c r="O94" s="165">
        <f t="shared" si="46"/>
        <v>15.365623262814259</v>
      </c>
      <c r="P94" s="165">
        <f t="shared" si="53"/>
        <v>15.365623262814259</v>
      </c>
      <c r="Q94" s="3">
        <f t="shared" si="54"/>
        <v>15.365623262814259</v>
      </c>
      <c r="R94" s="153">
        <f t="shared" si="47"/>
        <v>15.365623262814259</v>
      </c>
      <c r="S94" s="153">
        <f t="shared" si="48"/>
        <v>15.365623262814259</v>
      </c>
      <c r="T94" s="153">
        <f t="shared" si="49"/>
        <v>15.365623262814259</v>
      </c>
      <c r="U94" s="148">
        <f>IF('OPFOK OUDERDIEREN'!$H$15="ja",L94-((E94-G94*95%-I94)/E94*L94)*$R$6,L94-((E94-G94*80%-I94)/E94*L94)*$R$6)</f>
        <v>15.365623262814259</v>
      </c>
      <c r="V94" s="85">
        <f t="shared" si="50"/>
        <v>15.365623262814259</v>
      </c>
      <c r="W94" s="162">
        <f t="shared" si="51"/>
        <v>15.365623262814259</v>
      </c>
      <c r="X94" s="187"/>
    </row>
    <row r="95" spans="1:24" x14ac:dyDescent="0.25">
      <c r="A95" s="1">
        <v>86</v>
      </c>
      <c r="B95" s="1">
        <v>1328.5</v>
      </c>
      <c r="E95" s="4">
        <f t="shared" si="39"/>
        <v>1.7943164554165001</v>
      </c>
      <c r="F95" s="4">
        <f t="shared" si="40"/>
        <v>1.7943164554165001</v>
      </c>
      <c r="G95" s="155">
        <f t="shared" si="41"/>
        <v>0</v>
      </c>
      <c r="H95" s="155">
        <f t="shared" si="42"/>
        <v>0</v>
      </c>
      <c r="I95" s="155">
        <f t="shared" si="43"/>
        <v>0</v>
      </c>
      <c r="J95" s="3">
        <v>1.0132306376588618</v>
      </c>
      <c r="K95" s="105">
        <v>1</v>
      </c>
      <c r="L95" s="3">
        <f t="shared" si="44"/>
        <v>15.926174119043015</v>
      </c>
      <c r="M95" s="165">
        <f t="shared" si="52"/>
        <v>15.926174119043015</v>
      </c>
      <c r="N95" s="107">
        <f t="shared" si="45"/>
        <v>15.926174119043015</v>
      </c>
      <c r="O95" s="165">
        <f t="shared" si="46"/>
        <v>15.926174119043015</v>
      </c>
      <c r="P95" s="165">
        <f t="shared" si="53"/>
        <v>15.926174119043015</v>
      </c>
      <c r="Q95" s="3">
        <f t="shared" si="54"/>
        <v>15.926174119043015</v>
      </c>
      <c r="R95" s="153">
        <f t="shared" si="47"/>
        <v>15.926174119043015</v>
      </c>
      <c r="S95" s="153">
        <f t="shared" si="48"/>
        <v>15.926174119043015</v>
      </c>
      <c r="T95" s="153">
        <f t="shared" si="49"/>
        <v>15.926174119043015</v>
      </c>
      <c r="U95" s="148">
        <f>IF('OPFOK OUDERDIEREN'!$H$15="ja",L95-((E95-G95*95%-I95)/E95*L95)*$R$6,L95-((E95-G95*80%-I95)/E95*L95)*$R$6)</f>
        <v>15.926174119043015</v>
      </c>
      <c r="V95" s="85">
        <f t="shared" si="50"/>
        <v>15.926174119043015</v>
      </c>
      <c r="W95" s="162">
        <f t="shared" si="51"/>
        <v>15.926174119043015</v>
      </c>
      <c r="X95" s="187"/>
    </row>
    <row r="96" spans="1:24" x14ac:dyDescent="0.25">
      <c r="A96" s="1">
        <v>87</v>
      </c>
      <c r="B96" s="1">
        <v>1342.8</v>
      </c>
      <c r="E96" s="4">
        <f t="shared" si="39"/>
        <v>1.825808485551208</v>
      </c>
      <c r="F96" s="4">
        <f t="shared" si="40"/>
        <v>1.825808485551208</v>
      </c>
      <c r="G96" s="155">
        <f t="shared" si="41"/>
        <v>0</v>
      </c>
      <c r="H96" s="155">
        <f t="shared" si="42"/>
        <v>0</v>
      </c>
      <c r="I96" s="155">
        <f t="shared" si="43"/>
        <v>0</v>
      </c>
      <c r="J96" s="3">
        <v>1.0320466579185175</v>
      </c>
      <c r="K96" s="105">
        <v>1</v>
      </c>
      <c r="L96" s="3">
        <f t="shared" si="44"/>
        <v>16.506639218688573</v>
      </c>
      <c r="M96" s="165">
        <f t="shared" si="52"/>
        <v>16.506639218688573</v>
      </c>
      <c r="N96" s="107">
        <f t="shared" si="45"/>
        <v>16.506639218688573</v>
      </c>
      <c r="O96" s="165">
        <f t="shared" si="46"/>
        <v>16.506639218688573</v>
      </c>
      <c r="P96" s="165">
        <f t="shared" si="53"/>
        <v>16.506639218688573</v>
      </c>
      <c r="Q96" s="3">
        <f t="shared" si="54"/>
        <v>16.506639218688573</v>
      </c>
      <c r="R96" s="153">
        <f t="shared" si="47"/>
        <v>16.506639218688573</v>
      </c>
      <c r="S96" s="153">
        <f t="shared" si="48"/>
        <v>16.506639218688573</v>
      </c>
      <c r="T96" s="153">
        <f t="shared" si="49"/>
        <v>16.506639218688573</v>
      </c>
      <c r="U96" s="148">
        <f>IF('OPFOK OUDERDIEREN'!$H$15="ja",L96-((E96-G96*95%-I96)/E96*L96)*$R$6,L96-((E96-G96*80%-I96)/E96*L96)*$R$6)</f>
        <v>16.506639218688573</v>
      </c>
      <c r="V96" s="85">
        <f t="shared" si="50"/>
        <v>16.506639218688573</v>
      </c>
      <c r="W96" s="162">
        <f t="shared" si="51"/>
        <v>16.506639218688573</v>
      </c>
      <c r="X96" s="187"/>
    </row>
    <row r="97" spans="1:24" x14ac:dyDescent="0.25">
      <c r="A97" s="1">
        <v>88</v>
      </c>
      <c r="B97" s="1">
        <v>1357.1</v>
      </c>
      <c r="E97" s="4">
        <f t="shared" si="39"/>
        <v>1.8577932718034835</v>
      </c>
      <c r="F97" s="4">
        <f t="shared" si="40"/>
        <v>1.8577932718034835</v>
      </c>
      <c r="G97" s="155">
        <f t="shared" si="41"/>
        <v>0</v>
      </c>
      <c r="H97" s="155">
        <f t="shared" si="42"/>
        <v>0</v>
      </c>
      <c r="I97" s="155">
        <f t="shared" si="43"/>
        <v>0</v>
      </c>
      <c r="J97" s="3">
        <v>1.0512120977528023</v>
      </c>
      <c r="K97" s="105">
        <v>1</v>
      </c>
      <c r="L97" s="3">
        <f t="shared" si="44"/>
        <v>17.107708519005776</v>
      </c>
      <c r="M97" s="165">
        <f t="shared" si="52"/>
        <v>17.107708519005776</v>
      </c>
      <c r="N97" s="107">
        <f t="shared" si="45"/>
        <v>17.107708519005776</v>
      </c>
      <c r="O97" s="165">
        <f t="shared" si="46"/>
        <v>17.107708519005776</v>
      </c>
      <c r="P97" s="165">
        <f t="shared" si="53"/>
        <v>17.107708519005776</v>
      </c>
      <c r="Q97" s="3">
        <f t="shared" si="54"/>
        <v>17.107708519005776</v>
      </c>
      <c r="R97" s="153">
        <f t="shared" si="47"/>
        <v>17.107708519005776</v>
      </c>
      <c r="S97" s="153">
        <f t="shared" si="48"/>
        <v>17.107708519005776</v>
      </c>
      <c r="T97" s="153">
        <f t="shared" si="49"/>
        <v>17.107708519005776</v>
      </c>
      <c r="U97" s="148">
        <f>IF('OPFOK OUDERDIEREN'!$H$15="ja",L97-((E97-G97*95%-I97)/E97*L97)*$R$6,L97-((E97-G97*80%-I97)/E97*L97)*$R$6)</f>
        <v>17.107708519005776</v>
      </c>
      <c r="V97" s="85">
        <f t="shared" si="50"/>
        <v>17.107708519005776</v>
      </c>
      <c r="W97" s="162">
        <f t="shared" si="51"/>
        <v>17.107708519005776</v>
      </c>
      <c r="X97" s="187"/>
    </row>
    <row r="98" spans="1:24" x14ac:dyDescent="0.25">
      <c r="A98" s="1">
        <v>89</v>
      </c>
      <c r="B98" s="1">
        <v>1371.4</v>
      </c>
      <c r="E98" s="4">
        <f t="shared" si="39"/>
        <v>1.8902775515462562</v>
      </c>
      <c r="F98" s="4">
        <f t="shared" si="40"/>
        <v>1.8902775515462562</v>
      </c>
      <c r="G98" s="155">
        <f t="shared" si="41"/>
        <v>0</v>
      </c>
      <c r="H98" s="155">
        <f t="shared" si="42"/>
        <v>0</v>
      </c>
      <c r="I98" s="155">
        <f t="shared" si="43"/>
        <v>0</v>
      </c>
      <c r="J98" s="3">
        <v>1.0707334459960947</v>
      </c>
      <c r="K98" s="105">
        <v>1</v>
      </c>
      <c r="L98" s="3">
        <f t="shared" si="44"/>
        <v>17.730094554708163</v>
      </c>
      <c r="M98" s="165">
        <f t="shared" si="52"/>
        <v>17.730094554708163</v>
      </c>
      <c r="N98" s="107">
        <f t="shared" si="45"/>
        <v>17.730094554708163</v>
      </c>
      <c r="O98" s="165">
        <f t="shared" si="46"/>
        <v>17.730094554708163</v>
      </c>
      <c r="P98" s="165">
        <f t="shared" si="53"/>
        <v>17.730094554708163</v>
      </c>
      <c r="Q98" s="3">
        <f t="shared" si="54"/>
        <v>17.730094554708163</v>
      </c>
      <c r="R98" s="153">
        <f t="shared" si="47"/>
        <v>17.730094554708163</v>
      </c>
      <c r="S98" s="153">
        <f t="shared" si="48"/>
        <v>17.730094554708163</v>
      </c>
      <c r="T98" s="153">
        <f t="shared" si="49"/>
        <v>17.730094554708163</v>
      </c>
      <c r="U98" s="148">
        <f>IF('OPFOK OUDERDIEREN'!$H$15="ja",L98-((E98-G98*95%-I98)/E98*L98)*$R$6,L98-((E98-G98*80%-I98)/E98*L98)*$R$6)</f>
        <v>17.730094554708163</v>
      </c>
      <c r="V98" s="85">
        <f t="shared" si="50"/>
        <v>17.730094554708163</v>
      </c>
      <c r="W98" s="162">
        <f t="shared" si="51"/>
        <v>17.730094554708163</v>
      </c>
      <c r="X98" s="187"/>
    </row>
    <row r="99" spans="1:24" x14ac:dyDescent="0.25">
      <c r="A99" s="1">
        <v>90</v>
      </c>
      <c r="B99" s="1">
        <v>1385.7</v>
      </c>
      <c r="E99" s="4">
        <f t="shared" si="39"/>
        <v>1.9232680621524521</v>
      </c>
      <c r="F99" s="4">
        <f t="shared" si="40"/>
        <v>1.9232680621524521</v>
      </c>
      <c r="G99" s="155">
        <f t="shared" si="41"/>
        <v>0</v>
      </c>
      <c r="H99" s="155">
        <f t="shared" si="42"/>
        <v>0</v>
      </c>
      <c r="I99" s="155">
        <f t="shared" si="43"/>
        <v>0</v>
      </c>
      <c r="J99" s="3">
        <v>1.0906173119825242</v>
      </c>
      <c r="K99" s="105">
        <v>1</v>
      </c>
      <c r="L99" s="3">
        <f t="shared" si="44"/>
        <v>18.374533130898936</v>
      </c>
      <c r="M99" s="165">
        <f t="shared" si="52"/>
        <v>18.374533130898936</v>
      </c>
      <c r="N99" s="107">
        <f t="shared" si="45"/>
        <v>18.374533130898936</v>
      </c>
      <c r="O99" s="165">
        <f t="shared" si="46"/>
        <v>18.374533130898936</v>
      </c>
      <c r="P99" s="165">
        <f t="shared" si="53"/>
        <v>18.374533130898936</v>
      </c>
      <c r="Q99" s="3">
        <f t="shared" si="54"/>
        <v>18.374533130898936</v>
      </c>
      <c r="R99" s="153">
        <f t="shared" si="47"/>
        <v>18.374533130898936</v>
      </c>
      <c r="S99" s="153">
        <f t="shared" si="48"/>
        <v>18.374533130898936</v>
      </c>
      <c r="T99" s="153">
        <f t="shared" si="49"/>
        <v>18.374533130898936</v>
      </c>
      <c r="U99" s="148">
        <f>IF('OPFOK OUDERDIEREN'!$H$15="ja",L99-((E99-G99*95%-I99)/E99*L99)*$R$6,L99-((E99-G99*80%-I99)/E99*L99)*$R$6)</f>
        <v>18.374533130898936</v>
      </c>
      <c r="V99" s="85">
        <f t="shared" si="50"/>
        <v>18.374533130898936</v>
      </c>
      <c r="W99" s="162">
        <f t="shared" si="51"/>
        <v>18.374533130898936</v>
      </c>
      <c r="X99" s="187"/>
    </row>
    <row r="100" spans="1:24" x14ac:dyDescent="0.25">
      <c r="A100" s="1">
        <v>91</v>
      </c>
      <c r="B100" s="1">
        <v>1400</v>
      </c>
      <c r="E100" s="4">
        <f t="shared" si="39"/>
        <v>1.9567715409949999</v>
      </c>
      <c r="F100" s="4">
        <f t="shared" si="40"/>
        <v>1.9567715409949999</v>
      </c>
      <c r="G100" s="155">
        <f t="shared" si="41"/>
        <v>0</v>
      </c>
      <c r="H100" s="155">
        <f t="shared" si="42"/>
        <v>0</v>
      </c>
      <c r="I100" s="155">
        <f t="shared" si="43"/>
        <v>0</v>
      </c>
      <c r="J100" s="3">
        <v>1.1108704277836907</v>
      </c>
      <c r="K100" s="105">
        <v>1</v>
      </c>
      <c r="L100" s="3">
        <f t="shared" si="44"/>
        <v>19.041784036063788</v>
      </c>
      <c r="M100" s="165">
        <f t="shared" si="52"/>
        <v>19.041784036063788</v>
      </c>
      <c r="N100" s="107">
        <f t="shared" si="45"/>
        <v>19.041784036063788</v>
      </c>
      <c r="O100" s="165">
        <f t="shared" si="46"/>
        <v>19.041784036063788</v>
      </c>
      <c r="P100" s="165">
        <f t="shared" si="53"/>
        <v>19.041784036063788</v>
      </c>
      <c r="Q100" s="3">
        <f t="shared" si="54"/>
        <v>19.041784036063788</v>
      </c>
      <c r="R100" s="153">
        <f t="shared" si="47"/>
        <v>19.041784036063788</v>
      </c>
      <c r="S100" s="153">
        <f t="shared" si="48"/>
        <v>19.041784036063788</v>
      </c>
      <c r="T100" s="153">
        <f t="shared" si="49"/>
        <v>19.041784036063788</v>
      </c>
      <c r="U100" s="148">
        <f>IF('OPFOK OUDERDIEREN'!$H$15="ja",L100-((E100-G100*95%-I100)/E100*L100)*$R$6,L100-((E100-G100*80%-I100)/E100*L100)*$R$6)</f>
        <v>19.041784036063788</v>
      </c>
      <c r="V100" s="85">
        <f t="shared" si="50"/>
        <v>19.041784036063788</v>
      </c>
      <c r="W100" s="162">
        <f t="shared" si="51"/>
        <v>19.041784036063788</v>
      </c>
      <c r="X100" s="187"/>
    </row>
    <row r="101" spans="1:24" x14ac:dyDescent="0.25">
      <c r="A101" s="1">
        <v>92</v>
      </c>
      <c r="B101" s="1">
        <v>1414.2</v>
      </c>
      <c r="E101" s="4">
        <f t="shared" si="39"/>
        <v>1.9905549810944319</v>
      </c>
      <c r="F101" s="4">
        <f t="shared" si="40"/>
        <v>1.9905549810944319</v>
      </c>
      <c r="G101" s="155">
        <f t="shared" si="41"/>
        <v>0</v>
      </c>
      <c r="H101" s="155">
        <f t="shared" si="42"/>
        <v>0</v>
      </c>
      <c r="I101" s="155">
        <f t="shared" si="43"/>
        <v>0</v>
      </c>
      <c r="J101" s="3">
        <v>1.1314996504879373</v>
      </c>
      <c r="K101" s="105">
        <v>1</v>
      </c>
      <c r="L101" s="3">
        <f t="shared" si="44"/>
        <v>19.73025544477586</v>
      </c>
      <c r="M101" s="165">
        <f t="shared" si="52"/>
        <v>19.73025544477586</v>
      </c>
      <c r="N101" s="107">
        <f t="shared" si="45"/>
        <v>19.73025544477586</v>
      </c>
      <c r="O101" s="165">
        <f t="shared" si="46"/>
        <v>19.73025544477586</v>
      </c>
      <c r="P101" s="165">
        <f t="shared" si="53"/>
        <v>19.73025544477586</v>
      </c>
      <c r="Q101" s="3">
        <f t="shared" si="54"/>
        <v>19.73025544477586</v>
      </c>
      <c r="R101" s="153">
        <f t="shared" si="47"/>
        <v>19.73025544477586</v>
      </c>
      <c r="S101" s="153">
        <f t="shared" si="48"/>
        <v>19.73025544477586</v>
      </c>
      <c r="T101" s="153">
        <f t="shared" si="49"/>
        <v>19.73025544477586</v>
      </c>
      <c r="U101" s="148">
        <f>IF('OPFOK OUDERDIEREN'!$H$15="ja",L101-((E101-G101*95%-I101)/E101*L101)*$R$6,L101-((E101-G101*80%-I101)/E101*L101)*$R$6)</f>
        <v>19.73025544477586</v>
      </c>
      <c r="V101" s="85">
        <f t="shared" si="50"/>
        <v>19.73025544477586</v>
      </c>
      <c r="W101" s="162">
        <f t="shared" si="51"/>
        <v>19.73025544477586</v>
      </c>
      <c r="X101" s="187"/>
    </row>
    <row r="102" spans="1:24" x14ac:dyDescent="0.25">
      <c r="A102" s="1">
        <v>93</v>
      </c>
      <c r="B102" s="1">
        <v>1428.5</v>
      </c>
      <c r="E102" s="4">
        <f t="shared" si="39"/>
        <v>2.0251009037165</v>
      </c>
      <c r="F102" s="4">
        <f t="shared" si="40"/>
        <v>2.0251009037165</v>
      </c>
      <c r="G102" s="155">
        <f t="shared" si="41"/>
        <v>0</v>
      </c>
      <c r="H102" s="155">
        <f t="shared" si="42"/>
        <v>0</v>
      </c>
      <c r="I102" s="155">
        <f t="shared" si="43"/>
        <v>0</v>
      </c>
      <c r="J102" s="3">
        <v>1.1525119645219535</v>
      </c>
      <c r="K102" s="105">
        <v>1</v>
      </c>
      <c r="L102" s="3">
        <f t="shared" si="44"/>
        <v>20.445428463061987</v>
      </c>
      <c r="M102" s="165">
        <f t="shared" si="52"/>
        <v>20.445428463061987</v>
      </c>
      <c r="N102" s="107">
        <f t="shared" si="45"/>
        <v>20.445428463061987</v>
      </c>
      <c r="O102" s="165">
        <f t="shared" si="46"/>
        <v>20.445428463061987</v>
      </c>
      <c r="P102" s="165">
        <f t="shared" si="53"/>
        <v>20.445428463061987</v>
      </c>
      <c r="Q102" s="3">
        <f t="shared" si="54"/>
        <v>20.445428463061987</v>
      </c>
      <c r="R102" s="153">
        <f t="shared" si="47"/>
        <v>20.445428463061987</v>
      </c>
      <c r="S102" s="153">
        <f t="shared" si="48"/>
        <v>20.445428463061987</v>
      </c>
      <c r="T102" s="153">
        <f t="shared" si="49"/>
        <v>20.445428463061987</v>
      </c>
      <c r="U102" s="148">
        <f>IF('OPFOK OUDERDIEREN'!$H$15="ja",L102-((E102-G102*95%-I102)/E102*L102)*$R$6,L102-((E102-G102*80%-I102)/E102*L102)*$R$6)</f>
        <v>20.445428463061987</v>
      </c>
      <c r="V102" s="85">
        <f t="shared" si="50"/>
        <v>20.445428463061987</v>
      </c>
      <c r="W102" s="162">
        <f t="shared" si="51"/>
        <v>20.445428463061987</v>
      </c>
      <c r="X102" s="187"/>
    </row>
    <row r="103" spans="1:24" x14ac:dyDescent="0.25">
      <c r="A103" s="1">
        <v>94</v>
      </c>
      <c r="B103" s="1">
        <v>1442.8</v>
      </c>
      <c r="E103" s="4">
        <f t="shared" si="39"/>
        <v>2.0601799595792079</v>
      </c>
      <c r="F103" s="4">
        <f t="shared" si="40"/>
        <v>2.0601799595792079</v>
      </c>
      <c r="G103" s="155">
        <f t="shared" si="41"/>
        <v>0</v>
      </c>
      <c r="H103" s="155">
        <f t="shared" si="42"/>
        <v>0</v>
      </c>
      <c r="I103" s="155">
        <f t="shared" si="43"/>
        <v>0</v>
      </c>
      <c r="J103" s="3">
        <v>1.1739144840154885</v>
      </c>
      <c r="K103" s="105">
        <v>1</v>
      </c>
      <c r="L103" s="3">
        <f t="shared" si="44"/>
        <v>21.18584182544145</v>
      </c>
      <c r="M103" s="165">
        <f t="shared" si="52"/>
        <v>21.18584182544145</v>
      </c>
      <c r="N103" s="107">
        <f t="shared" si="45"/>
        <v>21.18584182544145</v>
      </c>
      <c r="O103" s="165">
        <f t="shared" si="46"/>
        <v>21.18584182544145</v>
      </c>
      <c r="P103" s="165">
        <f t="shared" si="53"/>
        <v>21.18584182544145</v>
      </c>
      <c r="Q103" s="3">
        <f t="shared" si="54"/>
        <v>21.18584182544145</v>
      </c>
      <c r="R103" s="153">
        <f t="shared" si="47"/>
        <v>21.18584182544145</v>
      </c>
      <c r="S103" s="153">
        <f t="shared" si="48"/>
        <v>21.18584182544145</v>
      </c>
      <c r="T103" s="153">
        <f t="shared" si="49"/>
        <v>21.18584182544145</v>
      </c>
      <c r="U103" s="148">
        <f>IF('OPFOK OUDERDIEREN'!$H$15="ja",L103-((E103-G103*95%-I103)/E103*L103)*$R$6,L103-((E103-G103*80%-I103)/E103*L103)*$R$6)</f>
        <v>21.18584182544145</v>
      </c>
      <c r="V103" s="85">
        <f t="shared" si="50"/>
        <v>21.18584182544145</v>
      </c>
      <c r="W103" s="162">
        <f t="shared" si="51"/>
        <v>21.18584182544145</v>
      </c>
      <c r="X103" s="187"/>
    </row>
    <row r="104" spans="1:24" x14ac:dyDescent="0.25">
      <c r="A104" s="1">
        <v>95</v>
      </c>
      <c r="B104" s="1">
        <v>1457.1</v>
      </c>
      <c r="E104" s="4">
        <f t="shared" si="39"/>
        <v>2.0957988860554835</v>
      </c>
      <c r="F104" s="4">
        <f t="shared" si="40"/>
        <v>2.0957988860554835</v>
      </c>
      <c r="G104" s="155">
        <f t="shared" si="41"/>
        <v>0</v>
      </c>
      <c r="H104" s="155">
        <f t="shared" si="42"/>
        <v>0</v>
      </c>
      <c r="I104" s="155">
        <f t="shared" si="43"/>
        <v>0</v>
      </c>
      <c r="J104" s="3">
        <v>1.1957144552099792</v>
      </c>
      <c r="K104" s="105">
        <v>1</v>
      </c>
      <c r="L104" s="3">
        <f t="shared" si="44"/>
        <v>21.952358723840938</v>
      </c>
      <c r="M104" s="165">
        <f t="shared" si="52"/>
        <v>21.952358723840938</v>
      </c>
      <c r="N104" s="107">
        <f t="shared" si="45"/>
        <v>21.952358723840938</v>
      </c>
      <c r="O104" s="165">
        <f t="shared" si="46"/>
        <v>21.952358723840938</v>
      </c>
      <c r="P104" s="165">
        <f t="shared" si="53"/>
        <v>21.952358723840938</v>
      </c>
      <c r="Q104" s="3">
        <f t="shared" si="54"/>
        <v>21.952358723840938</v>
      </c>
      <c r="R104" s="153">
        <f t="shared" si="47"/>
        <v>21.952358723840938</v>
      </c>
      <c r="S104" s="153">
        <f t="shared" si="48"/>
        <v>21.952358723840938</v>
      </c>
      <c r="T104" s="153">
        <f t="shared" si="49"/>
        <v>21.952358723840938</v>
      </c>
      <c r="U104" s="148">
        <f>IF('OPFOK OUDERDIEREN'!$H$15="ja",L104-((E104-G104*95%-I104)/E104*L104)*$R$6,L104-((E104-G104*80%-I104)/E104*L104)*$R$6)</f>
        <v>21.952358723840938</v>
      </c>
      <c r="V104" s="85">
        <f t="shared" si="50"/>
        <v>21.952358723840938</v>
      </c>
      <c r="W104" s="162">
        <f t="shared" si="51"/>
        <v>21.952358723840938</v>
      </c>
      <c r="X104" s="187"/>
    </row>
    <row r="105" spans="1:24" x14ac:dyDescent="0.25">
      <c r="A105" s="1">
        <v>96</v>
      </c>
      <c r="B105" s="1">
        <v>1471.4</v>
      </c>
      <c r="E105" s="4">
        <f t="shared" si="39"/>
        <v>2.1319644205182566</v>
      </c>
      <c r="F105" s="4">
        <f t="shared" si="40"/>
        <v>2.1319644205182566</v>
      </c>
      <c r="G105" s="155">
        <f t="shared" si="41"/>
        <v>0</v>
      </c>
      <c r="H105" s="155">
        <f t="shared" si="42"/>
        <v>0</v>
      </c>
      <c r="I105" s="155">
        <f t="shared" si="43"/>
        <v>0</v>
      </c>
      <c r="J105" s="3">
        <v>1.2179192589119072</v>
      </c>
      <c r="K105" s="105">
        <v>1</v>
      </c>
      <c r="L105" s="3">
        <f t="shared" si="44"/>
        <v>22.745870217081944</v>
      </c>
      <c r="M105" s="165">
        <f t="shared" si="52"/>
        <v>22.745870217081944</v>
      </c>
      <c r="N105" s="107">
        <f t="shared" si="45"/>
        <v>22.745870217081944</v>
      </c>
      <c r="O105" s="165">
        <f t="shared" si="46"/>
        <v>22.745870217081944</v>
      </c>
      <c r="P105" s="165">
        <f t="shared" si="53"/>
        <v>22.745870217081944</v>
      </c>
      <c r="Q105" s="3">
        <f t="shared" si="54"/>
        <v>22.745870217081944</v>
      </c>
      <c r="R105" s="153">
        <f t="shared" si="47"/>
        <v>22.745870217081944</v>
      </c>
      <c r="S105" s="153">
        <f t="shared" si="48"/>
        <v>22.745870217081944</v>
      </c>
      <c r="T105" s="153">
        <f t="shared" si="49"/>
        <v>22.745870217081944</v>
      </c>
      <c r="U105" s="148">
        <f>IF('OPFOK OUDERDIEREN'!$H$15="ja",L105-((E105-G105*95%-I105)/E105*L105)*$R$6,L105-((E105-G105*80%-I105)/E105*L105)*$R$6)</f>
        <v>22.745870217081944</v>
      </c>
      <c r="V105" s="85">
        <f t="shared" si="50"/>
        <v>22.745870217081944</v>
      </c>
      <c r="W105" s="162">
        <f t="shared" si="51"/>
        <v>22.745870217081944</v>
      </c>
      <c r="X105" s="187"/>
    </row>
    <row r="106" spans="1:24" x14ac:dyDescent="0.25">
      <c r="A106" s="1">
        <v>97</v>
      </c>
      <c r="B106" s="1">
        <v>1485.7</v>
      </c>
      <c r="E106" s="4">
        <f t="shared" si="39"/>
        <v>2.1686833003404518</v>
      </c>
      <c r="F106" s="4">
        <f t="shared" si="40"/>
        <v>2.1686833003404518</v>
      </c>
      <c r="G106" s="155">
        <f t="shared" si="41"/>
        <v>0</v>
      </c>
      <c r="H106" s="155">
        <f t="shared" si="42"/>
        <v>0</v>
      </c>
      <c r="I106" s="155">
        <f t="shared" si="43"/>
        <v>0</v>
      </c>
      <c r="J106" s="3">
        <v>1.2405364129917138</v>
      </c>
      <c r="K106" s="105">
        <v>1</v>
      </c>
      <c r="L106" s="3">
        <f t="shared" si="44"/>
        <v>23.567296076317724</v>
      </c>
      <c r="M106" s="165">
        <f t="shared" si="52"/>
        <v>23.567296076317724</v>
      </c>
      <c r="N106" s="107">
        <f t="shared" si="45"/>
        <v>23.567296076317724</v>
      </c>
      <c r="O106" s="165">
        <f t="shared" si="46"/>
        <v>23.567296076317724</v>
      </c>
      <c r="P106" s="165">
        <f t="shared" si="53"/>
        <v>23.567296076317724</v>
      </c>
      <c r="Q106" s="3">
        <f t="shared" si="54"/>
        <v>23.567296076317724</v>
      </c>
      <c r="R106" s="153">
        <f t="shared" si="47"/>
        <v>23.567296076317724</v>
      </c>
      <c r="S106" s="153">
        <f t="shared" si="48"/>
        <v>23.567296076317724</v>
      </c>
      <c r="T106" s="153">
        <f t="shared" si="49"/>
        <v>23.567296076317724</v>
      </c>
      <c r="U106" s="148">
        <f>IF('OPFOK OUDERDIEREN'!$H$15="ja",L106-((E106-G106*95%-I106)/E106*L106)*$R$6,L106-((E106-G106*80%-I106)/E106*L106)*$R$6)</f>
        <v>23.567296076317724</v>
      </c>
      <c r="V106" s="85">
        <f t="shared" si="50"/>
        <v>23.567296076317724</v>
      </c>
      <c r="W106" s="162">
        <f t="shared" si="51"/>
        <v>23.567296076317724</v>
      </c>
      <c r="X106" s="187"/>
    </row>
    <row r="107" spans="1:24" x14ac:dyDescent="0.25">
      <c r="A107" s="1">
        <v>98</v>
      </c>
      <c r="B107" s="1">
        <v>1500</v>
      </c>
      <c r="E107" s="4">
        <f t="shared" si="39"/>
        <v>2.2059622628950004</v>
      </c>
      <c r="F107" s="4">
        <f t="shared" si="40"/>
        <v>2.2059622628950004</v>
      </c>
      <c r="G107" s="155">
        <f t="shared" si="41"/>
        <v>0</v>
      </c>
      <c r="H107" s="155">
        <f t="shared" si="42"/>
        <v>0</v>
      </c>
      <c r="I107" s="155">
        <f t="shared" si="43"/>
        <v>0</v>
      </c>
      <c r="J107" s="3">
        <v>1.2635735749291241</v>
      </c>
      <c r="K107" s="105">
        <v>1</v>
      </c>
      <c r="L107" s="3">
        <f t="shared" si="44"/>
        <v>24.417585654720387</v>
      </c>
      <c r="M107" s="165">
        <f t="shared" si="52"/>
        <v>24.417585654720387</v>
      </c>
      <c r="N107" s="107">
        <f t="shared" si="45"/>
        <v>24.417585654720387</v>
      </c>
      <c r="O107" s="165">
        <f t="shared" si="46"/>
        <v>24.417585654720387</v>
      </c>
      <c r="P107" s="165">
        <f t="shared" si="53"/>
        <v>24.417585654720387</v>
      </c>
      <c r="Q107" s="3">
        <f t="shared" si="54"/>
        <v>24.417585654720387</v>
      </c>
      <c r="R107" s="153">
        <f t="shared" si="47"/>
        <v>24.417585654720387</v>
      </c>
      <c r="S107" s="153">
        <f t="shared" si="48"/>
        <v>24.417585654720387</v>
      </c>
      <c r="T107" s="153">
        <f t="shared" si="49"/>
        <v>24.417585654720387</v>
      </c>
      <c r="U107" s="148">
        <f>IF('OPFOK OUDERDIEREN'!$H$15="ja",L107-((E107-G107*95%-I107)/E107*L107)*$R$6,L107-((E107-G107*80%-I107)/E107*L107)*$R$6)</f>
        <v>24.417585654720387</v>
      </c>
      <c r="V107" s="85">
        <f t="shared" si="50"/>
        <v>24.417585654720387</v>
      </c>
      <c r="W107" s="162">
        <f t="shared" si="51"/>
        <v>24.417585654720387</v>
      </c>
      <c r="X107" s="187"/>
    </row>
    <row r="108" spans="1:24" x14ac:dyDescent="0.25">
      <c r="A108" s="1">
        <v>99</v>
      </c>
      <c r="B108" s="1">
        <v>1514.2</v>
      </c>
      <c r="E108" s="4">
        <f t="shared" si="39"/>
        <v>2.2435414061624321</v>
      </c>
      <c r="F108" s="4">
        <f t="shared" si="40"/>
        <v>2.2435414061624321</v>
      </c>
      <c r="G108" s="155">
        <f t="shared" si="41"/>
        <v>0</v>
      </c>
      <c r="H108" s="155">
        <f t="shared" si="42"/>
        <v>0</v>
      </c>
      <c r="I108" s="155">
        <f t="shared" si="43"/>
        <v>0</v>
      </c>
      <c r="J108" s="3">
        <v>1.2870385444057348</v>
      </c>
      <c r="K108" s="105">
        <v>1</v>
      </c>
      <c r="L108" s="3">
        <f t="shared" si="44"/>
        <v>25.294712567543318</v>
      </c>
      <c r="M108" s="165">
        <f t="shared" si="52"/>
        <v>25.294712567543318</v>
      </c>
      <c r="N108" s="107">
        <f t="shared" si="45"/>
        <v>25.294712567543318</v>
      </c>
      <c r="O108" s="165">
        <f t="shared" si="46"/>
        <v>25.294712567543318</v>
      </c>
      <c r="P108" s="165">
        <f t="shared" si="53"/>
        <v>25.294712567543318</v>
      </c>
      <c r="Q108" s="3">
        <f t="shared" si="54"/>
        <v>25.294712567543318</v>
      </c>
      <c r="R108" s="153">
        <f t="shared" si="47"/>
        <v>25.294712567543318</v>
      </c>
      <c r="S108" s="153">
        <f t="shared" si="48"/>
        <v>25.294712567543318</v>
      </c>
      <c r="T108" s="153">
        <f t="shared" si="49"/>
        <v>25.294712567543318</v>
      </c>
      <c r="U108" s="148">
        <f>IF('OPFOK OUDERDIEREN'!$H$15="ja",L108-((E108-G108*95%-I108)/E108*L108)*$R$6,L108-((E108-G108*80%-I108)/E108*L108)*$R$6)</f>
        <v>25.294712567543318</v>
      </c>
      <c r="V108" s="85">
        <f t="shared" si="50"/>
        <v>25.294712567543318</v>
      </c>
      <c r="W108" s="162">
        <f t="shared" si="51"/>
        <v>25.294712567543318</v>
      </c>
      <c r="X108" s="187"/>
    </row>
    <row r="109" spans="1:24" x14ac:dyDescent="0.25">
      <c r="A109" s="1">
        <v>100</v>
      </c>
      <c r="B109" s="1">
        <v>1528.5</v>
      </c>
      <c r="E109" s="4">
        <f t="shared" si="39"/>
        <v>2.2819567120165001</v>
      </c>
      <c r="F109" s="4">
        <f t="shared" si="40"/>
        <v>2.2819567120165001</v>
      </c>
      <c r="G109" s="155">
        <f t="shared" si="41"/>
        <v>0</v>
      </c>
      <c r="H109" s="155">
        <f t="shared" si="42"/>
        <v>0</v>
      </c>
      <c r="I109" s="155">
        <f t="shared" si="43"/>
        <v>0</v>
      </c>
      <c r="J109" s="3">
        <v>1.3109392659457497</v>
      </c>
      <c r="K109" s="105">
        <v>1</v>
      </c>
      <c r="L109" s="3">
        <f t="shared" si="44"/>
        <v>26.205598315064972</v>
      </c>
      <c r="M109" s="165">
        <f t="shared" si="52"/>
        <v>26.205598315064972</v>
      </c>
      <c r="N109" s="107">
        <f t="shared" si="45"/>
        <v>26.205598315064972</v>
      </c>
      <c r="O109" s="165">
        <f t="shared" si="46"/>
        <v>26.205598315064972</v>
      </c>
      <c r="P109" s="165">
        <f t="shared" si="53"/>
        <v>26.205598315064972</v>
      </c>
      <c r="Q109" s="3">
        <f t="shared" si="54"/>
        <v>26.205598315064972</v>
      </c>
      <c r="R109" s="153">
        <f t="shared" si="47"/>
        <v>26.205598315064972</v>
      </c>
      <c r="S109" s="153">
        <f t="shared" si="48"/>
        <v>26.205598315064972</v>
      </c>
      <c r="T109" s="153">
        <f t="shared" si="49"/>
        <v>26.205598315064972</v>
      </c>
      <c r="U109" s="148">
        <f>IF('OPFOK OUDERDIEREN'!$H$15="ja",L109-((E109-G109*95%-I109)/E109*L109)*$R$6,L109-((E109-G109*80%-I109)/E109*L109)*$R$6)</f>
        <v>26.205598315064972</v>
      </c>
      <c r="V109" s="85">
        <f t="shared" si="50"/>
        <v>26.205598315064972</v>
      </c>
      <c r="W109" s="162">
        <f t="shared" si="51"/>
        <v>26.205598315064972</v>
      </c>
      <c r="X109" s="187"/>
    </row>
    <row r="110" spans="1:24" x14ac:dyDescent="0.25">
      <c r="A110" s="1">
        <v>101</v>
      </c>
      <c r="B110" s="1">
        <v>1542.8</v>
      </c>
      <c r="E110" s="4">
        <f t="shared" si="39"/>
        <v>2.3209522656072075</v>
      </c>
      <c r="F110" s="4">
        <f t="shared" si="40"/>
        <v>2.3209522656072075</v>
      </c>
      <c r="G110" s="155">
        <f t="shared" si="41"/>
        <v>0</v>
      </c>
      <c r="H110" s="155">
        <f t="shared" si="42"/>
        <v>0</v>
      </c>
      <c r="I110" s="155">
        <f t="shared" si="43"/>
        <v>0</v>
      </c>
      <c r="J110" s="3">
        <v>1.3352838316057536</v>
      </c>
      <c r="K110" s="105">
        <v>1</v>
      </c>
      <c r="L110" s="3">
        <f t="shared" si="44"/>
        <v>27.148379099539849</v>
      </c>
      <c r="M110" s="165">
        <f t="shared" si="52"/>
        <v>27.148379099539849</v>
      </c>
      <c r="N110" s="107">
        <f t="shared" si="45"/>
        <v>27.148379099539849</v>
      </c>
      <c r="O110" s="165">
        <f t="shared" si="46"/>
        <v>27.148379099539849</v>
      </c>
      <c r="P110" s="165">
        <f t="shared" si="53"/>
        <v>27.148379099539849</v>
      </c>
      <c r="Q110" s="3">
        <f t="shared" si="54"/>
        <v>27.148379099539849</v>
      </c>
      <c r="R110" s="153">
        <f t="shared" si="47"/>
        <v>27.148379099539849</v>
      </c>
      <c r="S110" s="153">
        <f t="shared" si="48"/>
        <v>27.148379099539849</v>
      </c>
      <c r="T110" s="153">
        <f t="shared" si="49"/>
        <v>27.148379099539849</v>
      </c>
      <c r="U110" s="148">
        <f>IF('OPFOK OUDERDIEREN'!$H$15="ja",L110-((E110-G110*95%-I110)/E110*L110)*$R$6,L110-((E110-G110*80%-I110)/E110*L110)*$R$6)</f>
        <v>27.148379099539849</v>
      </c>
      <c r="V110" s="85">
        <f t="shared" si="50"/>
        <v>27.148379099539849</v>
      </c>
      <c r="W110" s="162">
        <f t="shared" si="51"/>
        <v>27.148379099539849</v>
      </c>
      <c r="X110" s="187"/>
    </row>
    <row r="111" spans="1:24" x14ac:dyDescent="0.25">
      <c r="A111" s="1">
        <v>102</v>
      </c>
      <c r="B111" s="1">
        <v>1557.1</v>
      </c>
      <c r="E111" s="4">
        <f t="shared" si="39"/>
        <v>2.3605348043074841</v>
      </c>
      <c r="F111" s="4">
        <f t="shared" si="40"/>
        <v>2.3605348043074841</v>
      </c>
      <c r="G111" s="155">
        <f t="shared" si="41"/>
        <v>0</v>
      </c>
      <c r="H111" s="155">
        <f t="shared" si="42"/>
        <v>0</v>
      </c>
      <c r="I111" s="155">
        <f t="shared" si="43"/>
        <v>0</v>
      </c>
      <c r="J111" s="3">
        <v>1.3600804837144354</v>
      </c>
      <c r="K111" s="105">
        <v>1</v>
      </c>
      <c r="L111" s="3">
        <f t="shared" si="44"/>
        <v>28.124131709773398</v>
      </c>
      <c r="M111" s="165">
        <f t="shared" si="52"/>
        <v>28.124131709773398</v>
      </c>
      <c r="N111" s="107">
        <f t="shared" si="45"/>
        <v>28.124131709773398</v>
      </c>
      <c r="O111" s="165">
        <f t="shared" si="46"/>
        <v>28.124131709773398</v>
      </c>
      <c r="P111" s="165">
        <f t="shared" si="53"/>
        <v>28.124131709773398</v>
      </c>
      <c r="Q111" s="3">
        <f t="shared" si="54"/>
        <v>28.124131709773398</v>
      </c>
      <c r="R111" s="153">
        <f t="shared" si="47"/>
        <v>28.124131709773398</v>
      </c>
      <c r="S111" s="153">
        <f t="shared" si="48"/>
        <v>28.124131709773398</v>
      </c>
      <c r="T111" s="153">
        <f t="shared" si="49"/>
        <v>28.124131709773398</v>
      </c>
      <c r="U111" s="148">
        <f>IF('OPFOK OUDERDIEREN'!$H$15="ja",L111-((E111-G111*95%-I111)/E111*L111)*$R$6,L111-((E111-G111*80%-I111)/E111*L111)*$R$6)</f>
        <v>28.124131709773398</v>
      </c>
      <c r="V111" s="85">
        <f t="shared" si="50"/>
        <v>28.124131709773398</v>
      </c>
      <c r="W111" s="162">
        <f t="shared" si="51"/>
        <v>28.124131709773398</v>
      </c>
      <c r="X111" s="187"/>
    </row>
    <row r="112" spans="1:24" x14ac:dyDescent="0.25">
      <c r="A112" s="1">
        <v>103</v>
      </c>
      <c r="B112" s="1">
        <v>1571.4</v>
      </c>
      <c r="E112" s="4">
        <f t="shared" si="39"/>
        <v>2.4007110654902561</v>
      </c>
      <c r="F112" s="4">
        <f t="shared" si="40"/>
        <v>2.4007110654902561</v>
      </c>
      <c r="G112" s="155">
        <f t="shared" si="41"/>
        <v>0</v>
      </c>
      <c r="H112" s="155">
        <f t="shared" si="42"/>
        <v>0</v>
      </c>
      <c r="I112" s="155">
        <f t="shared" si="43"/>
        <v>0</v>
      </c>
      <c r="J112" s="3">
        <v>1.3853376176631913</v>
      </c>
      <c r="K112" s="105">
        <v>1</v>
      </c>
      <c r="L112" s="3">
        <f t="shared" si="44"/>
        <v>29.133967249916058</v>
      </c>
      <c r="M112" s="165">
        <f t="shared" si="52"/>
        <v>29.133967249916058</v>
      </c>
      <c r="N112" s="107">
        <f t="shared" si="45"/>
        <v>29.133967249916058</v>
      </c>
      <c r="O112" s="165">
        <f t="shared" si="46"/>
        <v>29.133967249916058</v>
      </c>
      <c r="P112" s="165">
        <f t="shared" si="53"/>
        <v>29.133967249916058</v>
      </c>
      <c r="Q112" s="3">
        <f t="shared" si="54"/>
        <v>29.133967249916058</v>
      </c>
      <c r="R112" s="153">
        <f t="shared" si="47"/>
        <v>29.133967249916058</v>
      </c>
      <c r="S112" s="153">
        <f t="shared" si="48"/>
        <v>29.133967249916058</v>
      </c>
      <c r="T112" s="153">
        <f t="shared" si="49"/>
        <v>29.133967249916058</v>
      </c>
      <c r="U112" s="148">
        <f>IF('OPFOK OUDERDIEREN'!$H$15="ja",L112-((E112-G112*95%-I112)/E112*L112)*$R$6,L112-((E112-G112*80%-I112)/E112*L112)*$R$6)</f>
        <v>29.133967249916058</v>
      </c>
      <c r="V112" s="85">
        <f t="shared" si="50"/>
        <v>29.133967249916058</v>
      </c>
      <c r="W112" s="162">
        <f t="shared" si="51"/>
        <v>29.133967249916058</v>
      </c>
      <c r="X112" s="187"/>
    </row>
    <row r="113" spans="1:24" x14ac:dyDescent="0.25">
      <c r="A113" s="1">
        <v>104</v>
      </c>
      <c r="B113" s="1">
        <v>1585.7</v>
      </c>
      <c r="E113" s="4">
        <f t="shared" si="39"/>
        <v>2.4414877865284526</v>
      </c>
      <c r="F113" s="4">
        <f t="shared" si="40"/>
        <v>2.4414877865284526</v>
      </c>
      <c r="G113" s="155">
        <f t="shared" si="41"/>
        <v>0</v>
      </c>
      <c r="H113" s="155">
        <f t="shared" si="42"/>
        <v>0</v>
      </c>
      <c r="I113" s="155">
        <f t="shared" si="43"/>
        <v>0</v>
      </c>
      <c r="J113" s="3">
        <v>1.4110637847485474</v>
      </c>
      <c r="K113" s="105">
        <v>1</v>
      </c>
      <c r="L113" s="3">
        <f t="shared" si="44"/>
        <v>30.179032169131435</v>
      </c>
      <c r="M113" s="165">
        <f t="shared" si="52"/>
        <v>30.179032169131435</v>
      </c>
      <c r="N113" s="107">
        <f t="shared" si="45"/>
        <v>30.179032169131435</v>
      </c>
      <c r="O113" s="165">
        <f t="shared" si="46"/>
        <v>30.179032169131435</v>
      </c>
      <c r="P113" s="165">
        <f t="shared" si="53"/>
        <v>30.179032169131435</v>
      </c>
      <c r="Q113" s="3">
        <f t="shared" si="54"/>
        <v>30.179032169131435</v>
      </c>
      <c r="R113" s="153">
        <f t="shared" si="47"/>
        <v>30.179032169131435</v>
      </c>
      <c r="S113" s="153">
        <f t="shared" si="48"/>
        <v>30.179032169131435</v>
      </c>
      <c r="T113" s="153">
        <f t="shared" si="49"/>
        <v>30.179032169131435</v>
      </c>
      <c r="U113" s="148">
        <f>IF('OPFOK OUDERDIEREN'!$H$15="ja",L113-((E113-G113*95%-I113)/E113*L113)*$R$6,L113-((E113-G113*80%-I113)/E113*L113)*$R$6)</f>
        <v>30.179032169131435</v>
      </c>
      <c r="V113" s="85">
        <f t="shared" si="50"/>
        <v>30.179032169131435</v>
      </c>
      <c r="W113" s="162">
        <f t="shared" si="51"/>
        <v>30.179032169131435</v>
      </c>
      <c r="X113" s="187"/>
    </row>
    <row r="114" spans="1:24" x14ac:dyDescent="0.25">
      <c r="A114" s="1">
        <v>105</v>
      </c>
      <c r="B114" s="1">
        <v>1600</v>
      </c>
      <c r="E114" s="4">
        <f t="shared" si="39"/>
        <v>2.4828717047950004</v>
      </c>
      <c r="F114" s="4">
        <f t="shared" si="40"/>
        <v>2.4828717047950004</v>
      </c>
      <c r="G114" s="155">
        <f t="shared" si="41"/>
        <v>0</v>
      </c>
      <c r="H114" s="155">
        <f t="shared" si="42"/>
        <v>0</v>
      </c>
      <c r="I114" s="155">
        <f t="shared" si="43"/>
        <v>0</v>
      </c>
      <c r="J114" s="3">
        <v>1.4372676950673688</v>
      </c>
      <c r="K114" s="105">
        <v>1</v>
      </c>
      <c r="L114" s="3">
        <f t="shared" si="44"/>
        <v>31.260509320536602</v>
      </c>
      <c r="M114" s="165">
        <f t="shared" si="52"/>
        <v>31.260509320536602</v>
      </c>
      <c r="N114" s="107">
        <f t="shared" si="45"/>
        <v>31.260509320536602</v>
      </c>
      <c r="O114" s="165">
        <f t="shared" si="46"/>
        <v>31.260509320536602</v>
      </c>
      <c r="P114" s="165">
        <f t="shared" si="53"/>
        <v>31.260509320536602</v>
      </c>
      <c r="Q114" s="3">
        <f t="shared" si="54"/>
        <v>31.260509320536602</v>
      </c>
      <c r="R114" s="153">
        <f t="shared" si="47"/>
        <v>31.260509320536602</v>
      </c>
      <c r="S114" s="153">
        <f t="shared" si="48"/>
        <v>31.260509320536602</v>
      </c>
      <c r="T114" s="153">
        <f t="shared" si="49"/>
        <v>31.260509320536602</v>
      </c>
      <c r="U114" s="148">
        <f>IF('OPFOK OUDERDIEREN'!$H$15="ja",L114-((E114-G114*95%-I114)/E114*L114)*$R$6,L114-((E114-G114*80%-I114)/E114*L114)*$R$6)</f>
        <v>31.260509320536602</v>
      </c>
      <c r="V114" s="85">
        <f t="shared" si="50"/>
        <v>31.260509320536602</v>
      </c>
      <c r="W114" s="162">
        <f t="shared" si="51"/>
        <v>31.260509320536602</v>
      </c>
      <c r="X114" s="187"/>
    </row>
    <row r="115" spans="1:24" x14ac:dyDescent="0.25">
      <c r="A115" s="1">
        <v>106</v>
      </c>
      <c r="B115" s="1">
        <v>1614.2</v>
      </c>
      <c r="E115" s="4">
        <f t="shared" si="39"/>
        <v>2.5245737192304318</v>
      </c>
      <c r="F115" s="4">
        <f t="shared" si="40"/>
        <v>2.5245737192304318</v>
      </c>
      <c r="G115" s="155">
        <f t="shared" si="41"/>
        <v>0</v>
      </c>
      <c r="H115" s="155">
        <f t="shared" si="42"/>
        <v>0</v>
      </c>
      <c r="I115" s="155">
        <f t="shared" si="43"/>
        <v>0</v>
      </c>
      <c r="J115" s="3">
        <v>1.4639582204658335</v>
      </c>
      <c r="K115" s="105">
        <v>1</v>
      </c>
      <c r="L115" s="3">
        <f t="shared" si="44"/>
        <v>32.375825137089087</v>
      </c>
      <c r="M115" s="165">
        <f t="shared" si="52"/>
        <v>32.375825137089087</v>
      </c>
      <c r="N115" s="107">
        <f t="shared" si="45"/>
        <v>32.375825137089087</v>
      </c>
      <c r="O115" s="165">
        <f t="shared" si="46"/>
        <v>32.375825137089087</v>
      </c>
      <c r="P115" s="165">
        <f t="shared" si="53"/>
        <v>32.375825137089087</v>
      </c>
      <c r="Q115" s="3">
        <f t="shared" si="54"/>
        <v>32.375825137089087</v>
      </c>
      <c r="R115" s="153">
        <f t="shared" si="47"/>
        <v>32.375825137089087</v>
      </c>
      <c r="S115" s="153">
        <f t="shared" si="48"/>
        <v>32.375825137089087</v>
      </c>
      <c r="T115" s="153">
        <f t="shared" si="49"/>
        <v>32.375825137089087</v>
      </c>
      <c r="U115" s="148">
        <f>IF('OPFOK OUDERDIEREN'!$H$15="ja",L115-((E115-G115*95%-I115)/E115*L115)*$R$6,L115-((E115-G115*80%-I115)/E115*L115)*$R$6)</f>
        <v>32.375825137089087</v>
      </c>
      <c r="V115" s="85">
        <f t="shared" si="50"/>
        <v>32.375825137089087</v>
      </c>
      <c r="W115" s="162">
        <f t="shared" si="51"/>
        <v>32.375825137089087</v>
      </c>
      <c r="X115" s="187"/>
    </row>
    <row r="116" spans="1:24" x14ac:dyDescent="0.25">
      <c r="A116" s="1">
        <v>107</v>
      </c>
      <c r="B116" s="1">
        <v>1628.5</v>
      </c>
      <c r="E116" s="4">
        <f t="shared" si="39"/>
        <v>2.5671878803165002</v>
      </c>
      <c r="F116" s="4">
        <f t="shared" si="40"/>
        <v>2.5671878803165002</v>
      </c>
      <c r="G116" s="155">
        <f t="shared" si="41"/>
        <v>0</v>
      </c>
      <c r="H116" s="155">
        <f t="shared" si="42"/>
        <v>0</v>
      </c>
      <c r="I116" s="155">
        <f t="shared" si="43"/>
        <v>0</v>
      </c>
      <c r="J116" s="3">
        <v>1.4911443975431682</v>
      </c>
      <c r="K116" s="105">
        <v>1</v>
      </c>
      <c r="L116" s="3">
        <f t="shared" si="44"/>
        <v>33.533698948530116</v>
      </c>
      <c r="M116" s="165">
        <f t="shared" si="52"/>
        <v>33.533698948530116</v>
      </c>
      <c r="N116" s="107">
        <f t="shared" si="45"/>
        <v>33.533698948530116</v>
      </c>
      <c r="O116" s="165">
        <f t="shared" si="46"/>
        <v>33.533698948530116</v>
      </c>
      <c r="P116" s="165">
        <f t="shared" si="53"/>
        <v>33.533698948530116</v>
      </c>
      <c r="Q116" s="3">
        <f t="shared" si="54"/>
        <v>33.533698948530116</v>
      </c>
      <c r="R116" s="153">
        <f t="shared" si="47"/>
        <v>33.533698948530116</v>
      </c>
      <c r="S116" s="153">
        <f t="shared" si="48"/>
        <v>33.533698948530116</v>
      </c>
      <c r="T116" s="153">
        <f t="shared" si="49"/>
        <v>33.533698948530116</v>
      </c>
      <c r="U116" s="148">
        <f>IF('OPFOK OUDERDIEREN'!$H$15="ja",L116-((E116-G116*95%-I116)/E116*L116)*$R$6,L116-((E116-G116*80%-I116)/E116*L116)*$R$6)</f>
        <v>33.533698948530116</v>
      </c>
      <c r="V116" s="85">
        <f t="shared" si="50"/>
        <v>33.533698948530116</v>
      </c>
      <c r="W116" s="162">
        <f t="shared" si="51"/>
        <v>33.533698948530116</v>
      </c>
      <c r="X116" s="187"/>
    </row>
    <row r="117" spans="1:24" x14ac:dyDescent="0.25">
      <c r="A117" s="1">
        <v>108</v>
      </c>
      <c r="B117" s="1">
        <v>1642.8</v>
      </c>
      <c r="E117" s="4">
        <f t="shared" si="39"/>
        <v>2.6104294036352078</v>
      </c>
      <c r="F117" s="4">
        <f t="shared" si="40"/>
        <v>2.6104294036352078</v>
      </c>
      <c r="G117" s="155">
        <f t="shared" si="41"/>
        <v>0</v>
      </c>
      <c r="H117" s="155">
        <f t="shared" si="42"/>
        <v>0</v>
      </c>
      <c r="I117" s="155">
        <f t="shared" si="43"/>
        <v>0</v>
      </c>
      <c r="J117" s="3">
        <v>1.5188354307111678</v>
      </c>
      <c r="K117" s="105">
        <v>1</v>
      </c>
      <c r="L117" s="3">
        <f t="shared" si="44"/>
        <v>34.731758968275663</v>
      </c>
      <c r="M117" s="165">
        <f t="shared" si="52"/>
        <v>34.731758968275663</v>
      </c>
      <c r="N117" s="107">
        <f t="shared" si="45"/>
        <v>34.731758968275663</v>
      </c>
      <c r="O117" s="165">
        <f t="shared" si="46"/>
        <v>34.731758968275663</v>
      </c>
      <c r="P117" s="165">
        <f t="shared" si="53"/>
        <v>34.731758968275663</v>
      </c>
      <c r="Q117" s="3">
        <f t="shared" si="54"/>
        <v>34.731758968275663</v>
      </c>
      <c r="R117" s="153">
        <f t="shared" si="47"/>
        <v>34.731758968275663</v>
      </c>
      <c r="S117" s="153">
        <f t="shared" si="48"/>
        <v>34.731758968275663</v>
      </c>
      <c r="T117" s="153">
        <f t="shared" si="49"/>
        <v>34.731758968275663</v>
      </c>
      <c r="U117" s="148">
        <f>IF('OPFOK OUDERDIEREN'!$H$15="ja",L117-((E117-G117*95%-I117)/E117*L117)*$R$6,L117-((E117-G117*80%-I117)/E117*L117)*$R$6)</f>
        <v>34.731758968275663</v>
      </c>
      <c r="V117" s="85">
        <f t="shared" si="50"/>
        <v>34.731758968275663</v>
      </c>
      <c r="W117" s="162">
        <f t="shared" si="51"/>
        <v>34.731758968275663</v>
      </c>
      <c r="X117" s="187"/>
    </row>
    <row r="118" spans="1:24" x14ac:dyDescent="0.25">
      <c r="A118" s="1">
        <v>109</v>
      </c>
      <c r="B118" s="1">
        <v>1657.1</v>
      </c>
      <c r="E118" s="4">
        <f t="shared" si="39"/>
        <v>2.6543050265594834</v>
      </c>
      <c r="F118" s="4">
        <f t="shared" si="40"/>
        <v>2.6543050265594834</v>
      </c>
      <c r="G118" s="155">
        <f t="shared" si="41"/>
        <v>0</v>
      </c>
      <c r="H118" s="155">
        <f t="shared" si="42"/>
        <v>0</v>
      </c>
      <c r="I118" s="155">
        <f t="shared" si="43"/>
        <v>0</v>
      </c>
      <c r="J118" s="3">
        <v>1.5470406953105251</v>
      </c>
      <c r="K118" s="105">
        <v>1</v>
      </c>
      <c r="L118" s="3">
        <f t="shared" si="44"/>
        <v>35.971344750168093</v>
      </c>
      <c r="M118" s="165">
        <f t="shared" si="52"/>
        <v>35.971344750168093</v>
      </c>
      <c r="N118" s="107">
        <f t="shared" si="45"/>
        <v>35.971344750168093</v>
      </c>
      <c r="O118" s="165">
        <f t="shared" si="46"/>
        <v>35.971344750168093</v>
      </c>
      <c r="P118" s="165">
        <f t="shared" si="53"/>
        <v>35.971344750168093</v>
      </c>
      <c r="Q118" s="3">
        <f t="shared" si="54"/>
        <v>35.971344750168093</v>
      </c>
      <c r="R118" s="153">
        <f t="shared" si="47"/>
        <v>35.971344750168093</v>
      </c>
      <c r="S118" s="153">
        <f t="shared" si="48"/>
        <v>35.971344750168093</v>
      </c>
      <c r="T118" s="153">
        <f t="shared" si="49"/>
        <v>35.971344750168093</v>
      </c>
      <c r="U118" s="148">
        <f>IF('OPFOK OUDERDIEREN'!$H$15="ja",L118-((E118-G118*95%-I118)/E118*L118)*$R$6,L118-((E118-G118*80%-I118)/E118*L118)*$R$6)</f>
        <v>35.971344750168093</v>
      </c>
      <c r="V118" s="85">
        <f t="shared" si="50"/>
        <v>35.971344750168093</v>
      </c>
      <c r="W118" s="162">
        <f t="shared" si="51"/>
        <v>35.971344750168093</v>
      </c>
      <c r="X118" s="187"/>
    </row>
    <row r="119" spans="1:24" x14ac:dyDescent="0.25">
      <c r="A119" s="1">
        <v>110</v>
      </c>
      <c r="B119" s="1">
        <v>1671.4</v>
      </c>
      <c r="E119" s="4">
        <f t="shared" si="39"/>
        <v>2.6988214864622559</v>
      </c>
      <c r="F119" s="4">
        <f t="shared" si="40"/>
        <v>2.6988214864622559</v>
      </c>
      <c r="G119" s="155">
        <f t="shared" si="41"/>
        <v>0</v>
      </c>
      <c r="H119" s="155">
        <f t="shared" si="42"/>
        <v>0</v>
      </c>
      <c r="I119" s="155">
        <f t="shared" si="43"/>
        <v>0</v>
      </c>
      <c r="J119" s="3">
        <v>1.5757697407850417</v>
      </c>
      <c r="K119" s="105">
        <v>1</v>
      </c>
      <c r="L119" s="3">
        <f t="shared" si="44"/>
        <v>37.253838011134114</v>
      </c>
      <c r="M119" s="165">
        <f t="shared" si="52"/>
        <v>37.253838011134114</v>
      </c>
      <c r="N119" s="107">
        <f t="shared" si="45"/>
        <v>37.253838011134114</v>
      </c>
      <c r="O119" s="165">
        <f t="shared" si="46"/>
        <v>37.253838011134114</v>
      </c>
      <c r="P119" s="165">
        <f t="shared" si="53"/>
        <v>37.253838011134114</v>
      </c>
      <c r="Q119" s="3">
        <f t="shared" si="54"/>
        <v>37.253838011134114</v>
      </c>
      <c r="R119" s="153">
        <f t="shared" si="47"/>
        <v>37.253838011134114</v>
      </c>
      <c r="S119" s="153">
        <f t="shared" si="48"/>
        <v>37.253838011134114</v>
      </c>
      <c r="T119" s="153">
        <f t="shared" si="49"/>
        <v>37.253838011134114</v>
      </c>
      <c r="U119" s="148">
        <f>IF('OPFOK OUDERDIEREN'!$H$15="ja",L119-((E119-G119*95%-I119)/E119*L119)*$R$6,L119-((E119-G119*80%-I119)/E119*L119)*$R$6)</f>
        <v>37.253838011134114</v>
      </c>
      <c r="V119" s="85">
        <f t="shared" si="50"/>
        <v>37.253838011134114</v>
      </c>
      <c r="W119" s="162">
        <f t="shared" si="51"/>
        <v>37.253838011134114</v>
      </c>
      <c r="X119" s="187"/>
    </row>
    <row r="120" spans="1:24" x14ac:dyDescent="0.25">
      <c r="A120" s="1">
        <v>111</v>
      </c>
      <c r="B120" s="1">
        <v>1685.7</v>
      </c>
      <c r="E120" s="4">
        <f t="shared" si="39"/>
        <v>2.7439855207164516</v>
      </c>
      <c r="F120" s="4">
        <f t="shared" si="40"/>
        <v>2.7439855207164516</v>
      </c>
      <c r="G120" s="155">
        <f t="shared" si="41"/>
        <v>0</v>
      </c>
      <c r="H120" s="155">
        <f t="shared" si="42"/>
        <v>0</v>
      </c>
      <c r="I120" s="155">
        <f t="shared" si="43"/>
        <v>0</v>
      </c>
      <c r="J120" s="3">
        <v>1.6050322939147728</v>
      </c>
      <c r="K120" s="105">
        <v>1</v>
      </c>
      <c r="L120" s="3">
        <f t="shared" si="44"/>
        <v>38.580663883111761</v>
      </c>
      <c r="M120" s="165">
        <f t="shared" si="52"/>
        <v>38.580663883111761</v>
      </c>
      <c r="N120" s="107">
        <f t="shared" si="45"/>
        <v>38.580663883111761</v>
      </c>
      <c r="O120" s="165">
        <f t="shared" si="46"/>
        <v>38.580663883111761</v>
      </c>
      <c r="P120" s="165">
        <f t="shared" si="53"/>
        <v>38.580663883111761</v>
      </c>
      <c r="Q120" s="3">
        <f t="shared" si="54"/>
        <v>38.580663883111761</v>
      </c>
      <c r="R120" s="153">
        <f t="shared" si="47"/>
        <v>38.580663883111761</v>
      </c>
      <c r="S120" s="153">
        <f t="shared" si="48"/>
        <v>38.580663883111761</v>
      </c>
      <c r="T120" s="153">
        <f t="shared" si="49"/>
        <v>38.580663883111761</v>
      </c>
      <c r="U120" s="148">
        <f>IF('OPFOK OUDERDIEREN'!$H$15="ja",L120-((E120-G120*95%-I120)/E120*L120)*$R$6,L120-((E120-G120*80%-I120)/E120*L120)*$R$6)</f>
        <v>38.580663883111761</v>
      </c>
      <c r="V120" s="85">
        <f t="shared" si="50"/>
        <v>38.580663883111761</v>
      </c>
      <c r="W120" s="162">
        <f t="shared" si="51"/>
        <v>38.580663883111761</v>
      </c>
      <c r="X120" s="187"/>
    </row>
    <row r="121" spans="1:24" x14ac:dyDescent="0.25">
      <c r="A121" s="1">
        <v>112</v>
      </c>
      <c r="B121" s="1">
        <v>1700</v>
      </c>
      <c r="E121" s="4">
        <f t="shared" si="39"/>
        <v>2.7898038666950002</v>
      </c>
      <c r="F121" s="4">
        <f t="shared" si="40"/>
        <v>2.7898038666950002</v>
      </c>
      <c r="G121" s="155">
        <f t="shared" si="41"/>
        <v>0</v>
      </c>
      <c r="H121" s="155">
        <f t="shared" si="42"/>
        <v>0</v>
      </c>
      <c r="I121" s="155">
        <f t="shared" si="43"/>
        <v>0</v>
      </c>
      <c r="J121" s="3">
        <v>1.6348382621092228</v>
      </c>
      <c r="K121" s="105">
        <v>1</v>
      </c>
      <c r="L121" s="3">
        <f t="shared" si="44"/>
        <v>39.953292200266411</v>
      </c>
      <c r="M121" s="165">
        <f t="shared" si="52"/>
        <v>39.953292200266411</v>
      </c>
      <c r="N121" s="107">
        <f t="shared" si="45"/>
        <v>39.953292200266411</v>
      </c>
      <c r="O121" s="165">
        <f t="shared" si="46"/>
        <v>39.953292200266411</v>
      </c>
      <c r="P121" s="165">
        <f t="shared" si="53"/>
        <v>39.953292200266411</v>
      </c>
      <c r="Q121" s="3">
        <f t="shared" si="54"/>
        <v>39.953292200266411</v>
      </c>
      <c r="R121" s="153">
        <f t="shared" si="47"/>
        <v>39.953292200266411</v>
      </c>
      <c r="S121" s="153">
        <f t="shared" si="48"/>
        <v>39.953292200266411</v>
      </c>
      <c r="T121" s="153">
        <f t="shared" si="49"/>
        <v>39.953292200266411</v>
      </c>
      <c r="U121" s="148">
        <f>IF('OPFOK OUDERDIEREN'!$H$15="ja",L121-((E121-G121*95%-I121)/E121*L121)*$R$6,L121-((E121-G121*80%-I121)/E121*L121)*$R$6)</f>
        <v>39.953292200266411</v>
      </c>
      <c r="V121" s="85">
        <f t="shared" si="50"/>
        <v>39.953292200266411</v>
      </c>
      <c r="W121" s="162">
        <f t="shared" si="51"/>
        <v>39.953292200266411</v>
      </c>
      <c r="X121" s="187"/>
    </row>
    <row r="122" spans="1:24" x14ac:dyDescent="0.25">
      <c r="A122" s="1">
        <v>113</v>
      </c>
      <c r="B122" s="1">
        <v>1714.2</v>
      </c>
      <c r="E122" s="4">
        <f t="shared" si="39"/>
        <v>2.8359559202984324</v>
      </c>
      <c r="F122" s="4">
        <f t="shared" si="40"/>
        <v>2.8359559202984324</v>
      </c>
      <c r="G122" s="155">
        <f t="shared" si="41"/>
        <v>0</v>
      </c>
      <c r="H122" s="155">
        <f t="shared" si="42"/>
        <v>0</v>
      </c>
      <c r="I122" s="155">
        <f t="shared" si="43"/>
        <v>0</v>
      </c>
      <c r="J122" s="3">
        <v>1.6651977367616904</v>
      </c>
      <c r="K122" s="105">
        <v>1</v>
      </c>
      <c r="L122" s="3">
        <f t="shared" si="44"/>
        <v>41.368463849122946</v>
      </c>
      <c r="M122" s="165">
        <f t="shared" si="52"/>
        <v>41.368463849122946</v>
      </c>
      <c r="N122" s="107">
        <f t="shared" si="45"/>
        <v>41.368463849122946</v>
      </c>
      <c r="O122" s="165">
        <f t="shared" si="46"/>
        <v>41.368463849122946</v>
      </c>
      <c r="P122" s="165">
        <f t="shared" si="53"/>
        <v>41.368463849122946</v>
      </c>
      <c r="Q122" s="3">
        <f t="shared" si="54"/>
        <v>41.368463849122946</v>
      </c>
      <c r="R122" s="153">
        <f t="shared" si="47"/>
        <v>41.368463849122946</v>
      </c>
      <c r="S122" s="153">
        <f t="shared" si="48"/>
        <v>41.368463849122946</v>
      </c>
      <c r="T122" s="153">
        <f t="shared" si="49"/>
        <v>41.368463849122946</v>
      </c>
      <c r="U122" s="148">
        <f>IF('OPFOK OUDERDIEREN'!$H$15="ja",L122-((E122-G122*95%-I122)/E122*L122)*$R$6,L122-((E122-G122*80%-I122)/E122*L122)*$R$6)</f>
        <v>41.368463849122946</v>
      </c>
      <c r="V122" s="85">
        <f t="shared" si="50"/>
        <v>41.368463849122946</v>
      </c>
      <c r="W122" s="162">
        <f t="shared" si="51"/>
        <v>41.368463849122946</v>
      </c>
      <c r="X122" s="187"/>
    </row>
    <row r="123" spans="1:24" x14ac:dyDescent="0.25">
      <c r="A123" s="1">
        <v>114</v>
      </c>
      <c r="B123" s="1">
        <v>1728.5</v>
      </c>
      <c r="E123" s="4">
        <f t="shared" ref="E123:E149" si="55">0.000000000384*B123^3-0.000000342064*B123^2+0.001060852819*B123+0.088327034395</f>
        <v>2.8830984086165001</v>
      </c>
      <c r="F123" s="4">
        <f t="shared" ref="F123:F149" si="56">E123-G123</f>
        <v>2.8830984086165001</v>
      </c>
      <c r="G123" s="155">
        <f t="shared" ref="G123:G149" si="57">IF($R$4&gt;0&lt;E123,E123,IF($R$4&gt;E123,E123,$R$4))</f>
        <v>0</v>
      </c>
      <c r="H123" s="155">
        <f t="shared" ref="H123:H149" si="58">IF(E123&lt;$R$5,E123-G123,$R$5)</f>
        <v>0</v>
      </c>
      <c r="I123" s="155">
        <f t="shared" ref="I123:I149" si="59">MIN(R$5,E123-G123)</f>
        <v>0</v>
      </c>
      <c r="J123" s="3">
        <v>1.6961209966659074</v>
      </c>
      <c r="K123" s="105">
        <v>1</v>
      </c>
      <c r="L123" s="3">
        <f t="shared" ref="L123:L149" si="60">J123/1000*E123*24*365</f>
        <v>42.837133617662545</v>
      </c>
      <c r="M123" s="165">
        <f t="shared" si="52"/>
        <v>42.837133617662545</v>
      </c>
      <c r="N123" s="107">
        <f t="shared" ref="N123:N149" si="61">(((($J123*(1-$R$2))-$J$3)/1000*$F123*24*365*$K123)*(1-R$5))+(((($J123*(1-$R$2))-$J$3)/1000*$G123*24*365*$K123)*(1-R$3))</f>
        <v>42.837133617662545</v>
      </c>
      <c r="O123" s="165">
        <f t="shared" ref="O123:O149" si="62">(((($J123)-$J$3)/1000*$F123*24*365*$K123))+(((($J123*(1-$R$2))-$J$3)/1000*$G123*24*365*$K123)*(1-R$3))</f>
        <v>42.837133617662545</v>
      </c>
      <c r="P123" s="165">
        <f t="shared" si="53"/>
        <v>42.837133617662545</v>
      </c>
      <c r="Q123" s="3">
        <f t="shared" si="54"/>
        <v>42.837133617662545</v>
      </c>
      <c r="R123" s="153">
        <f t="shared" ref="R123:R149" si="63">IF(E123-G123-H123&gt;=0,L123-((E123-G123*80%-H123*95%)/E123*L123)*$R$6,IF(G123&gt;H123,L123-((E123-G123)/E123*L123)*$R$6,L123-((E123-H123)/E123*L123)*$R$6))</f>
        <v>42.837133617662545</v>
      </c>
      <c r="S123" s="153">
        <f t="shared" ref="S123:S149" si="64">IF(E123-G123-H123&gt;=0,L123-((E123-G123-H123)/E123*L123)*$R$6,IF(G123&gt;H123,L123-((E123-G123)/E123*L123)*$R$6,L123-((E123-H123)/E123*L123)*$R$6))</f>
        <v>42.837133617662545</v>
      </c>
      <c r="T123" s="153">
        <f t="shared" ref="T123:T149" si="65">L123-(E123-H123)/E123*L123*$R$6</f>
        <v>42.837133617662545</v>
      </c>
      <c r="U123" s="148">
        <f>IF('OPFOK OUDERDIEREN'!$H$15="ja",L123-((E123-G123*95%-I123)/E123*L123)*$R$6,L123-((E123-G123*80%-I123)/E123*L123)*$R$6)</f>
        <v>42.837133617662545</v>
      </c>
      <c r="V123" s="85">
        <f t="shared" ref="V123:V149" si="66">L123-((E123-G123-I123)/E123*L123)*$R$6</f>
        <v>42.837133617662545</v>
      </c>
      <c r="W123" s="162">
        <f t="shared" ref="W123:W149" si="67">L123-(E123-H123)/E123*L123*$R$6</f>
        <v>42.837133617662545</v>
      </c>
      <c r="X123" s="187"/>
    </row>
    <row r="124" spans="1:24" x14ac:dyDescent="0.25">
      <c r="A124" s="1">
        <v>115</v>
      </c>
      <c r="B124" s="1">
        <v>1742.8</v>
      </c>
      <c r="E124" s="4">
        <f t="shared" si="55"/>
        <v>2.9309153736632076</v>
      </c>
      <c r="F124" s="4">
        <f t="shared" si="56"/>
        <v>2.9309153736632076</v>
      </c>
      <c r="G124" s="155">
        <f t="shared" si="57"/>
        <v>0</v>
      </c>
      <c r="H124" s="155">
        <f t="shared" si="58"/>
        <v>0</v>
      </c>
      <c r="I124" s="155">
        <f t="shared" si="59"/>
        <v>0</v>
      </c>
      <c r="J124" s="3">
        <v>1.7276185114961276</v>
      </c>
      <c r="K124" s="105">
        <v>1</v>
      </c>
      <c r="L124" s="3">
        <f t="shared" si="60"/>
        <v>44.356292019281732</v>
      </c>
      <c r="M124" s="165">
        <f t="shared" si="52"/>
        <v>44.356292019281732</v>
      </c>
      <c r="N124" s="107">
        <f t="shared" si="61"/>
        <v>44.356292019281732</v>
      </c>
      <c r="O124" s="165">
        <f t="shared" si="62"/>
        <v>44.356292019281732</v>
      </c>
      <c r="P124" s="165">
        <f t="shared" si="53"/>
        <v>44.356292019281732</v>
      </c>
      <c r="Q124" s="3">
        <f t="shared" si="54"/>
        <v>44.356292019281732</v>
      </c>
      <c r="R124" s="153">
        <f t="shared" si="63"/>
        <v>44.356292019281732</v>
      </c>
      <c r="S124" s="153">
        <f t="shared" si="64"/>
        <v>44.356292019281732</v>
      </c>
      <c r="T124" s="153">
        <f t="shared" si="65"/>
        <v>44.356292019281732</v>
      </c>
      <c r="U124" s="148">
        <f>IF('OPFOK OUDERDIEREN'!$H$15="ja",L124-((E124-G124*95%-I124)/E124*L124)*$R$6,L124-((E124-G124*80%-I124)/E124*L124)*$R$6)</f>
        <v>44.356292019281732</v>
      </c>
      <c r="V124" s="85">
        <f t="shared" si="66"/>
        <v>44.356292019281732</v>
      </c>
      <c r="W124" s="162">
        <f t="shared" si="67"/>
        <v>44.356292019281732</v>
      </c>
      <c r="X124" s="187"/>
    </row>
    <row r="125" spans="1:24" x14ac:dyDescent="0.25">
      <c r="A125" s="1">
        <v>116</v>
      </c>
      <c r="B125" s="1">
        <v>1757.1</v>
      </c>
      <c r="E125" s="4">
        <f t="shared" si="55"/>
        <v>2.9794135528114838</v>
      </c>
      <c r="F125" s="4">
        <f t="shared" si="56"/>
        <v>2.9794135528114838</v>
      </c>
      <c r="G125" s="155">
        <f t="shared" si="57"/>
        <v>0</v>
      </c>
      <c r="H125" s="155">
        <f t="shared" si="58"/>
        <v>0</v>
      </c>
      <c r="I125" s="155">
        <f t="shared" si="59"/>
        <v>0</v>
      </c>
      <c r="J125" s="3">
        <v>1.7597009453518353</v>
      </c>
      <c r="K125" s="105">
        <v>1</v>
      </c>
      <c r="L125" s="3">
        <f t="shared" si="60"/>
        <v>45.927601166373599</v>
      </c>
      <c r="M125" s="165">
        <f t="shared" si="52"/>
        <v>45.927601166373599</v>
      </c>
      <c r="N125" s="107">
        <f t="shared" si="61"/>
        <v>45.927601166373599</v>
      </c>
      <c r="O125" s="165">
        <f t="shared" si="62"/>
        <v>45.927601166373599</v>
      </c>
      <c r="P125" s="165">
        <f t="shared" si="53"/>
        <v>45.927601166373599</v>
      </c>
      <c r="Q125" s="3">
        <f t="shared" si="54"/>
        <v>45.927601166373599</v>
      </c>
      <c r="R125" s="153">
        <f t="shared" si="63"/>
        <v>45.927601166373599</v>
      </c>
      <c r="S125" s="153">
        <f t="shared" si="64"/>
        <v>45.927601166373599</v>
      </c>
      <c r="T125" s="153">
        <f t="shared" si="65"/>
        <v>45.927601166373599</v>
      </c>
      <c r="U125" s="148">
        <f>IF('OPFOK OUDERDIEREN'!$H$15="ja",L125-((E125-G125*95%-I125)/E125*L125)*$R$6,L125-((E125-G125*80%-I125)/E125*L125)*$R$6)</f>
        <v>45.927601166373599</v>
      </c>
      <c r="V125" s="85">
        <f t="shared" si="66"/>
        <v>45.927601166373599</v>
      </c>
      <c r="W125" s="162">
        <f t="shared" si="67"/>
        <v>45.927601166373599</v>
      </c>
      <c r="X125" s="187"/>
    </row>
    <row r="126" spans="1:24" x14ac:dyDescent="0.25">
      <c r="A126" s="1">
        <v>117</v>
      </c>
      <c r="B126" s="1">
        <v>1771.4</v>
      </c>
      <c r="E126" s="4">
        <f t="shared" si="55"/>
        <v>3.0285996834342566</v>
      </c>
      <c r="F126" s="4">
        <f t="shared" si="56"/>
        <v>3.0285996834342566</v>
      </c>
      <c r="G126" s="155">
        <f t="shared" si="57"/>
        <v>0</v>
      </c>
      <c r="H126" s="155">
        <f t="shared" si="58"/>
        <v>0</v>
      </c>
      <c r="I126" s="155">
        <f t="shared" si="59"/>
        <v>0</v>
      </c>
      <c r="J126" s="3">
        <v>1.7923791603682901</v>
      </c>
      <c r="K126" s="105">
        <v>1</v>
      </c>
      <c r="L126" s="3">
        <f t="shared" si="60"/>
        <v>47.552774869325518</v>
      </c>
      <c r="M126" s="165">
        <f t="shared" si="52"/>
        <v>47.552774869325518</v>
      </c>
      <c r="N126" s="107">
        <f t="shared" si="61"/>
        <v>47.552774869325518</v>
      </c>
      <c r="O126" s="165">
        <f t="shared" si="62"/>
        <v>47.552774869325518</v>
      </c>
      <c r="P126" s="165">
        <f t="shared" si="53"/>
        <v>47.552774869325518</v>
      </c>
      <c r="Q126" s="3">
        <f t="shared" si="54"/>
        <v>47.552774869325518</v>
      </c>
      <c r="R126" s="153">
        <f t="shared" si="63"/>
        <v>47.552774869325518</v>
      </c>
      <c r="S126" s="153">
        <f t="shared" si="64"/>
        <v>47.552774869325518</v>
      </c>
      <c r="T126" s="153">
        <f t="shared" si="65"/>
        <v>47.552774869325518</v>
      </c>
      <c r="U126" s="148">
        <f>IF('OPFOK OUDERDIEREN'!$H$15="ja",L126-((E126-G126*95%-I126)/E126*L126)*$R$6,L126-((E126-G126*80%-I126)/E126*L126)*$R$6)</f>
        <v>47.552774869325518</v>
      </c>
      <c r="V126" s="85">
        <f t="shared" si="66"/>
        <v>47.552774869325518</v>
      </c>
      <c r="W126" s="162">
        <f t="shared" si="67"/>
        <v>47.552774869325518</v>
      </c>
      <c r="X126" s="187"/>
    </row>
    <row r="127" spans="1:24" x14ac:dyDescent="0.25">
      <c r="A127" s="1">
        <v>118</v>
      </c>
      <c r="B127" s="1">
        <v>1785.7</v>
      </c>
      <c r="E127" s="4">
        <f t="shared" si="55"/>
        <v>3.0784805029044522</v>
      </c>
      <c r="F127" s="4">
        <f t="shared" si="56"/>
        <v>3.0784805029044522</v>
      </c>
      <c r="G127" s="155">
        <f t="shared" si="57"/>
        <v>0</v>
      </c>
      <c r="H127" s="155">
        <f t="shared" si="58"/>
        <v>0</v>
      </c>
      <c r="I127" s="155">
        <f t="shared" si="59"/>
        <v>0</v>
      </c>
      <c r="J127" s="3">
        <v>1.8256642203941094</v>
      </c>
      <c r="K127" s="105">
        <v>1</v>
      </c>
      <c r="L127" s="3">
        <f t="shared" si="60"/>
        <v>49.233580156241658</v>
      </c>
      <c r="M127" s="165">
        <f t="shared" si="52"/>
        <v>49.233580156241658</v>
      </c>
      <c r="N127" s="107">
        <f t="shared" si="61"/>
        <v>49.233580156241658</v>
      </c>
      <c r="O127" s="165">
        <f t="shared" si="62"/>
        <v>49.233580156241658</v>
      </c>
      <c r="P127" s="165">
        <f t="shared" si="53"/>
        <v>49.233580156241658</v>
      </c>
      <c r="Q127" s="3">
        <f t="shared" si="54"/>
        <v>49.233580156241658</v>
      </c>
      <c r="R127" s="153">
        <f t="shared" si="63"/>
        <v>49.233580156241658</v>
      </c>
      <c r="S127" s="153">
        <f t="shared" si="64"/>
        <v>49.233580156241658</v>
      </c>
      <c r="T127" s="153">
        <f t="shared" si="65"/>
        <v>49.233580156241658</v>
      </c>
      <c r="U127" s="148">
        <f>IF('OPFOK OUDERDIEREN'!$H$15="ja",L127-((E127-G127*95%-I127)/E127*L127)*$R$6,L127-((E127-G127*80%-I127)/E127*L127)*$R$6)</f>
        <v>49.233580156241658</v>
      </c>
      <c r="V127" s="85">
        <f t="shared" si="66"/>
        <v>49.233580156241658</v>
      </c>
      <c r="W127" s="162">
        <f t="shared" si="67"/>
        <v>49.233580156241658</v>
      </c>
      <c r="X127" s="187"/>
    </row>
    <row r="128" spans="1:24" x14ac:dyDescent="0.25">
      <c r="A128" s="1">
        <v>119</v>
      </c>
      <c r="B128" s="1">
        <v>1800</v>
      </c>
      <c r="E128" s="4">
        <f t="shared" si="55"/>
        <v>3.1290627485950004</v>
      </c>
      <c r="F128" s="4">
        <f t="shared" si="56"/>
        <v>3.1290627485950004</v>
      </c>
      <c r="G128" s="155">
        <f t="shared" si="57"/>
        <v>0</v>
      </c>
      <c r="H128" s="155">
        <f t="shared" si="58"/>
        <v>0</v>
      </c>
      <c r="I128" s="155">
        <f t="shared" si="59"/>
        <v>0</v>
      </c>
      <c r="J128" s="3">
        <v>1.8595673947371558</v>
      </c>
      <c r="K128" s="105">
        <v>1</v>
      </c>
      <c r="L128" s="3">
        <f t="shared" si="60"/>
        <v>50.971838835155268</v>
      </c>
      <c r="M128" s="165">
        <f t="shared" si="52"/>
        <v>50.971838835155268</v>
      </c>
      <c r="N128" s="107">
        <f t="shared" si="61"/>
        <v>50.971838835155268</v>
      </c>
      <c r="O128" s="165">
        <f t="shared" si="62"/>
        <v>50.971838835155268</v>
      </c>
      <c r="P128" s="165">
        <f t="shared" si="53"/>
        <v>50.971838835155268</v>
      </c>
      <c r="Q128" s="3">
        <f t="shared" si="54"/>
        <v>50.971838835155268</v>
      </c>
      <c r="R128" s="153">
        <f t="shared" si="63"/>
        <v>50.971838835155268</v>
      </c>
      <c r="S128" s="153">
        <f t="shared" si="64"/>
        <v>50.971838835155268</v>
      </c>
      <c r="T128" s="153">
        <f t="shared" si="65"/>
        <v>50.971838835155268</v>
      </c>
      <c r="U128" s="148">
        <f>IF('OPFOK OUDERDIEREN'!$H$15="ja",L128-((E128-G128*95%-I128)/E128*L128)*$R$6,L128-((E128-G128*80%-I128)/E128*L128)*$R$6)</f>
        <v>50.971838835155268</v>
      </c>
      <c r="V128" s="85">
        <f t="shared" si="66"/>
        <v>50.971838835155268</v>
      </c>
      <c r="W128" s="162">
        <f t="shared" si="67"/>
        <v>50.971838835155268</v>
      </c>
      <c r="X128" s="187"/>
    </row>
    <row r="129" spans="1:24" x14ac:dyDescent="0.25">
      <c r="A129" s="1">
        <v>120</v>
      </c>
      <c r="B129" s="1">
        <v>1814.2</v>
      </c>
      <c r="E129" s="4">
        <f t="shared" si="55"/>
        <v>3.1799920093664324</v>
      </c>
      <c r="F129" s="4">
        <f t="shared" si="56"/>
        <v>3.1799920093664324</v>
      </c>
      <c r="G129" s="155">
        <f t="shared" si="57"/>
        <v>0</v>
      </c>
      <c r="H129" s="155">
        <f t="shared" si="58"/>
        <v>0</v>
      </c>
      <c r="I129" s="155">
        <f t="shared" si="59"/>
        <v>0</v>
      </c>
      <c r="J129" s="3">
        <v>1.894100161979978</v>
      </c>
      <c r="K129" s="105">
        <v>1</v>
      </c>
      <c r="L129" s="3">
        <f t="shared" si="60"/>
        <v>52.763436809115312</v>
      </c>
      <c r="M129" s="165">
        <f t="shared" si="52"/>
        <v>52.763436809115312</v>
      </c>
      <c r="N129" s="107">
        <f t="shared" si="61"/>
        <v>52.763436809115312</v>
      </c>
      <c r="O129" s="165">
        <f t="shared" si="62"/>
        <v>52.763436809115312</v>
      </c>
      <c r="P129" s="165">
        <f t="shared" si="53"/>
        <v>52.763436809115312</v>
      </c>
      <c r="Q129" s="3">
        <f t="shared" si="54"/>
        <v>52.763436809115312</v>
      </c>
      <c r="R129" s="153">
        <f t="shared" si="63"/>
        <v>52.763436809115312</v>
      </c>
      <c r="S129" s="153">
        <f t="shared" si="64"/>
        <v>52.763436809115312</v>
      </c>
      <c r="T129" s="153">
        <f t="shared" si="65"/>
        <v>52.763436809115312</v>
      </c>
      <c r="U129" s="148">
        <f>IF('OPFOK OUDERDIEREN'!$H$15="ja",L129-((E129-G129*95%-I129)/E129*L129)*$R$6,L129-((E129-G129*80%-I129)/E129*L129)*$R$6)</f>
        <v>52.763436809115312</v>
      </c>
      <c r="V129" s="85">
        <f t="shared" si="66"/>
        <v>52.763436809115312</v>
      </c>
      <c r="W129" s="162">
        <f t="shared" si="67"/>
        <v>52.763436809115312</v>
      </c>
      <c r="X129" s="187"/>
    </row>
    <row r="130" spans="1:24" x14ac:dyDescent="0.25">
      <c r="A130" s="1">
        <v>121</v>
      </c>
      <c r="B130" s="1">
        <v>1828.5</v>
      </c>
      <c r="E130" s="4">
        <f t="shared" si="55"/>
        <v>3.2319922969165003</v>
      </c>
      <c r="F130" s="4">
        <f t="shared" si="56"/>
        <v>3.2319922969165003</v>
      </c>
      <c r="G130" s="155">
        <f t="shared" si="57"/>
        <v>0</v>
      </c>
      <c r="H130" s="155">
        <f t="shared" si="58"/>
        <v>0</v>
      </c>
      <c r="I130" s="155">
        <f t="shared" si="59"/>
        <v>0</v>
      </c>
      <c r="J130" s="3">
        <v>1.9292742138661108</v>
      </c>
      <c r="K130" s="105">
        <v>1</v>
      </c>
      <c r="L130" s="3">
        <f t="shared" si="60"/>
        <v>54.622098725208986</v>
      </c>
      <c r="M130" s="165">
        <f t="shared" si="52"/>
        <v>54.622098725208986</v>
      </c>
      <c r="N130" s="107">
        <f t="shared" si="61"/>
        <v>54.622098725208986</v>
      </c>
      <c r="O130" s="165">
        <f t="shared" si="62"/>
        <v>54.622098725208986</v>
      </c>
      <c r="P130" s="165">
        <f t="shared" si="53"/>
        <v>54.622098725208986</v>
      </c>
      <c r="Q130" s="3">
        <f t="shared" si="54"/>
        <v>54.622098725208986</v>
      </c>
      <c r="R130" s="153">
        <f t="shared" si="63"/>
        <v>54.622098725208986</v>
      </c>
      <c r="S130" s="153">
        <f t="shared" si="64"/>
        <v>54.622098725208986</v>
      </c>
      <c r="T130" s="153">
        <f t="shared" si="65"/>
        <v>54.622098725208986</v>
      </c>
      <c r="U130" s="148">
        <f>IF('OPFOK OUDERDIEREN'!$H$15="ja",L130-((E130-G130*95%-I130)/E130*L130)*$R$6,L130-((E130-G130*80%-I130)/E130*L130)*$R$6)</f>
        <v>54.622098725208986</v>
      </c>
      <c r="V130" s="85">
        <f t="shared" si="66"/>
        <v>54.622098725208986</v>
      </c>
      <c r="W130" s="162">
        <f t="shared" si="67"/>
        <v>54.622098725208986</v>
      </c>
      <c r="X130" s="187"/>
    </row>
    <row r="131" spans="1:24" x14ac:dyDescent="0.25">
      <c r="A131" s="1">
        <v>122</v>
      </c>
      <c r="B131" s="1">
        <v>1842.8</v>
      </c>
      <c r="E131" s="4">
        <f t="shared" si="55"/>
        <v>3.2847141756912075</v>
      </c>
      <c r="F131" s="4">
        <f t="shared" si="56"/>
        <v>3.2847141756912075</v>
      </c>
      <c r="G131" s="155">
        <f t="shared" si="57"/>
        <v>0</v>
      </c>
      <c r="H131" s="155">
        <f t="shared" si="58"/>
        <v>0</v>
      </c>
      <c r="I131" s="155">
        <f t="shared" si="59"/>
        <v>0</v>
      </c>
      <c r="J131" s="3">
        <v>1.9651014592585447</v>
      </c>
      <c r="K131" s="105">
        <v>1</v>
      </c>
      <c r="L131" s="3">
        <f t="shared" si="60"/>
        <v>56.544018390306647</v>
      </c>
      <c r="M131" s="165">
        <f t="shared" si="52"/>
        <v>56.544018390306647</v>
      </c>
      <c r="N131" s="107">
        <f t="shared" si="61"/>
        <v>56.544018390306647</v>
      </c>
      <c r="O131" s="165">
        <f t="shared" si="62"/>
        <v>56.544018390306647</v>
      </c>
      <c r="P131" s="165">
        <f t="shared" si="53"/>
        <v>56.544018390306647</v>
      </c>
      <c r="Q131" s="3">
        <f t="shared" si="54"/>
        <v>56.544018390306647</v>
      </c>
      <c r="R131" s="153">
        <f t="shared" si="63"/>
        <v>56.544018390306647</v>
      </c>
      <c r="S131" s="153">
        <f t="shared" si="64"/>
        <v>56.544018390306647</v>
      </c>
      <c r="T131" s="153">
        <f t="shared" si="65"/>
        <v>56.544018390306647</v>
      </c>
      <c r="U131" s="148">
        <f>IF('OPFOK OUDERDIEREN'!$H$15="ja",L131-((E131-G131*95%-I131)/E131*L131)*$R$6,L131-((E131-G131*80%-I131)/E131*L131)*$R$6)</f>
        <v>56.544018390306647</v>
      </c>
      <c r="V131" s="85">
        <f t="shared" si="66"/>
        <v>56.544018390306647</v>
      </c>
      <c r="W131" s="162">
        <f t="shared" si="67"/>
        <v>56.544018390306647</v>
      </c>
      <c r="X131" s="187"/>
    </row>
    <row r="132" spans="1:24" x14ac:dyDescent="0.25">
      <c r="A132" s="1">
        <v>123</v>
      </c>
      <c r="B132" s="1">
        <v>1857.1</v>
      </c>
      <c r="E132" s="4">
        <f t="shared" si="55"/>
        <v>3.338164383063484</v>
      </c>
      <c r="F132" s="4">
        <f t="shared" si="56"/>
        <v>3.338164383063484</v>
      </c>
      <c r="G132" s="155">
        <f t="shared" si="57"/>
        <v>0</v>
      </c>
      <c r="H132" s="155">
        <f t="shared" si="58"/>
        <v>0</v>
      </c>
      <c r="I132" s="155">
        <f t="shared" si="59"/>
        <v>0</v>
      </c>
      <c r="J132" s="3">
        <v>2.0015940281717008</v>
      </c>
      <c r="K132" s="105">
        <v>1</v>
      </c>
      <c r="L132" s="3">
        <f t="shared" si="60"/>
        <v>58.531253073151177</v>
      </c>
      <c r="M132" s="165">
        <f t="shared" si="52"/>
        <v>58.531253073151177</v>
      </c>
      <c r="N132" s="107">
        <f t="shared" si="61"/>
        <v>58.531253073151177</v>
      </c>
      <c r="O132" s="165">
        <f t="shared" si="62"/>
        <v>58.531253073151177</v>
      </c>
      <c r="P132" s="165">
        <f t="shared" si="53"/>
        <v>58.531253073151177</v>
      </c>
      <c r="Q132" s="3">
        <f t="shared" si="54"/>
        <v>58.531253073151177</v>
      </c>
      <c r="R132" s="153">
        <f t="shared" si="63"/>
        <v>58.531253073151177</v>
      </c>
      <c r="S132" s="153">
        <f t="shared" si="64"/>
        <v>58.531253073151177</v>
      </c>
      <c r="T132" s="153">
        <f t="shared" si="65"/>
        <v>58.531253073151177</v>
      </c>
      <c r="U132" s="148">
        <f>IF('OPFOK OUDERDIEREN'!$H$15="ja",L132-((E132-G132*95%-I132)/E132*L132)*$R$6,L132-((E132-G132*80%-I132)/E132*L132)*$R$6)</f>
        <v>58.531253073151177</v>
      </c>
      <c r="V132" s="85">
        <f t="shared" si="66"/>
        <v>58.531253073151177</v>
      </c>
      <c r="W132" s="162">
        <f t="shared" si="67"/>
        <v>58.531253073151177</v>
      </c>
      <c r="X132" s="187"/>
    </row>
    <row r="133" spans="1:24" x14ac:dyDescent="0.25">
      <c r="A133" s="1">
        <v>124</v>
      </c>
      <c r="B133" s="1">
        <v>1871.4</v>
      </c>
      <c r="E133" s="4">
        <f t="shared" si="55"/>
        <v>3.3923496564062567</v>
      </c>
      <c r="F133" s="4">
        <f t="shared" si="56"/>
        <v>3.3923496564062567</v>
      </c>
      <c r="G133" s="155">
        <f t="shared" si="57"/>
        <v>0</v>
      </c>
      <c r="H133" s="155">
        <f t="shared" si="58"/>
        <v>0</v>
      </c>
      <c r="I133" s="155">
        <f t="shared" si="59"/>
        <v>0</v>
      </c>
      <c r="J133" s="3">
        <v>2.0387642758782905</v>
      </c>
      <c r="K133" s="105">
        <v>1</v>
      </c>
      <c r="L133" s="3">
        <f t="shared" si="60"/>
        <v>60.585923307137051</v>
      </c>
      <c r="M133" s="165">
        <f t="shared" si="52"/>
        <v>60.585923307137051</v>
      </c>
      <c r="N133" s="107">
        <f t="shared" si="61"/>
        <v>60.585923307137051</v>
      </c>
      <c r="O133" s="165">
        <f t="shared" si="62"/>
        <v>60.585923307137051</v>
      </c>
      <c r="P133" s="165">
        <f t="shared" si="53"/>
        <v>60.585923307137051</v>
      </c>
      <c r="Q133" s="3">
        <f t="shared" si="54"/>
        <v>60.585923307137051</v>
      </c>
      <c r="R133" s="153">
        <f t="shared" si="63"/>
        <v>60.585923307137051</v>
      </c>
      <c r="S133" s="153">
        <f t="shared" si="64"/>
        <v>60.585923307137051</v>
      </c>
      <c r="T133" s="153">
        <f t="shared" si="65"/>
        <v>60.585923307137051</v>
      </c>
      <c r="U133" s="148">
        <f>IF('OPFOK OUDERDIEREN'!$H$15="ja",L133-((E133-G133*95%-I133)/E133*L133)*$R$6,L133-((E133-G133*80%-I133)/E133*L133)*$R$6)</f>
        <v>60.585923307137051</v>
      </c>
      <c r="V133" s="85">
        <f t="shared" si="66"/>
        <v>60.585923307137051</v>
      </c>
      <c r="W133" s="162">
        <f t="shared" si="67"/>
        <v>60.585923307137051</v>
      </c>
      <c r="X133" s="187"/>
    </row>
    <row r="134" spans="1:24" x14ac:dyDescent="0.25">
      <c r="A134" s="1">
        <v>125</v>
      </c>
      <c r="B134" s="1">
        <v>1885.7</v>
      </c>
      <c r="E134" s="4">
        <f t="shared" si="55"/>
        <v>3.4472767330924521</v>
      </c>
      <c r="F134" s="4">
        <f t="shared" si="56"/>
        <v>3.4472767330924521</v>
      </c>
      <c r="G134" s="155">
        <f t="shared" si="57"/>
        <v>0</v>
      </c>
      <c r="H134" s="155">
        <f t="shared" si="58"/>
        <v>0</v>
      </c>
      <c r="I134" s="155">
        <f t="shared" si="59"/>
        <v>0</v>
      </c>
      <c r="J134" s="3">
        <v>2.0766247870924244</v>
      </c>
      <c r="K134" s="105">
        <v>1</v>
      </c>
      <c r="L134" s="3">
        <f t="shared" si="60"/>
        <v>62.710214732303399</v>
      </c>
      <c r="M134" s="165">
        <f t="shared" si="52"/>
        <v>62.710214732303399</v>
      </c>
      <c r="N134" s="107">
        <f t="shared" si="61"/>
        <v>62.710214732303399</v>
      </c>
      <c r="O134" s="165">
        <f t="shared" si="62"/>
        <v>62.710214732303399</v>
      </c>
      <c r="P134" s="165">
        <f t="shared" si="53"/>
        <v>62.710214732303399</v>
      </c>
      <c r="Q134" s="3">
        <f t="shared" si="54"/>
        <v>62.710214732303399</v>
      </c>
      <c r="R134" s="153">
        <f t="shared" si="63"/>
        <v>62.710214732303399</v>
      </c>
      <c r="S134" s="153">
        <f t="shared" si="64"/>
        <v>62.710214732303399</v>
      </c>
      <c r="T134" s="153">
        <f t="shared" si="65"/>
        <v>62.710214732303399</v>
      </c>
      <c r="U134" s="148">
        <f>IF('OPFOK OUDERDIEREN'!$H$15="ja",L134-((E134-G134*95%-I134)/E134*L134)*$R$6,L134-((E134-G134*80%-I134)/E134*L134)*$R$6)</f>
        <v>62.710214732303399</v>
      </c>
      <c r="V134" s="85">
        <f t="shared" si="66"/>
        <v>62.710214732303399</v>
      </c>
      <c r="W134" s="162">
        <f t="shared" si="67"/>
        <v>62.710214732303399</v>
      </c>
      <c r="X134" s="187"/>
    </row>
    <row r="135" spans="1:24" x14ac:dyDescent="0.25">
      <c r="A135" s="1">
        <v>126</v>
      </c>
      <c r="B135" s="1">
        <v>1900</v>
      </c>
      <c r="E135" s="4">
        <f t="shared" si="55"/>
        <v>3.5029523504950006</v>
      </c>
      <c r="F135" s="4">
        <f t="shared" si="56"/>
        <v>3.5029523504950006</v>
      </c>
      <c r="G135" s="155">
        <f t="shared" si="57"/>
        <v>0</v>
      </c>
      <c r="H135" s="155">
        <f t="shared" si="58"/>
        <v>0</v>
      </c>
      <c r="I135" s="155">
        <f t="shared" si="59"/>
        <v>0</v>
      </c>
      <c r="J135" s="3">
        <v>2.1151883802304265</v>
      </c>
      <c r="K135" s="105">
        <v>1</v>
      </c>
      <c r="L135" s="3">
        <f t="shared" si="60"/>
        <v>64.906379988426693</v>
      </c>
      <c r="M135" s="165">
        <f t="shared" si="52"/>
        <v>64.906379988426693</v>
      </c>
      <c r="N135" s="107">
        <f t="shared" si="61"/>
        <v>64.906379988426693</v>
      </c>
      <c r="O135" s="165">
        <f t="shared" si="62"/>
        <v>64.906379988426693</v>
      </c>
      <c r="P135" s="165">
        <f t="shared" si="53"/>
        <v>64.906379988426693</v>
      </c>
      <c r="Q135" s="3">
        <f t="shared" si="54"/>
        <v>64.906379988426693</v>
      </c>
      <c r="R135" s="153">
        <f t="shared" si="63"/>
        <v>64.906379988426693</v>
      </c>
      <c r="S135" s="153">
        <f t="shared" si="64"/>
        <v>64.906379988426693</v>
      </c>
      <c r="T135" s="153">
        <f t="shared" si="65"/>
        <v>64.906379988426693</v>
      </c>
      <c r="U135" s="148">
        <f>IF('OPFOK OUDERDIEREN'!$H$15="ja",L135-((E135-G135*95%-I135)/E135*L135)*$R$6,L135-((E135-G135*80%-I135)/E135*L135)*$R$6)</f>
        <v>64.906379988426693</v>
      </c>
      <c r="V135" s="85">
        <f t="shared" si="66"/>
        <v>64.906379988426693</v>
      </c>
      <c r="W135" s="162">
        <f t="shared" si="67"/>
        <v>64.906379988426693</v>
      </c>
      <c r="X135" s="187"/>
    </row>
    <row r="136" spans="1:24" x14ac:dyDescent="0.25">
      <c r="A136" s="1">
        <v>127</v>
      </c>
      <c r="B136" s="1">
        <v>1921.6</v>
      </c>
      <c r="E136" s="4">
        <f t="shared" si="55"/>
        <v>3.5884839932488237</v>
      </c>
      <c r="F136" s="4">
        <f t="shared" si="56"/>
        <v>3.5884839932488237</v>
      </c>
      <c r="G136" s="155">
        <f t="shared" si="57"/>
        <v>0</v>
      </c>
      <c r="H136" s="155">
        <f t="shared" si="58"/>
        <v>0</v>
      </c>
      <c r="I136" s="155">
        <f t="shared" si="59"/>
        <v>0</v>
      </c>
      <c r="J136" s="3">
        <v>2.1544681117507474</v>
      </c>
      <c r="K136" s="105">
        <v>1</v>
      </c>
      <c r="L136" s="3">
        <f t="shared" si="60"/>
        <v>67.725963156927349</v>
      </c>
      <c r="M136" s="165">
        <f t="shared" si="52"/>
        <v>67.725963156927349</v>
      </c>
      <c r="N136" s="107">
        <f t="shared" si="61"/>
        <v>67.725963156927349</v>
      </c>
      <c r="O136" s="165">
        <f t="shared" si="62"/>
        <v>67.725963156927349</v>
      </c>
      <c r="P136" s="165">
        <f t="shared" si="53"/>
        <v>67.725963156927349</v>
      </c>
      <c r="Q136" s="3">
        <f t="shared" si="54"/>
        <v>67.725963156927349</v>
      </c>
      <c r="R136" s="153">
        <f t="shared" si="63"/>
        <v>67.725963156927349</v>
      </c>
      <c r="S136" s="153">
        <f t="shared" si="64"/>
        <v>67.725963156927349</v>
      </c>
      <c r="T136" s="153">
        <f t="shared" si="65"/>
        <v>67.725963156927349</v>
      </c>
      <c r="U136" s="148">
        <f>IF('OPFOK OUDERDIEREN'!$H$15="ja",L136-((E136-G136*95%-I136)/E136*L136)*$R$6,L136-((E136-G136*80%-I136)/E136*L136)*$R$6)</f>
        <v>67.725963156927349</v>
      </c>
      <c r="V136" s="85">
        <f t="shared" si="66"/>
        <v>67.725963156927349</v>
      </c>
      <c r="W136" s="162">
        <f t="shared" si="67"/>
        <v>67.725963156927349</v>
      </c>
      <c r="X136" s="187"/>
    </row>
    <row r="137" spans="1:24" x14ac:dyDescent="0.25">
      <c r="A137" s="1">
        <v>128</v>
      </c>
      <c r="B137" s="1">
        <v>1943</v>
      </c>
      <c r="E137" s="4">
        <f t="shared" si="55"/>
        <v>3.6749458696640005</v>
      </c>
      <c r="F137" s="4">
        <f t="shared" si="56"/>
        <v>3.6749458696640005</v>
      </c>
      <c r="G137" s="155">
        <f t="shared" si="57"/>
        <v>0</v>
      </c>
      <c r="H137" s="155">
        <f t="shared" si="58"/>
        <v>0</v>
      </c>
      <c r="I137" s="155">
        <f t="shared" si="59"/>
        <v>0</v>
      </c>
      <c r="J137" s="3">
        <v>2.194477280574493</v>
      </c>
      <c r="K137" s="105">
        <v>1</v>
      </c>
      <c r="L137" s="3">
        <f t="shared" si="60"/>
        <v>70.645766512471994</v>
      </c>
      <c r="M137" s="165">
        <f t="shared" si="52"/>
        <v>70.645766512471994</v>
      </c>
      <c r="N137" s="107">
        <f t="shared" si="61"/>
        <v>70.645766512471994</v>
      </c>
      <c r="O137" s="165">
        <f t="shared" si="62"/>
        <v>70.645766512471994</v>
      </c>
      <c r="P137" s="165">
        <f t="shared" si="53"/>
        <v>70.645766512471994</v>
      </c>
      <c r="Q137" s="3">
        <f t="shared" si="54"/>
        <v>70.645766512471994</v>
      </c>
      <c r="R137" s="153">
        <f t="shared" si="63"/>
        <v>70.645766512471994</v>
      </c>
      <c r="S137" s="153">
        <f t="shared" si="64"/>
        <v>70.645766512471994</v>
      </c>
      <c r="T137" s="153">
        <f t="shared" si="65"/>
        <v>70.645766512471994</v>
      </c>
      <c r="U137" s="148">
        <f>IF('OPFOK OUDERDIEREN'!$H$15="ja",L137-((E137-G137*95%-I137)/E137*L137)*$R$6,L137-((E137-G137*80%-I137)/E137*L137)*$R$6)</f>
        <v>70.645766512471994</v>
      </c>
      <c r="V137" s="85">
        <f t="shared" si="66"/>
        <v>70.645766512471994</v>
      </c>
      <c r="W137" s="162">
        <f t="shared" si="67"/>
        <v>70.645766512471994</v>
      </c>
      <c r="X137" s="187"/>
    </row>
    <row r="138" spans="1:24" x14ac:dyDescent="0.25">
      <c r="A138" s="1">
        <v>129</v>
      </c>
      <c r="B138" s="1">
        <v>1964.4</v>
      </c>
      <c r="E138" s="4">
        <f t="shared" si="55"/>
        <v>3.7631445795294169</v>
      </c>
      <c r="F138" s="4">
        <f t="shared" si="56"/>
        <v>3.7631445795294169</v>
      </c>
      <c r="G138" s="155">
        <f t="shared" si="57"/>
        <v>0</v>
      </c>
      <c r="H138" s="155">
        <f t="shared" si="58"/>
        <v>0</v>
      </c>
      <c r="I138" s="155">
        <f t="shared" si="59"/>
        <v>0</v>
      </c>
      <c r="J138" s="3">
        <v>2.2352294325880275</v>
      </c>
      <c r="K138" s="105">
        <v>1</v>
      </c>
      <c r="L138" s="3">
        <f t="shared" si="60"/>
        <v>73.684665743654676</v>
      </c>
      <c r="M138" s="165">
        <f t="shared" si="52"/>
        <v>73.684665743654676</v>
      </c>
      <c r="N138" s="107">
        <f t="shared" si="61"/>
        <v>73.684665743654676</v>
      </c>
      <c r="O138" s="165">
        <f t="shared" si="62"/>
        <v>73.684665743654676</v>
      </c>
      <c r="P138" s="165">
        <f t="shared" si="53"/>
        <v>73.684665743654676</v>
      </c>
      <c r="Q138" s="3">
        <f t="shared" si="54"/>
        <v>73.684665743654676</v>
      </c>
      <c r="R138" s="153">
        <f t="shared" si="63"/>
        <v>73.684665743654676</v>
      </c>
      <c r="S138" s="153">
        <f t="shared" si="64"/>
        <v>73.684665743654676</v>
      </c>
      <c r="T138" s="153">
        <f t="shared" si="65"/>
        <v>73.684665743654676</v>
      </c>
      <c r="U138" s="148">
        <f>IF('OPFOK OUDERDIEREN'!$H$15="ja",L138-((E138-G138*95%-I138)/E138*L138)*$R$6,L138-((E138-G138*80%-I138)/E138*L138)*$R$6)</f>
        <v>73.684665743654676</v>
      </c>
      <c r="V138" s="85">
        <f t="shared" si="66"/>
        <v>73.684665743654676</v>
      </c>
      <c r="W138" s="162">
        <f t="shared" si="67"/>
        <v>73.684665743654676</v>
      </c>
      <c r="X138" s="187"/>
    </row>
    <row r="139" spans="1:24" x14ac:dyDescent="0.25">
      <c r="A139" s="1">
        <v>130</v>
      </c>
      <c r="B139" s="1">
        <v>1985.8</v>
      </c>
      <c r="E139" s="4">
        <f t="shared" si="55"/>
        <v>3.8531027028376483</v>
      </c>
      <c r="F139" s="4">
        <f t="shared" si="56"/>
        <v>3.8531027028376483</v>
      </c>
      <c r="G139" s="155">
        <f t="shared" si="57"/>
        <v>0</v>
      </c>
      <c r="H139" s="155">
        <f t="shared" si="58"/>
        <v>0</v>
      </c>
      <c r="I139" s="155">
        <f t="shared" si="59"/>
        <v>0</v>
      </c>
      <c r="J139" s="3">
        <v>2.2767383652292006</v>
      </c>
      <c r="K139" s="105">
        <v>1</v>
      </c>
      <c r="L139" s="3">
        <f t="shared" si="60"/>
        <v>76.847159118776702</v>
      </c>
      <c r="M139" s="165">
        <f t="shared" ref="M139:M149" si="68">IF(E139&gt;$R$5,L139-(R$5)/E139*L139*M$7,L139-(E139)/E139*L139*M$7)</f>
        <v>76.847159118776702</v>
      </c>
      <c r="N139" s="107">
        <f t="shared" si="61"/>
        <v>76.847159118776702</v>
      </c>
      <c r="O139" s="165">
        <f t="shared" si="62"/>
        <v>76.847159118776702</v>
      </c>
      <c r="P139" s="165">
        <f t="shared" ref="P139:P149" si="69">IF(I139=0,L139,IF(I139&gt;$R$5,L139-(R$5)/E139*L139*(M$7+2),L139-(I139)/E139*L139*(M$7+2%)))</f>
        <v>76.847159118776702</v>
      </c>
      <c r="Q139" s="3">
        <f t="shared" ref="Q139:Q149" si="70">(((($J139)-$J$3)/1000*$F139*24*365*$K139))+(((($J139)-$J$3)/1000*$G139*24*365*$K139)*(1-95%))</f>
        <v>76.847159118776702</v>
      </c>
      <c r="R139" s="153">
        <f t="shared" si="63"/>
        <v>76.847159118776702</v>
      </c>
      <c r="S139" s="153">
        <f t="shared" si="64"/>
        <v>76.847159118776702</v>
      </c>
      <c r="T139" s="153">
        <f t="shared" si="65"/>
        <v>76.847159118776702</v>
      </c>
      <c r="U139" s="148">
        <f>IF('OPFOK OUDERDIEREN'!$H$15="ja",L139-((E139-G139*95%-I139)/E139*L139)*$R$6,L139-((E139-G139*80%-I139)/E139*L139)*$R$6)</f>
        <v>76.847159118776702</v>
      </c>
      <c r="V139" s="85">
        <f t="shared" si="66"/>
        <v>76.847159118776702</v>
      </c>
      <c r="W139" s="162">
        <f t="shared" si="67"/>
        <v>76.847159118776702</v>
      </c>
      <c r="X139" s="187"/>
    </row>
    <row r="140" spans="1:24" x14ac:dyDescent="0.25">
      <c r="A140" s="1">
        <v>131</v>
      </c>
      <c r="B140" s="1">
        <v>2007.2</v>
      </c>
      <c r="E140" s="4">
        <f t="shared" si="55"/>
        <v>3.9448428195812726</v>
      </c>
      <c r="F140" s="4">
        <f t="shared" si="56"/>
        <v>3.9448428195812726</v>
      </c>
      <c r="G140" s="155">
        <f t="shared" si="57"/>
        <v>0</v>
      </c>
      <c r="H140" s="155">
        <f t="shared" si="58"/>
        <v>0</v>
      </c>
      <c r="I140" s="155">
        <f t="shared" si="59"/>
        <v>0</v>
      </c>
      <c r="J140" s="3">
        <v>2.3190181321587433</v>
      </c>
      <c r="K140" s="105">
        <v>1</v>
      </c>
      <c r="L140" s="3">
        <f t="shared" si="60"/>
        <v>80.137899357616689</v>
      </c>
      <c r="M140" s="165">
        <f t="shared" si="68"/>
        <v>80.137899357616689</v>
      </c>
      <c r="N140" s="107">
        <f t="shared" si="61"/>
        <v>80.137899357616689</v>
      </c>
      <c r="O140" s="165">
        <f t="shared" si="62"/>
        <v>80.137899357616689</v>
      </c>
      <c r="P140" s="165">
        <f t="shared" si="69"/>
        <v>80.137899357616689</v>
      </c>
      <c r="Q140" s="3">
        <f t="shared" si="70"/>
        <v>80.137899357616689</v>
      </c>
      <c r="R140" s="153">
        <f t="shared" si="63"/>
        <v>80.137899357616689</v>
      </c>
      <c r="S140" s="153">
        <f t="shared" si="64"/>
        <v>80.137899357616689</v>
      </c>
      <c r="T140" s="153">
        <f t="shared" si="65"/>
        <v>80.137899357616689</v>
      </c>
      <c r="U140" s="148">
        <f>IF('OPFOK OUDERDIEREN'!$H$15="ja",L140-((E140-G140*95%-I140)/E140*L140)*$R$6,L140-((E140-G140*80%-I140)/E140*L140)*$R$6)</f>
        <v>80.137899357616689</v>
      </c>
      <c r="V140" s="85">
        <f t="shared" si="66"/>
        <v>80.137899357616689</v>
      </c>
      <c r="W140" s="162">
        <f t="shared" si="67"/>
        <v>80.137899357616689</v>
      </c>
      <c r="X140" s="187"/>
    </row>
    <row r="141" spans="1:24" x14ac:dyDescent="0.25">
      <c r="A141" s="1">
        <v>132</v>
      </c>
      <c r="B141" s="1">
        <v>2028.6</v>
      </c>
      <c r="E141" s="4">
        <f t="shared" si="55"/>
        <v>4.0383875097528632</v>
      </c>
      <c r="F141" s="4">
        <f t="shared" si="56"/>
        <v>4.0383875097528632</v>
      </c>
      <c r="G141" s="155">
        <f t="shared" si="57"/>
        <v>0</v>
      </c>
      <c r="H141" s="155">
        <f t="shared" si="58"/>
        <v>0</v>
      </c>
      <c r="I141" s="155">
        <f t="shared" si="59"/>
        <v>0</v>
      </c>
      <c r="J141" s="3">
        <v>2.3620830480184019</v>
      </c>
      <c r="K141" s="105">
        <v>1</v>
      </c>
      <c r="L141" s="3">
        <f t="shared" si="60"/>
        <v>83.561698500300409</v>
      </c>
      <c r="M141" s="165">
        <f t="shared" si="68"/>
        <v>83.561698500300409</v>
      </c>
      <c r="N141" s="107">
        <f t="shared" si="61"/>
        <v>83.561698500300409</v>
      </c>
      <c r="O141" s="165">
        <f t="shared" si="62"/>
        <v>83.561698500300409</v>
      </c>
      <c r="P141" s="165">
        <f t="shared" si="69"/>
        <v>83.561698500300409</v>
      </c>
      <c r="Q141" s="3">
        <f t="shared" si="70"/>
        <v>83.561698500300409</v>
      </c>
      <c r="R141" s="153">
        <f t="shared" si="63"/>
        <v>83.561698500300409</v>
      </c>
      <c r="S141" s="153">
        <f t="shared" si="64"/>
        <v>83.561698500300409</v>
      </c>
      <c r="T141" s="153">
        <f t="shared" si="65"/>
        <v>83.561698500300409</v>
      </c>
      <c r="U141" s="148">
        <f>IF('OPFOK OUDERDIEREN'!$H$15="ja",L141-((E141-G141*95%-I141)/E141*L141)*$R$6,L141-((E141-G141*80%-I141)/E141*L141)*$R$6)</f>
        <v>83.561698500300409</v>
      </c>
      <c r="V141" s="85">
        <f t="shared" si="66"/>
        <v>83.561698500300409</v>
      </c>
      <c r="W141" s="162">
        <f t="shared" si="67"/>
        <v>83.561698500300409</v>
      </c>
      <c r="X141" s="187"/>
    </row>
    <row r="142" spans="1:24" x14ac:dyDescent="0.25">
      <c r="A142" s="1">
        <v>133</v>
      </c>
      <c r="B142" s="1">
        <v>2050</v>
      </c>
      <c r="E142" s="4">
        <f t="shared" si="55"/>
        <v>4.1337593533449999</v>
      </c>
      <c r="F142" s="4">
        <f t="shared" si="56"/>
        <v>4.1337593533449999</v>
      </c>
      <c r="G142" s="155">
        <f t="shared" si="57"/>
        <v>0</v>
      </c>
      <c r="H142" s="155">
        <f t="shared" si="58"/>
        <v>0</v>
      </c>
      <c r="I142" s="155">
        <f t="shared" si="59"/>
        <v>0</v>
      </c>
      <c r="J142" s="3">
        <v>2.4059476932774495</v>
      </c>
      <c r="K142" s="105">
        <v>1</v>
      </c>
      <c r="L142" s="3">
        <f t="shared" si="60"/>
        <v>87.12353291932169</v>
      </c>
      <c r="M142" s="165">
        <f t="shared" si="68"/>
        <v>87.12353291932169</v>
      </c>
      <c r="N142" s="107">
        <f t="shared" si="61"/>
        <v>87.12353291932169</v>
      </c>
      <c r="O142" s="165">
        <f t="shared" si="62"/>
        <v>87.12353291932169</v>
      </c>
      <c r="P142" s="165">
        <f t="shared" si="69"/>
        <v>87.12353291932169</v>
      </c>
      <c r="Q142" s="3">
        <f t="shared" si="70"/>
        <v>87.12353291932169</v>
      </c>
      <c r="R142" s="153">
        <f t="shared" si="63"/>
        <v>87.12353291932169</v>
      </c>
      <c r="S142" s="153">
        <f t="shared" si="64"/>
        <v>87.12353291932169</v>
      </c>
      <c r="T142" s="153">
        <f t="shared" si="65"/>
        <v>87.12353291932169</v>
      </c>
      <c r="U142" s="148">
        <f>IF('OPFOK OUDERDIEREN'!$H$15="ja",L142-((E142-G142*95%-I142)/E142*L142)*$R$6,L142-((E142-G142*80%-I142)/E142*L142)*$R$6)</f>
        <v>87.12353291932169</v>
      </c>
      <c r="V142" s="85">
        <f t="shared" si="66"/>
        <v>87.12353291932169</v>
      </c>
      <c r="W142" s="162">
        <f t="shared" si="67"/>
        <v>87.12353291932169</v>
      </c>
      <c r="X142" s="187"/>
    </row>
    <row r="143" spans="1:24" x14ac:dyDescent="0.25">
      <c r="A143" s="1">
        <v>134</v>
      </c>
      <c r="B143" s="1">
        <v>2071.6</v>
      </c>
      <c r="E143" s="4">
        <f t="shared" si="55"/>
        <v>4.2318983389468237</v>
      </c>
      <c r="F143" s="4">
        <f t="shared" si="56"/>
        <v>4.2318983389468237</v>
      </c>
      <c r="G143" s="155">
        <f t="shared" si="57"/>
        <v>0</v>
      </c>
      <c r="H143" s="155">
        <f t="shared" si="58"/>
        <v>0</v>
      </c>
      <c r="I143" s="155">
        <f t="shared" si="59"/>
        <v>0</v>
      </c>
      <c r="J143" s="3">
        <v>2.450626919169177</v>
      </c>
      <c r="K143" s="105">
        <v>1</v>
      </c>
      <c r="L143" s="3">
        <f t="shared" si="60"/>
        <v>90.848242940227209</v>
      </c>
      <c r="M143" s="165">
        <f t="shared" si="68"/>
        <v>90.848242940227209</v>
      </c>
      <c r="N143" s="107">
        <f t="shared" si="61"/>
        <v>90.848242940227209</v>
      </c>
      <c r="O143" s="165">
        <f t="shared" si="62"/>
        <v>90.848242940227209</v>
      </c>
      <c r="P143" s="165">
        <f t="shared" si="69"/>
        <v>90.848242940227209</v>
      </c>
      <c r="Q143" s="3">
        <f t="shared" si="70"/>
        <v>90.848242940227209</v>
      </c>
      <c r="R143" s="153">
        <f t="shared" si="63"/>
        <v>90.848242940227209</v>
      </c>
      <c r="S143" s="153">
        <f t="shared" si="64"/>
        <v>90.848242940227209</v>
      </c>
      <c r="T143" s="153">
        <f t="shared" si="65"/>
        <v>90.848242940227209</v>
      </c>
      <c r="U143" s="148">
        <f>IF('OPFOK OUDERDIEREN'!$H$15="ja",L143-((E143-G143*95%-I143)/E143*L143)*$R$6,L143-((E143-G143*80%-I143)/E143*L143)*$R$6)</f>
        <v>90.848242940227209</v>
      </c>
      <c r="V143" s="85">
        <f t="shared" si="66"/>
        <v>90.848242940227209</v>
      </c>
      <c r="W143" s="162">
        <f t="shared" si="67"/>
        <v>90.848242940227209</v>
      </c>
      <c r="X143" s="187"/>
    </row>
    <row r="144" spans="1:24" x14ac:dyDescent="0.25">
      <c r="A144" s="1">
        <v>135</v>
      </c>
      <c r="B144" s="2">
        <v>2093</v>
      </c>
      <c r="E144" s="4">
        <f t="shared" si="55"/>
        <v>4.3310098341140009</v>
      </c>
      <c r="F144" s="4">
        <f t="shared" si="56"/>
        <v>4.3310098341140009</v>
      </c>
      <c r="G144" s="155">
        <f t="shared" si="57"/>
        <v>0</v>
      </c>
      <c r="H144" s="155">
        <f t="shared" si="58"/>
        <v>0</v>
      </c>
      <c r="I144" s="155">
        <f t="shared" si="59"/>
        <v>0</v>
      </c>
      <c r="J144" s="3">
        <v>2.4961358527190827</v>
      </c>
      <c r="K144" s="105">
        <v>1</v>
      </c>
      <c r="L144" s="3">
        <f t="shared" si="60"/>
        <v>94.70251098659935</v>
      </c>
      <c r="M144" s="165">
        <f t="shared" si="68"/>
        <v>94.70251098659935</v>
      </c>
      <c r="N144" s="107">
        <f t="shared" si="61"/>
        <v>94.70251098659935</v>
      </c>
      <c r="O144" s="165">
        <f t="shared" si="62"/>
        <v>94.70251098659935</v>
      </c>
      <c r="P144" s="165">
        <f t="shared" si="69"/>
        <v>94.70251098659935</v>
      </c>
      <c r="Q144" s="3">
        <f t="shared" si="70"/>
        <v>94.70251098659935</v>
      </c>
      <c r="R144" s="153">
        <f t="shared" si="63"/>
        <v>94.70251098659935</v>
      </c>
      <c r="S144" s="153">
        <f t="shared" si="64"/>
        <v>94.70251098659935</v>
      </c>
      <c r="T144" s="153">
        <f t="shared" si="65"/>
        <v>94.70251098659935</v>
      </c>
      <c r="U144" s="148">
        <f>IF('OPFOK OUDERDIEREN'!$H$15="ja",L144-((E144-G144*95%-I144)/E144*L144)*$R$6,L144-((E144-G144*80%-I144)/E144*L144)*$R$6)</f>
        <v>94.70251098659935</v>
      </c>
      <c r="V144" s="85">
        <f t="shared" si="66"/>
        <v>94.70251098659935</v>
      </c>
      <c r="W144" s="162">
        <f t="shared" si="67"/>
        <v>94.70251098659935</v>
      </c>
      <c r="X144" s="187"/>
    </row>
    <row r="145" spans="1:24" x14ac:dyDescent="0.25">
      <c r="A145" s="1">
        <v>136</v>
      </c>
      <c r="B145" s="1">
        <v>2114.4</v>
      </c>
      <c r="E145" s="4">
        <f t="shared" si="55"/>
        <v>4.4320164337074175</v>
      </c>
      <c r="F145" s="4">
        <f t="shared" si="56"/>
        <v>4.4320164337074175</v>
      </c>
      <c r="G145" s="155">
        <f t="shared" si="57"/>
        <v>0</v>
      </c>
      <c r="H145" s="155">
        <f t="shared" si="58"/>
        <v>0</v>
      </c>
      <c r="I145" s="155">
        <f t="shared" si="59"/>
        <v>0</v>
      </c>
      <c r="J145" s="3">
        <v>2.5424899018664084</v>
      </c>
      <c r="K145" s="105">
        <v>1</v>
      </c>
      <c r="L145" s="3">
        <f t="shared" si="60"/>
        <v>98.710807561838024</v>
      </c>
      <c r="M145" s="165">
        <f t="shared" si="68"/>
        <v>98.710807561838024</v>
      </c>
      <c r="N145" s="107">
        <f t="shared" si="61"/>
        <v>98.710807561838024</v>
      </c>
      <c r="O145" s="165">
        <f t="shared" si="62"/>
        <v>98.710807561838024</v>
      </c>
      <c r="P145" s="165">
        <f t="shared" si="69"/>
        <v>98.710807561838024</v>
      </c>
      <c r="Q145" s="3">
        <f t="shared" si="70"/>
        <v>98.710807561838024</v>
      </c>
      <c r="R145" s="153">
        <f t="shared" si="63"/>
        <v>98.710807561838024</v>
      </c>
      <c r="S145" s="153">
        <f t="shared" si="64"/>
        <v>98.710807561838024</v>
      </c>
      <c r="T145" s="153">
        <f t="shared" si="65"/>
        <v>98.710807561838024</v>
      </c>
      <c r="U145" s="148">
        <f>IF('OPFOK OUDERDIEREN'!$H$15="ja",L145-((E145-G145*95%-I145)/E145*L145)*$R$6,L145-((E145-G145*80%-I145)/E145*L145)*$R$6)</f>
        <v>98.710807561838024</v>
      </c>
      <c r="V145" s="85">
        <f t="shared" si="66"/>
        <v>98.710807561838024</v>
      </c>
      <c r="W145" s="162">
        <f t="shared" si="67"/>
        <v>98.710807561838024</v>
      </c>
      <c r="X145" s="187"/>
    </row>
    <row r="146" spans="1:24" x14ac:dyDescent="0.25">
      <c r="A146" s="1">
        <v>137</v>
      </c>
      <c r="B146" s="1">
        <v>2135.8000000000002</v>
      </c>
      <c r="E146" s="4">
        <f t="shared" si="55"/>
        <v>4.5349407177196488</v>
      </c>
      <c r="F146" s="4">
        <f t="shared" si="56"/>
        <v>4.5349407177196488</v>
      </c>
      <c r="G146" s="155">
        <f t="shared" si="57"/>
        <v>0</v>
      </c>
      <c r="H146" s="155">
        <f t="shared" si="58"/>
        <v>0</v>
      </c>
      <c r="I146" s="155">
        <f t="shared" si="59"/>
        <v>0</v>
      </c>
      <c r="J146" s="3">
        <v>2.5897047606808092</v>
      </c>
      <c r="K146" s="105">
        <v>1</v>
      </c>
      <c r="L146" s="3">
        <f t="shared" si="60"/>
        <v>102.87882027889425</v>
      </c>
      <c r="M146" s="165">
        <f t="shared" si="68"/>
        <v>102.87882027889425</v>
      </c>
      <c r="N146" s="107">
        <f t="shared" si="61"/>
        <v>102.87882027889425</v>
      </c>
      <c r="O146" s="165">
        <f t="shared" si="62"/>
        <v>102.87882027889425</v>
      </c>
      <c r="P146" s="165">
        <f t="shared" si="69"/>
        <v>102.87882027889425</v>
      </c>
      <c r="Q146" s="3">
        <f t="shared" si="70"/>
        <v>102.87882027889425</v>
      </c>
      <c r="R146" s="153">
        <f t="shared" si="63"/>
        <v>102.87882027889425</v>
      </c>
      <c r="S146" s="153">
        <f t="shared" si="64"/>
        <v>102.87882027889425</v>
      </c>
      <c r="T146" s="153">
        <f t="shared" si="65"/>
        <v>102.87882027889425</v>
      </c>
      <c r="U146" s="148">
        <f>IF('OPFOK OUDERDIEREN'!$H$15="ja",L146-((E146-G146*95%-I146)/E146*L146)*$R$6,L146-((E146-G146*80%-I146)/E146*L146)*$R$6)</f>
        <v>102.87882027889425</v>
      </c>
      <c r="V146" s="85">
        <f t="shared" si="66"/>
        <v>102.87882027889425</v>
      </c>
      <c r="W146" s="162">
        <f t="shared" si="67"/>
        <v>102.87882027889425</v>
      </c>
      <c r="X146" s="187"/>
    </row>
    <row r="147" spans="1:24" x14ac:dyDescent="0.25">
      <c r="A147" s="1">
        <v>138</v>
      </c>
      <c r="B147" s="1">
        <v>2157.1999999999998</v>
      </c>
      <c r="E147" s="4">
        <f t="shared" si="55"/>
        <v>4.6398052661432718</v>
      </c>
      <c r="F147" s="4">
        <f t="shared" si="56"/>
        <v>4.6398052661432718</v>
      </c>
      <c r="G147" s="155">
        <f t="shared" si="57"/>
        <v>0</v>
      </c>
      <c r="H147" s="155">
        <f t="shared" si="58"/>
        <v>0</v>
      </c>
      <c r="I147" s="155">
        <f t="shared" si="59"/>
        <v>0</v>
      </c>
      <c r="J147" s="3">
        <v>2.6377964146758832</v>
      </c>
      <c r="K147" s="105">
        <v>1</v>
      </c>
      <c r="L147" s="3">
        <f t="shared" si="60"/>
        <v>107.21242845544455</v>
      </c>
      <c r="M147" s="165">
        <f t="shared" si="68"/>
        <v>107.21242845544455</v>
      </c>
      <c r="N147" s="107">
        <f t="shared" si="61"/>
        <v>107.21242845544455</v>
      </c>
      <c r="O147" s="165">
        <f t="shared" si="62"/>
        <v>107.21242845544455</v>
      </c>
      <c r="P147" s="165">
        <f t="shared" si="69"/>
        <v>107.21242845544455</v>
      </c>
      <c r="Q147" s="3">
        <f t="shared" si="70"/>
        <v>107.21242845544455</v>
      </c>
      <c r="R147" s="153">
        <f t="shared" si="63"/>
        <v>107.21242845544455</v>
      </c>
      <c r="S147" s="153">
        <f t="shared" si="64"/>
        <v>107.21242845544455</v>
      </c>
      <c r="T147" s="153">
        <f t="shared" si="65"/>
        <v>107.21242845544455</v>
      </c>
      <c r="U147" s="148">
        <f>IF('OPFOK OUDERDIEREN'!$H$15="ja",L147-((E147-G147*95%-I147)/E147*L147)*$R$6,L147-((E147-G147*80%-I147)/E147*L147)*$R$6)</f>
        <v>107.21242845544455</v>
      </c>
      <c r="V147" s="85">
        <f t="shared" si="66"/>
        <v>107.21242845544455</v>
      </c>
      <c r="W147" s="162">
        <f t="shared" si="67"/>
        <v>107.21242845544455</v>
      </c>
      <c r="X147" s="187"/>
    </row>
    <row r="148" spans="1:24" x14ac:dyDescent="0.25">
      <c r="A148" s="1">
        <v>139</v>
      </c>
      <c r="B148" s="1">
        <v>2178.6</v>
      </c>
      <c r="E148" s="4">
        <f t="shared" si="55"/>
        <v>4.7466326589708645</v>
      </c>
      <c r="F148" s="4">
        <f t="shared" si="56"/>
        <v>4.7466326589708645</v>
      </c>
      <c r="G148" s="155">
        <f t="shared" si="57"/>
        <v>0</v>
      </c>
      <c r="H148" s="155">
        <f t="shared" si="58"/>
        <v>0</v>
      </c>
      <c r="I148" s="155">
        <f t="shared" si="59"/>
        <v>0</v>
      </c>
      <c r="J148" s="3">
        <v>2.6867811462213758</v>
      </c>
      <c r="K148" s="105">
        <v>1</v>
      </c>
      <c r="L148" s="3">
        <f t="shared" si="60"/>
        <v>111.71770907277524</v>
      </c>
      <c r="M148" s="165">
        <f t="shared" si="68"/>
        <v>111.71770907277524</v>
      </c>
      <c r="N148" s="107">
        <f t="shared" si="61"/>
        <v>111.71770907277524</v>
      </c>
      <c r="O148" s="165">
        <f t="shared" si="62"/>
        <v>111.71770907277524</v>
      </c>
      <c r="P148" s="165">
        <f t="shared" si="69"/>
        <v>111.71770907277524</v>
      </c>
      <c r="Q148" s="3">
        <f t="shared" si="70"/>
        <v>111.71770907277524</v>
      </c>
      <c r="R148" s="153">
        <f t="shared" si="63"/>
        <v>111.71770907277524</v>
      </c>
      <c r="S148" s="153">
        <f t="shared" si="64"/>
        <v>111.71770907277524</v>
      </c>
      <c r="T148" s="153">
        <f t="shared" si="65"/>
        <v>111.71770907277524</v>
      </c>
      <c r="U148" s="148">
        <f>IF('OPFOK OUDERDIEREN'!$H$15="ja",L148-((E148-G148*95%-I148)/E148*L148)*$R$6,L148-((E148-G148*80%-I148)/E148*L148)*$R$6)</f>
        <v>111.71770907277524</v>
      </c>
      <c r="V148" s="85">
        <f t="shared" si="66"/>
        <v>111.71770907277524</v>
      </c>
      <c r="W148" s="162">
        <f t="shared" si="67"/>
        <v>111.71770907277524</v>
      </c>
      <c r="X148" s="187"/>
    </row>
    <row r="149" spans="1:24" x14ac:dyDescent="0.25">
      <c r="A149" s="1">
        <v>140</v>
      </c>
      <c r="B149" s="1">
        <v>2200</v>
      </c>
      <c r="E149" s="4">
        <f t="shared" si="55"/>
        <v>4.8554454761950003</v>
      </c>
      <c r="F149" s="4">
        <f t="shared" si="56"/>
        <v>4.8554454761950003</v>
      </c>
      <c r="G149" s="155">
        <f t="shared" si="57"/>
        <v>0</v>
      </c>
      <c r="H149" s="155">
        <f t="shared" si="58"/>
        <v>0</v>
      </c>
      <c r="I149" s="155">
        <f t="shared" si="59"/>
        <v>0</v>
      </c>
      <c r="J149" s="3">
        <v>2.7366755400559057</v>
      </c>
      <c r="K149" s="105">
        <v>1</v>
      </c>
      <c r="L149" s="3">
        <f t="shared" si="60"/>
        <v>116.4009429080149</v>
      </c>
      <c r="M149" s="165">
        <f t="shared" si="68"/>
        <v>116.4009429080149</v>
      </c>
      <c r="N149" s="107">
        <f t="shared" si="61"/>
        <v>116.4009429080149</v>
      </c>
      <c r="O149" s="165">
        <f t="shared" si="62"/>
        <v>116.4009429080149</v>
      </c>
      <c r="P149" s="165">
        <f t="shared" si="69"/>
        <v>116.4009429080149</v>
      </c>
      <c r="Q149" s="3">
        <f t="shared" si="70"/>
        <v>116.4009429080149</v>
      </c>
      <c r="R149" s="153">
        <f t="shared" si="63"/>
        <v>116.4009429080149</v>
      </c>
      <c r="S149" s="153">
        <f t="shared" si="64"/>
        <v>116.4009429080149</v>
      </c>
      <c r="T149" s="153">
        <f t="shared" si="65"/>
        <v>116.4009429080149</v>
      </c>
      <c r="U149" s="148">
        <f>IF('OPFOK OUDERDIEREN'!$H$15="ja",L149-((E149-G149*95%-I149)/E149*L149)*$R$6,L149-((E149-G149*80%-I149)/E149*L149)*$R$6)</f>
        <v>116.4009429080149</v>
      </c>
      <c r="V149" s="85">
        <f t="shared" si="66"/>
        <v>116.4009429080149</v>
      </c>
      <c r="W149" s="162">
        <f t="shared" si="67"/>
        <v>116.4009429080149</v>
      </c>
      <c r="X149" s="187"/>
    </row>
    <row r="150" spans="1:24" x14ac:dyDescent="0.25">
      <c r="E150" s="4"/>
      <c r="F150" s="4"/>
      <c r="G150" s="155"/>
      <c r="H150" s="155"/>
      <c r="I150" s="155"/>
      <c r="J150" s="3"/>
      <c r="K150" s="105"/>
      <c r="L150" s="3"/>
      <c r="M150" s="165"/>
      <c r="N150" s="107"/>
      <c r="O150" s="165"/>
      <c r="P150" s="165"/>
      <c r="Q150" s="3"/>
      <c r="R150" s="153"/>
      <c r="S150" s="153"/>
      <c r="T150" s="153"/>
      <c r="U150" s="148"/>
      <c r="V150" s="85"/>
      <c r="W150" s="162"/>
      <c r="X150" s="187"/>
    </row>
    <row r="151" spans="1:24" x14ac:dyDescent="0.25">
      <c r="M151" s="8" t="s">
        <v>2</v>
      </c>
      <c r="O151" s="164" t="s">
        <v>2</v>
      </c>
      <c r="P151" s="169"/>
      <c r="Q151" s="1">
        <f>I50/(E50-G50)*(L50-(L50-O50)/80%)*5%</f>
        <v>0</v>
      </c>
      <c r="R151" s="12" t="s">
        <v>2</v>
      </c>
      <c r="S151" s="84"/>
      <c r="T151" s="84"/>
      <c r="U151" s="149"/>
      <c r="W151" s="11" t="s">
        <v>2</v>
      </c>
    </row>
    <row r="152" spans="1:24" x14ac:dyDescent="0.25">
      <c r="E152" s="4">
        <f>AVERAGE(E10:E51)</f>
        <v>0.44763681405487837</v>
      </c>
      <c r="G152" s="1" t="s">
        <v>2</v>
      </c>
      <c r="L152" s="1" t="s">
        <v>2</v>
      </c>
      <c r="M152" s="164"/>
      <c r="O152" s="8"/>
      <c r="P152" s="170">
        <f>IF(R$5&lt;E5,R$5/E47*(L47-(L47-O47)/80%)*95%,E$5/E47*(L47-(L47-O47)/80%)*95%)</f>
        <v>0</v>
      </c>
      <c r="Q152" s="1">
        <f>L51-I51/(E51)*(L51-(L51-O51)/80%)*95%</f>
        <v>3.1404233658770195</v>
      </c>
      <c r="R152" s="1">
        <f>(L45-(L45-O45)/80%)</f>
        <v>2.4436111370696905</v>
      </c>
      <c r="S152" s="83">
        <f>5%*R152</f>
        <v>0.12218055685348453</v>
      </c>
      <c r="T152" s="83" t="s">
        <v>2</v>
      </c>
      <c r="U152" s="150" t="s">
        <v>2</v>
      </c>
    </row>
    <row r="153" spans="1:24" x14ac:dyDescent="0.25">
      <c r="D153" s="1" t="s">
        <v>153</v>
      </c>
      <c r="F153" s="133">
        <v>0</v>
      </c>
      <c r="H153" s="1" t="s">
        <v>2</v>
      </c>
      <c r="M153" s="8"/>
      <c r="O153" s="165"/>
      <c r="P153" s="8">
        <f>L51-R$5/E51*L51*95%</f>
        <v>3.1404233658770195</v>
      </c>
      <c r="Q153" s="1">
        <f>E49/(E49-G49)*(L49-(L49-O49)/80%)*(1-95%)</f>
        <v>0.14457975668407755</v>
      </c>
      <c r="R153" s="1">
        <f>I51/(E51-G51)</f>
        <v>0</v>
      </c>
      <c r="U153" s="149"/>
    </row>
    <row r="154" spans="1:24" x14ac:dyDescent="0.25">
      <c r="E154" s="4">
        <f>SUM(E10:E51)</f>
        <v>18.800746190304892</v>
      </c>
      <c r="F154" s="4">
        <f>SUM(F10:F51)</f>
        <v>18.800746190304892</v>
      </c>
      <c r="G154" s="4">
        <f>SUM(G10:G51)</f>
        <v>0</v>
      </c>
      <c r="H154" s="4"/>
      <c r="I154" s="4"/>
      <c r="K154" s="12" t="s">
        <v>154</v>
      </c>
      <c r="L154" s="10">
        <f>AVERAGE(L10:L149)</f>
        <v>22.152147233913126</v>
      </c>
      <c r="M154" s="10">
        <f>AVERAGE(M10:M149)</f>
        <v>22.152147233913126</v>
      </c>
      <c r="N154" s="10">
        <f t="shared" ref="N154:W154" si="71">AVERAGE(N10:N149)</f>
        <v>22.152147233913126</v>
      </c>
      <c r="O154" s="10">
        <f t="shared" si="71"/>
        <v>22.152147233913126</v>
      </c>
      <c r="P154" s="10">
        <f t="shared" si="71"/>
        <v>22.152147233913126</v>
      </c>
      <c r="Q154" s="10">
        <f t="shared" si="71"/>
        <v>22.152147233913126</v>
      </c>
      <c r="R154" s="10">
        <f t="shared" si="71"/>
        <v>22.152147233913126</v>
      </c>
      <c r="S154" s="10">
        <f t="shared" si="71"/>
        <v>22.152147233913126</v>
      </c>
      <c r="T154" s="10">
        <f t="shared" si="71"/>
        <v>22.152147233913126</v>
      </c>
      <c r="U154" s="10">
        <f t="shared" si="71"/>
        <v>22.152147233913126</v>
      </c>
      <c r="V154" s="10">
        <f t="shared" si="71"/>
        <v>22.152147233913126</v>
      </c>
      <c r="W154" s="10">
        <f t="shared" si="71"/>
        <v>22.152147233913126</v>
      </c>
      <c r="X154" s="12" t="s">
        <v>2</v>
      </c>
    </row>
    <row r="155" spans="1:24" x14ac:dyDescent="0.25">
      <c r="F155" s="6">
        <f>F154/$E$154</f>
        <v>1</v>
      </c>
      <c r="G155" s="6">
        <f>G154/$E$154</f>
        <v>0</v>
      </c>
      <c r="H155" s="6"/>
      <c r="I155" s="6"/>
      <c r="K155" s="12" t="s">
        <v>155</v>
      </c>
      <c r="L155" s="4">
        <f t="shared" ref="L155" si="72">L154*0.81</f>
        <v>17.943239259469635</v>
      </c>
      <c r="M155" s="10">
        <f t="shared" ref="M155:N155" si="73">M154*0.81</f>
        <v>17.943239259469635</v>
      </c>
      <c r="N155" s="134">
        <f t="shared" si="73"/>
        <v>17.943239259469635</v>
      </c>
      <c r="O155" s="10">
        <f t="shared" ref="O155:Q155" si="74">O154*0.81</f>
        <v>17.943239259469635</v>
      </c>
      <c r="P155" s="10">
        <f t="shared" si="74"/>
        <v>17.943239259469635</v>
      </c>
      <c r="Q155" s="134">
        <f t="shared" si="74"/>
        <v>17.943239259469635</v>
      </c>
      <c r="R155" s="134">
        <f t="shared" ref="R155:W155" si="75">R154*0.81</f>
        <v>17.943239259469635</v>
      </c>
      <c r="S155" s="134">
        <f t="shared" si="75"/>
        <v>17.943239259469635</v>
      </c>
      <c r="T155" s="134">
        <f t="shared" si="75"/>
        <v>17.943239259469635</v>
      </c>
      <c r="U155" s="151">
        <f t="shared" si="75"/>
        <v>17.943239259469635</v>
      </c>
      <c r="V155" s="134">
        <f t="shared" si="75"/>
        <v>17.943239259469635</v>
      </c>
      <c r="W155" s="134">
        <f t="shared" si="75"/>
        <v>17.943239259469635</v>
      </c>
    </row>
    <row r="156" spans="1:24" x14ac:dyDescent="0.25">
      <c r="D156" s="1" t="s">
        <v>156</v>
      </c>
      <c r="K156" s="1" t="s">
        <v>152</v>
      </c>
      <c r="L156" s="135">
        <f t="shared" ref="L156:V156" si="76">1-(L155/$L$155)</f>
        <v>0</v>
      </c>
      <c r="M156" s="166">
        <f t="shared" si="76"/>
        <v>0</v>
      </c>
      <c r="N156" s="135">
        <f t="shared" si="76"/>
        <v>0</v>
      </c>
      <c r="O156" s="166">
        <f t="shared" ref="O156:Q156" si="77">1-(O155/$L$155)</f>
        <v>0</v>
      </c>
      <c r="P156" s="166">
        <f>1-(P155/($L$155))</f>
        <v>0</v>
      </c>
      <c r="Q156" s="135">
        <f t="shared" si="77"/>
        <v>0</v>
      </c>
      <c r="R156" s="135">
        <f>1-(R155/$L$155)</f>
        <v>0</v>
      </c>
      <c r="S156" s="135">
        <f>1-(S155/$L$155)</f>
        <v>0</v>
      </c>
      <c r="T156" s="135">
        <f>1-(T155/$L$155)</f>
        <v>0</v>
      </c>
      <c r="U156" s="152">
        <f t="shared" si="76"/>
        <v>0</v>
      </c>
      <c r="V156" s="135">
        <f t="shared" si="76"/>
        <v>0</v>
      </c>
      <c r="W156" s="135">
        <f t="shared" ref="W156" si="78">1-(W155/$L$155)</f>
        <v>0</v>
      </c>
    </row>
    <row r="157" spans="1:24" x14ac:dyDescent="0.25">
      <c r="P157" s="188">
        <f>M156-P156</f>
        <v>0</v>
      </c>
    </row>
    <row r="158" spans="1:24" x14ac:dyDescent="0.25">
      <c r="D158" s="133"/>
      <c r="O158" s="3">
        <f>O51+P51</f>
        <v>6.2808467317540391</v>
      </c>
      <c r="P158" s="1">
        <f>(L51-I51/(E51-G51)*(L51-(L51-O51)/80%))*95%</f>
        <v>2.9834021975831684</v>
      </c>
      <c r="W158" s="11" t="s">
        <v>2</v>
      </c>
    </row>
    <row r="159" spans="1:24" x14ac:dyDescent="0.25">
      <c r="E159" s="4"/>
      <c r="P159" s="1">
        <f>(L51-I51/(E51-G51))*(1-95%)</f>
        <v>0.15702116829385113</v>
      </c>
      <c r="Q159" s="1" t="s">
        <v>2</v>
      </c>
    </row>
    <row r="160" spans="1:24" x14ac:dyDescent="0.25">
      <c r="P160" s="1">
        <f>(L51-I51/(E51-G51))*5%</f>
        <v>0.15702116829385099</v>
      </c>
    </row>
    <row r="161" spans="14:16" x14ac:dyDescent="0.25">
      <c r="P161" s="1">
        <f>(O51-(L51-O51)/80%)</f>
        <v>3.1404233658770195</v>
      </c>
    </row>
    <row r="162" spans="14:16" x14ac:dyDescent="0.25">
      <c r="P162" s="1">
        <f>I51/(E51-G51)</f>
        <v>0</v>
      </c>
    </row>
    <row r="163" spans="14:16" x14ac:dyDescent="0.25">
      <c r="N163" s="1">
        <f>20%*O163</f>
        <v>0</v>
      </c>
      <c r="O163" s="3">
        <f>L51-O51</f>
        <v>0</v>
      </c>
    </row>
    <row r="164" spans="14:16" x14ac:dyDescent="0.25">
      <c r="N164" s="3">
        <f>O51-N163</f>
        <v>3.1404233658770195</v>
      </c>
      <c r="O164" s="1">
        <f>O163/95%</f>
        <v>0</v>
      </c>
    </row>
    <row r="165" spans="14:16" x14ac:dyDescent="0.25">
      <c r="N165" s="1">
        <f>95%*N164</f>
        <v>2.9834021975831684</v>
      </c>
      <c r="O165" s="3">
        <f>L51-O164</f>
        <v>3.1404233658770195</v>
      </c>
    </row>
    <row r="166" spans="14:16" x14ac:dyDescent="0.25">
      <c r="N166" s="3">
        <f>L51-P51</f>
        <v>0</v>
      </c>
      <c r="O166" s="1">
        <f>5%*O165</f>
        <v>0.15702116829385099</v>
      </c>
    </row>
    <row r="167" spans="14:16" x14ac:dyDescent="0.25">
      <c r="O167" s="187">
        <f>5.95/L51</f>
        <v>1.8946490032684991</v>
      </c>
    </row>
    <row r="168" spans="14:16" x14ac:dyDescent="0.25">
      <c r="N168" s="1">
        <f>95%*P51</f>
        <v>2.9834021975831684</v>
      </c>
    </row>
  </sheetData>
  <sheetProtection algorithmName="SHA-512" hashValue="ylWCT1UOo5tXcy5cTfefrtMN1PQiIUUUQW2OGOzqaraiuWGeYvLH2/n/4f/SDVeAc4p7ju1APVA8ilFMoFArkA==" saltValue="WhFQ/px1ef4KN+sy5k1GLQ=="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6"/>
  <sheetViews>
    <sheetView topLeftCell="AY7" zoomScale="85" zoomScaleNormal="85" workbookViewId="0">
      <selection activeCell="C6" sqref="C6"/>
    </sheetView>
  </sheetViews>
  <sheetFormatPr defaultColWidth="6.6640625" defaultRowHeight="11.4" x14ac:dyDescent="0.2"/>
  <cols>
    <col min="1" max="1" width="16.109375" style="39" hidden="1" customWidth="1"/>
    <col min="2" max="50" width="0" style="39" hidden="1" customWidth="1"/>
    <col min="51" max="16384" width="6.6640625" style="39"/>
  </cols>
  <sheetData>
    <row r="1" spans="1:4" x14ac:dyDescent="0.2">
      <c r="A1" s="38" t="s">
        <v>54</v>
      </c>
    </row>
    <row r="3" spans="1:4" x14ac:dyDescent="0.2">
      <c r="B3" s="40" t="s">
        <v>55</v>
      </c>
    </row>
    <row r="4" spans="1:4" x14ac:dyDescent="0.2">
      <c r="B4" s="41"/>
    </row>
    <row r="5" spans="1:4" x14ac:dyDescent="0.2">
      <c r="A5" s="42" t="s">
        <v>56</v>
      </c>
    </row>
    <row r="6" spans="1:4" x14ac:dyDescent="0.2">
      <c r="A6" s="39" t="s">
        <v>57</v>
      </c>
      <c r="B6" s="39">
        <v>1.73</v>
      </c>
    </row>
    <row r="7" spans="1:4" x14ac:dyDescent="0.2">
      <c r="A7" s="39" t="s">
        <v>58</v>
      </c>
      <c r="B7" s="39">
        <v>8.01</v>
      </c>
    </row>
    <row r="8" spans="1:4" x14ac:dyDescent="0.2">
      <c r="A8" s="39" t="s">
        <v>59</v>
      </c>
      <c r="B8" s="39">
        <v>4.8600000000000003</v>
      </c>
    </row>
    <row r="9" spans="1:4" x14ac:dyDescent="0.2">
      <c r="A9" s="39" t="s">
        <v>60</v>
      </c>
      <c r="B9" s="39">
        <v>15</v>
      </c>
    </row>
    <row r="10" spans="1:4" x14ac:dyDescent="0.2">
      <c r="A10" s="39" t="s">
        <v>61</v>
      </c>
      <c r="B10" s="39">
        <v>6.1761991606700253</v>
      </c>
    </row>
    <row r="11" spans="1:4" x14ac:dyDescent="0.2">
      <c r="A11" s="39" t="s">
        <v>62</v>
      </c>
      <c r="B11" s="39">
        <v>12.35</v>
      </c>
    </row>
    <row r="12" spans="1:4" x14ac:dyDescent="0.2">
      <c r="A12" s="39" t="s">
        <v>63</v>
      </c>
      <c r="B12" s="39">
        <v>24.84</v>
      </c>
    </row>
    <row r="13" spans="1:4" x14ac:dyDescent="0.2">
      <c r="A13" s="39" t="s">
        <v>64</v>
      </c>
      <c r="B13" s="39">
        <v>12.56</v>
      </c>
    </row>
    <row r="16" spans="1:4" x14ac:dyDescent="0.2">
      <c r="A16" s="42" t="s">
        <v>65</v>
      </c>
      <c r="C16" s="43" t="s">
        <v>66</v>
      </c>
      <c r="D16" s="43" t="s">
        <v>67</v>
      </c>
    </row>
    <row r="17" spans="1:9" x14ac:dyDescent="0.2">
      <c r="A17" s="39" t="s">
        <v>57</v>
      </c>
      <c r="B17" s="39" t="s">
        <v>68</v>
      </c>
      <c r="C17" s="44">
        <v>0.80700000000000005</v>
      </c>
      <c r="D17" s="45">
        <v>0.85</v>
      </c>
      <c r="E17" s="39" t="s">
        <v>69</v>
      </c>
    </row>
    <row r="18" spans="1:9" x14ac:dyDescent="0.2">
      <c r="B18" s="39" t="s">
        <v>70</v>
      </c>
      <c r="C18" s="44">
        <v>0.83799999999999997</v>
      </c>
      <c r="D18" s="45">
        <v>0.85</v>
      </c>
    </row>
    <row r="19" spans="1:9" x14ac:dyDescent="0.2">
      <c r="A19" s="39" t="s">
        <v>58</v>
      </c>
      <c r="B19" s="39" t="s">
        <v>68</v>
      </c>
      <c r="C19" s="44">
        <v>1.835</v>
      </c>
      <c r="D19" s="46">
        <v>2</v>
      </c>
    </row>
    <row r="20" spans="1:9" x14ac:dyDescent="0.2">
      <c r="B20" s="39" t="s">
        <v>70</v>
      </c>
      <c r="C20" s="44">
        <v>1.899</v>
      </c>
      <c r="D20" s="46">
        <v>2</v>
      </c>
    </row>
    <row r="23" spans="1:9" x14ac:dyDescent="0.2">
      <c r="A23" s="42" t="s">
        <v>71</v>
      </c>
    </row>
    <row r="24" spans="1:9" x14ac:dyDescent="0.2">
      <c r="A24" s="40" t="s">
        <v>72</v>
      </c>
    </row>
    <row r="25" spans="1:9" x14ac:dyDescent="0.2">
      <c r="A25" s="47" t="s">
        <v>73</v>
      </c>
      <c r="B25" s="48">
        <v>0.13</v>
      </c>
      <c r="C25" s="47"/>
      <c r="D25" s="48">
        <v>0.31</v>
      </c>
      <c r="E25" s="47"/>
      <c r="F25" s="48">
        <v>0.37</v>
      </c>
      <c r="G25" s="47"/>
      <c r="H25" s="48">
        <v>0.5</v>
      </c>
      <c r="I25" s="47"/>
    </row>
    <row r="26" spans="1:9" x14ac:dyDescent="0.2">
      <c r="B26" s="43" t="s">
        <v>66</v>
      </c>
      <c r="C26" s="43" t="s">
        <v>67</v>
      </c>
      <c r="D26" s="43" t="s">
        <v>66</v>
      </c>
      <c r="E26" s="43" t="s">
        <v>67</v>
      </c>
      <c r="F26" s="43" t="s">
        <v>66</v>
      </c>
      <c r="G26" s="43" t="s">
        <v>67</v>
      </c>
      <c r="H26" s="43" t="s">
        <v>66</v>
      </c>
      <c r="I26" s="43" t="s">
        <v>67</v>
      </c>
    </row>
    <row r="27" spans="1:9" x14ac:dyDescent="0.2">
      <c r="A27" s="39" t="s">
        <v>57</v>
      </c>
      <c r="B27" s="39">
        <v>0.17499999999999999</v>
      </c>
      <c r="C27" s="39">
        <v>0.2</v>
      </c>
      <c r="D27" s="39">
        <v>0.434</v>
      </c>
      <c r="E27" s="49">
        <v>0.4</v>
      </c>
      <c r="F27" s="39">
        <v>0.52700000000000002</v>
      </c>
      <c r="G27" s="39">
        <v>0.55000000000000004</v>
      </c>
      <c r="H27" s="39">
        <v>0.745</v>
      </c>
      <c r="I27" s="39">
        <v>0.8</v>
      </c>
    </row>
    <row r="28" spans="1:9" x14ac:dyDescent="0.2">
      <c r="A28" s="39" t="s">
        <v>58</v>
      </c>
      <c r="B28" s="39">
        <v>0.439</v>
      </c>
      <c r="C28" s="39">
        <v>0.4</v>
      </c>
      <c r="D28" s="39">
        <v>1.048</v>
      </c>
      <c r="E28" s="49">
        <v>1</v>
      </c>
      <c r="F28" s="39">
        <v>1.252</v>
      </c>
      <c r="G28" s="39">
        <v>1.25</v>
      </c>
      <c r="H28" s="39">
        <v>1.708</v>
      </c>
      <c r="I28" s="39">
        <v>1.8</v>
      </c>
    </row>
    <row r="29" spans="1:9" x14ac:dyDescent="0.2">
      <c r="A29" s="39" t="s">
        <v>59</v>
      </c>
      <c r="B29" s="39">
        <v>0.42</v>
      </c>
      <c r="C29" s="39">
        <v>0.4</v>
      </c>
      <c r="D29" s="39">
        <v>1.0469999999999999</v>
      </c>
      <c r="E29" s="49">
        <v>1</v>
      </c>
      <c r="F29" s="39">
        <v>1.2789999999999999</v>
      </c>
      <c r="G29" s="39">
        <v>1.3</v>
      </c>
      <c r="H29" s="39">
        <v>1.84</v>
      </c>
      <c r="I29" s="39">
        <v>1.9</v>
      </c>
    </row>
    <row r="30" spans="1:9" x14ac:dyDescent="0.2">
      <c r="A30" s="39" t="s">
        <v>60</v>
      </c>
      <c r="B30" s="39">
        <v>0.59499999999999997</v>
      </c>
      <c r="C30" s="39">
        <v>0.6</v>
      </c>
      <c r="D30" s="39">
        <v>1.4850000000000001</v>
      </c>
      <c r="E30" s="49">
        <v>1.5</v>
      </c>
      <c r="F30" s="39">
        <v>1.845</v>
      </c>
      <c r="G30" s="39">
        <v>1.85</v>
      </c>
      <c r="H30" s="39">
        <v>2.8450000000000002</v>
      </c>
      <c r="I30" s="39">
        <v>2.9</v>
      </c>
    </row>
    <row r="31" spans="1:9" x14ac:dyDescent="0.2">
      <c r="A31" s="39" t="s">
        <v>61</v>
      </c>
      <c r="B31" s="39">
        <v>0.35699999999999998</v>
      </c>
      <c r="C31" s="39">
        <v>0.35</v>
      </c>
      <c r="D31" s="39">
        <v>1.0009999999999999</v>
      </c>
      <c r="E31" s="49">
        <v>1</v>
      </c>
      <c r="F31" s="39">
        <v>1.27</v>
      </c>
      <c r="G31" s="39">
        <v>1.3</v>
      </c>
      <c r="H31" s="39">
        <v>1.9750000000000001</v>
      </c>
      <c r="I31" s="49">
        <v>2</v>
      </c>
    </row>
    <row r="32" spans="1:9" x14ac:dyDescent="0.2">
      <c r="A32" s="39" t="s">
        <v>62</v>
      </c>
      <c r="B32" s="39">
        <v>1.2450000000000001</v>
      </c>
      <c r="C32" s="39">
        <v>1.1000000000000001</v>
      </c>
      <c r="D32" s="39">
        <v>3.17</v>
      </c>
      <c r="E32" s="49">
        <v>3</v>
      </c>
      <c r="F32" s="39">
        <v>3.86</v>
      </c>
      <c r="G32" s="39">
        <v>3.85</v>
      </c>
      <c r="H32" s="39">
        <v>5.5</v>
      </c>
      <c r="I32" s="39">
        <v>5.6</v>
      </c>
    </row>
    <row r="33" spans="1:9" x14ac:dyDescent="0.2">
      <c r="A33" s="39" t="s">
        <v>63</v>
      </c>
      <c r="B33" s="39">
        <v>2.6949999999999998</v>
      </c>
      <c r="C33" s="39">
        <v>2.5</v>
      </c>
      <c r="D33" s="39">
        <v>6.75</v>
      </c>
      <c r="E33" s="49">
        <v>6.2</v>
      </c>
      <c r="F33" s="39">
        <v>8.1750000000000007</v>
      </c>
      <c r="G33" s="39">
        <v>8.1999999999999993</v>
      </c>
      <c r="H33" s="39">
        <v>11.5</v>
      </c>
      <c r="I33" s="39">
        <v>11.7</v>
      </c>
    </row>
    <row r="34" spans="1:9" x14ac:dyDescent="0.2">
      <c r="A34" s="39" t="s">
        <v>64</v>
      </c>
      <c r="B34" s="39">
        <v>0.88</v>
      </c>
      <c r="C34" s="39">
        <v>0.8</v>
      </c>
      <c r="D34" s="39">
        <v>2.4849999999999999</v>
      </c>
      <c r="E34" s="49">
        <v>2.2999999999999998</v>
      </c>
      <c r="F34" s="39">
        <v>3.12</v>
      </c>
      <c r="G34" s="39">
        <v>3.15</v>
      </c>
      <c r="H34" s="39">
        <v>4.7300000000000004</v>
      </c>
      <c r="I34" s="39">
        <v>4.8</v>
      </c>
    </row>
    <row r="35" spans="1:9" x14ac:dyDescent="0.2">
      <c r="C35" s="39">
        <f>C32/B32</f>
        <v>0.88353413654618473</v>
      </c>
      <c r="E35" s="39">
        <f>E32/D32</f>
        <v>0.94637223974763407</v>
      </c>
      <c r="G35" s="39">
        <f>G32/F32</f>
        <v>0.99740932642487057</v>
      </c>
      <c r="I35" s="39">
        <f>I32/H32</f>
        <v>1.0181818181818181</v>
      </c>
    </row>
    <row r="36" spans="1:9" x14ac:dyDescent="0.2">
      <c r="A36" s="40" t="s">
        <v>74</v>
      </c>
    </row>
    <row r="37" spans="1:9" x14ac:dyDescent="0.2">
      <c r="A37" s="47" t="s">
        <v>73</v>
      </c>
      <c r="B37" s="48">
        <v>0.13</v>
      </c>
      <c r="C37" s="47"/>
      <c r="D37" s="48">
        <v>0.31</v>
      </c>
      <c r="E37" s="47"/>
      <c r="F37" s="48">
        <v>0.37</v>
      </c>
      <c r="G37" s="47"/>
      <c r="H37" s="48">
        <v>0.5</v>
      </c>
      <c r="I37" s="47"/>
    </row>
    <row r="38" spans="1:9" x14ac:dyDescent="0.2">
      <c r="B38" s="43" t="s">
        <v>66</v>
      </c>
      <c r="C38" s="43" t="s">
        <v>67</v>
      </c>
      <c r="D38" s="43" t="s">
        <v>66</v>
      </c>
      <c r="E38" s="43" t="s">
        <v>67</v>
      </c>
      <c r="F38" s="43" t="s">
        <v>66</v>
      </c>
      <c r="G38" s="43" t="s">
        <v>67</v>
      </c>
      <c r="H38" s="43" t="s">
        <v>66</v>
      </c>
      <c r="I38" s="43" t="s">
        <v>67</v>
      </c>
    </row>
    <row r="39" spans="1:9" x14ac:dyDescent="0.2">
      <c r="A39" s="39" t="s">
        <v>57</v>
      </c>
      <c r="B39" s="39">
        <v>0.14099999999999999</v>
      </c>
      <c r="C39" s="39">
        <v>0.15</v>
      </c>
      <c r="D39" s="39">
        <v>0.34599999999999997</v>
      </c>
      <c r="E39" s="49">
        <v>0.35</v>
      </c>
      <c r="F39" s="39">
        <v>0.41799999999999998</v>
      </c>
      <c r="G39" s="39">
        <v>0.4</v>
      </c>
      <c r="H39" s="39">
        <v>0.58099999999999996</v>
      </c>
      <c r="I39" s="39">
        <v>0.6</v>
      </c>
    </row>
    <row r="40" spans="1:9" x14ac:dyDescent="0.2">
      <c r="A40" s="39" t="s">
        <v>58</v>
      </c>
      <c r="B40" s="39">
        <v>0.35499999999999998</v>
      </c>
      <c r="C40" s="39">
        <v>0.35</v>
      </c>
      <c r="D40" s="39">
        <v>0.84699999999999998</v>
      </c>
      <c r="E40" s="49">
        <v>0.85</v>
      </c>
      <c r="F40" s="39">
        <v>1.012</v>
      </c>
      <c r="G40" s="49">
        <v>1</v>
      </c>
      <c r="H40" s="39">
        <v>1.369</v>
      </c>
      <c r="I40" s="39">
        <v>1.4</v>
      </c>
    </row>
    <row r="41" spans="1:9" x14ac:dyDescent="0.2">
      <c r="A41" s="39" t="s">
        <v>59</v>
      </c>
      <c r="B41" s="39">
        <v>0.33700000000000002</v>
      </c>
      <c r="C41" s="39">
        <v>0.35</v>
      </c>
      <c r="D41" s="39">
        <v>0.83099999999999996</v>
      </c>
      <c r="E41" s="49">
        <v>0.85</v>
      </c>
      <c r="F41" s="39">
        <v>1.008</v>
      </c>
      <c r="G41" s="39">
        <v>1.1000000000000001</v>
      </c>
      <c r="H41" s="39">
        <v>1.417</v>
      </c>
      <c r="I41" s="39">
        <v>1.45</v>
      </c>
    </row>
    <row r="42" spans="1:9" x14ac:dyDescent="0.2">
      <c r="A42" s="39" t="s">
        <v>60</v>
      </c>
      <c r="B42" s="39">
        <v>0.48</v>
      </c>
      <c r="C42" s="39">
        <v>0.5</v>
      </c>
      <c r="D42" s="39">
        <v>1.161</v>
      </c>
      <c r="E42" s="49">
        <v>1.2</v>
      </c>
      <c r="F42" s="39">
        <v>1.4219999999999999</v>
      </c>
      <c r="G42" s="39">
        <v>1.5</v>
      </c>
      <c r="H42" s="39">
        <v>2.0750000000000002</v>
      </c>
      <c r="I42" s="39">
        <v>2.1</v>
      </c>
    </row>
    <row r="43" spans="1:9" x14ac:dyDescent="0.2">
      <c r="A43" s="39" t="s">
        <v>61</v>
      </c>
      <c r="B43" s="39">
        <v>0.28499999999999998</v>
      </c>
      <c r="C43" s="39">
        <v>0.3</v>
      </c>
      <c r="D43" s="39">
        <v>0.76500000000000001</v>
      </c>
      <c r="E43" s="202">
        <v>0.75</v>
      </c>
      <c r="F43" s="39">
        <v>0.95799999999999996</v>
      </c>
      <c r="G43" s="49">
        <v>1</v>
      </c>
      <c r="H43" s="39">
        <v>1.4350000000000001</v>
      </c>
      <c r="I43" s="39">
        <v>1.45</v>
      </c>
    </row>
    <row r="44" spans="1:9" x14ac:dyDescent="0.2">
      <c r="A44" s="39" t="s">
        <v>62</v>
      </c>
      <c r="B44" s="39">
        <v>0.999</v>
      </c>
      <c r="C44" s="39">
        <v>0.9</v>
      </c>
      <c r="D44" s="39">
        <v>2.5099999999999998</v>
      </c>
      <c r="E44" s="49">
        <v>2.5</v>
      </c>
      <c r="F44" s="39">
        <v>3.0449999999999999</v>
      </c>
      <c r="G44" s="49">
        <v>3</v>
      </c>
      <c r="H44" s="39">
        <v>4.2699999999999996</v>
      </c>
      <c r="I44" s="39">
        <v>4.3</v>
      </c>
    </row>
    <row r="45" spans="1:9" x14ac:dyDescent="0.2">
      <c r="A45" s="39" t="s">
        <v>63</v>
      </c>
      <c r="B45" s="39">
        <v>2.165</v>
      </c>
      <c r="C45" s="39">
        <v>2.2000000000000002</v>
      </c>
      <c r="D45" s="39">
        <v>5.3579999999999997</v>
      </c>
      <c r="E45" s="49">
        <v>5.3</v>
      </c>
      <c r="F45" s="39">
        <v>6.4749999999999996</v>
      </c>
      <c r="G45" s="39">
        <v>6.2</v>
      </c>
      <c r="H45" s="39">
        <v>9.01</v>
      </c>
      <c r="I45" s="49">
        <v>9</v>
      </c>
    </row>
    <row r="46" spans="1:9" x14ac:dyDescent="0.2">
      <c r="A46" s="39" t="s">
        <v>64</v>
      </c>
      <c r="B46" s="39">
        <v>0.69199999999999995</v>
      </c>
      <c r="C46" s="39">
        <v>0.7</v>
      </c>
      <c r="D46" s="39">
        <v>1.91</v>
      </c>
      <c r="E46" s="49">
        <v>1.9</v>
      </c>
      <c r="F46" s="39">
        <v>2.375</v>
      </c>
      <c r="G46" s="39">
        <v>2.2999999999999998</v>
      </c>
      <c r="H46" s="39">
        <v>3.51</v>
      </c>
      <c r="I46" s="49">
        <v>3.6</v>
      </c>
    </row>
  </sheetData>
  <sheetProtection algorithmName="SHA-512" hashValue="My0J+xC7cE/71gbyOEjhOb5AMAyXrkFYrqi2BQ3OxjnHaZsM54vxYW7YirUOekBOQD+aWgrEVJ36sZZG/fZHpA==" saltValue="LpFczrQDBmywwuSZrTQV9g==" spinCount="100000" sheet="1" objects="1" scenario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C57"/>
  <sheetViews>
    <sheetView topLeftCell="F1" workbookViewId="0">
      <selection activeCell="C6" sqref="C6"/>
    </sheetView>
  </sheetViews>
  <sheetFormatPr defaultColWidth="5.44140625" defaultRowHeight="15.6" x14ac:dyDescent="0.3"/>
  <cols>
    <col min="1" max="2" width="9.109375" style="14" hidden="1" customWidth="1"/>
    <col min="3" max="3" width="9.109375" style="16" hidden="1" customWidth="1"/>
    <col min="4" max="4" width="9.109375" style="15" hidden="1" customWidth="1"/>
    <col min="5" max="5" width="9.109375" style="14" hidden="1" customWidth="1"/>
    <col min="6" max="7" width="9.109375" style="14" customWidth="1"/>
    <col min="8" max="16384" width="5.44140625" style="14"/>
  </cols>
  <sheetData>
    <row r="1" spans="1:29" ht="62.4" x14ac:dyDescent="0.3">
      <c r="B1" s="18" t="s">
        <v>13</v>
      </c>
      <c r="E1" s="14" t="s">
        <v>3</v>
      </c>
      <c r="F1" s="14" t="s">
        <v>4</v>
      </c>
      <c r="G1" s="14" t="s">
        <v>5</v>
      </c>
      <c r="H1" s="14" t="s">
        <v>6</v>
      </c>
      <c r="I1" s="14" t="s">
        <v>7</v>
      </c>
      <c r="J1" s="14" t="s">
        <v>14</v>
      </c>
      <c r="K1" s="14" t="s">
        <v>8</v>
      </c>
      <c r="L1" s="14" t="s">
        <v>9</v>
      </c>
      <c r="M1" s="14" t="s">
        <v>10</v>
      </c>
      <c r="N1" s="14" t="s">
        <v>11</v>
      </c>
      <c r="O1" s="14" t="s">
        <v>15</v>
      </c>
      <c r="P1" s="14" t="s">
        <v>12</v>
      </c>
      <c r="Q1" s="14" t="s">
        <v>16</v>
      </c>
      <c r="R1" s="14" t="s">
        <v>17</v>
      </c>
      <c r="S1" s="14" t="s">
        <v>18</v>
      </c>
      <c r="T1" s="14" t="s">
        <v>19</v>
      </c>
      <c r="U1" s="14" t="s">
        <v>20</v>
      </c>
      <c r="V1" s="14" t="s">
        <v>21</v>
      </c>
      <c r="W1" s="14" t="s">
        <v>22</v>
      </c>
      <c r="X1" s="14" t="s">
        <v>23</v>
      </c>
      <c r="Y1" s="14" t="s">
        <v>24</v>
      </c>
      <c r="Z1" s="14" t="s">
        <v>25</v>
      </c>
      <c r="AA1" s="14" t="s">
        <v>26</v>
      </c>
      <c r="AB1" s="14" t="s">
        <v>27</v>
      </c>
      <c r="AC1" s="14" t="s">
        <v>28</v>
      </c>
    </row>
    <row r="2" spans="1:29" s="15" customFormat="1" x14ac:dyDescent="0.3">
      <c r="C2" s="19"/>
      <c r="E2" s="20">
        <f>+D3</f>
        <v>0.65</v>
      </c>
      <c r="F2" s="20">
        <f>+D4</f>
        <v>0.4</v>
      </c>
      <c r="G2" s="20">
        <f>+D5</f>
        <v>0.25</v>
      </c>
      <c r="H2" s="20">
        <f>+D6</f>
        <v>0.19999999999999996</v>
      </c>
      <c r="I2" s="20">
        <f>+D8</f>
        <v>0.44999999999999996</v>
      </c>
      <c r="J2" s="20">
        <f>+D9</f>
        <v>0.7</v>
      </c>
      <c r="K2" s="20">
        <f>+D10</f>
        <v>0.45999999999999996</v>
      </c>
      <c r="L2" s="20">
        <f>+D11</f>
        <v>0.51</v>
      </c>
      <c r="M2" s="20">
        <f>+D12</f>
        <v>0.66999999999999993</v>
      </c>
      <c r="N2" s="20">
        <f>+D13</f>
        <v>0.6</v>
      </c>
      <c r="O2" s="20">
        <f>+D14</f>
        <v>0.43000000000000005</v>
      </c>
      <c r="P2" s="20">
        <f>+D15</f>
        <v>0.69</v>
      </c>
      <c r="Q2" s="20">
        <f>+D16</f>
        <v>0.69</v>
      </c>
      <c r="R2" s="20">
        <f>+D17</f>
        <v>0.87</v>
      </c>
      <c r="S2" s="20">
        <f>+D18</f>
        <v>0.87</v>
      </c>
      <c r="T2" s="20">
        <f>+D19</f>
        <v>0.85</v>
      </c>
      <c r="U2" s="20">
        <f>+D20</f>
        <v>0.7</v>
      </c>
      <c r="V2" s="20">
        <f>+D21</f>
        <v>0.8</v>
      </c>
      <c r="W2" s="20">
        <f>+D22</f>
        <v>0.63</v>
      </c>
      <c r="X2" s="20">
        <f>+D23</f>
        <v>0.63</v>
      </c>
      <c r="Y2" s="20">
        <f>+D24</f>
        <v>0.5</v>
      </c>
      <c r="Z2" s="20">
        <f>+D25</f>
        <v>0.5</v>
      </c>
    </row>
    <row r="3" spans="1:29" x14ac:dyDescent="0.3">
      <c r="A3" s="14" t="s">
        <v>3</v>
      </c>
      <c r="B3" s="14" t="s">
        <v>45</v>
      </c>
      <c r="C3" s="16">
        <v>0.35</v>
      </c>
      <c r="D3" s="20">
        <f>+(1-C3)</f>
        <v>0.65</v>
      </c>
      <c r="E3" s="21">
        <f>1-($D$3*E2)</f>
        <v>0.5774999999999999</v>
      </c>
      <c r="F3" s="22">
        <f t="shared" ref="F3:Z3" si="0">1-($D$3*F2)</f>
        <v>0.74</v>
      </c>
      <c r="G3" s="22">
        <f t="shared" si="0"/>
        <v>0.83750000000000002</v>
      </c>
      <c r="H3" s="22">
        <f t="shared" si="0"/>
        <v>0.87</v>
      </c>
      <c r="I3" s="23">
        <f t="shared" si="0"/>
        <v>0.70750000000000002</v>
      </c>
      <c r="J3" s="23">
        <f t="shared" si="0"/>
        <v>0.54500000000000004</v>
      </c>
      <c r="K3" s="22">
        <f t="shared" si="0"/>
        <v>0.70100000000000007</v>
      </c>
      <c r="L3" s="24">
        <f t="shared" si="0"/>
        <v>0.66849999999999998</v>
      </c>
      <c r="M3" s="22">
        <f t="shared" si="0"/>
        <v>0.5645</v>
      </c>
      <c r="N3" s="24">
        <f t="shared" si="0"/>
        <v>0.61</v>
      </c>
      <c r="O3" s="24">
        <f t="shared" si="0"/>
        <v>0.72049999999999992</v>
      </c>
      <c r="P3" s="24">
        <f t="shared" si="0"/>
        <v>0.5515000000000001</v>
      </c>
      <c r="Q3" s="25">
        <f t="shared" si="0"/>
        <v>0.5515000000000001</v>
      </c>
      <c r="R3" s="24">
        <f t="shared" si="0"/>
        <v>0.4345</v>
      </c>
      <c r="S3" s="24">
        <f t="shared" si="0"/>
        <v>0.4345</v>
      </c>
      <c r="T3" s="22">
        <f t="shared" si="0"/>
        <v>0.44750000000000001</v>
      </c>
      <c r="U3" s="24">
        <f t="shared" si="0"/>
        <v>0.54500000000000004</v>
      </c>
      <c r="V3" s="24">
        <f t="shared" si="0"/>
        <v>0.48</v>
      </c>
      <c r="W3" s="24">
        <f t="shared" si="0"/>
        <v>0.59050000000000002</v>
      </c>
      <c r="X3" s="24">
        <f t="shared" si="0"/>
        <v>0.59050000000000002</v>
      </c>
      <c r="Y3" s="25">
        <f t="shared" si="0"/>
        <v>0.67500000000000004</v>
      </c>
      <c r="Z3" s="25">
        <f t="shared" si="0"/>
        <v>0.67500000000000004</v>
      </c>
    </row>
    <row r="4" spans="1:29" x14ac:dyDescent="0.3">
      <c r="A4" s="14" t="s">
        <v>4</v>
      </c>
      <c r="B4" s="14" t="s">
        <v>29</v>
      </c>
      <c r="C4" s="16">
        <v>0.6</v>
      </c>
      <c r="D4" s="20">
        <f t="shared" ref="D4:D25" si="1">+(1-C4)</f>
        <v>0.4</v>
      </c>
      <c r="E4" s="22">
        <f>1-+$D$4*E2</f>
        <v>0.74</v>
      </c>
      <c r="F4" s="21">
        <f t="shared" ref="F4:Z4" si="2">1-+$D$4*F2</f>
        <v>0.84</v>
      </c>
      <c r="G4" s="22">
        <f t="shared" si="2"/>
        <v>0.9</v>
      </c>
      <c r="H4" s="22">
        <f t="shared" si="2"/>
        <v>0.92</v>
      </c>
      <c r="I4" s="22">
        <f t="shared" si="2"/>
        <v>0.82000000000000006</v>
      </c>
      <c r="J4" s="22">
        <f t="shared" si="2"/>
        <v>0.72</v>
      </c>
      <c r="K4" s="22">
        <f t="shared" si="2"/>
        <v>0.81600000000000006</v>
      </c>
      <c r="L4" s="24">
        <f t="shared" si="2"/>
        <v>0.79600000000000004</v>
      </c>
      <c r="M4" s="22">
        <f t="shared" si="2"/>
        <v>0.73199999999999998</v>
      </c>
      <c r="N4" s="24">
        <f t="shared" si="2"/>
        <v>0.76</v>
      </c>
      <c r="O4" s="24">
        <f t="shared" si="2"/>
        <v>0.82799999999999996</v>
      </c>
      <c r="P4" s="22">
        <f t="shared" si="2"/>
        <v>0.72399999999999998</v>
      </c>
      <c r="Q4" s="22">
        <f t="shared" si="2"/>
        <v>0.72399999999999998</v>
      </c>
      <c r="R4" s="22">
        <f t="shared" si="2"/>
        <v>0.65199999999999991</v>
      </c>
      <c r="S4" s="22">
        <f t="shared" si="2"/>
        <v>0.65199999999999991</v>
      </c>
      <c r="T4" s="22">
        <f t="shared" si="2"/>
        <v>0.65999999999999992</v>
      </c>
      <c r="U4" s="24">
        <f t="shared" si="2"/>
        <v>0.72</v>
      </c>
      <c r="V4" s="24">
        <f t="shared" si="2"/>
        <v>0.67999999999999994</v>
      </c>
      <c r="W4" s="22">
        <f t="shared" si="2"/>
        <v>0.748</v>
      </c>
      <c r="X4" s="22">
        <f t="shared" si="2"/>
        <v>0.748</v>
      </c>
      <c r="Y4" s="22">
        <f t="shared" si="2"/>
        <v>0.8</v>
      </c>
      <c r="Z4" s="22">
        <f t="shared" si="2"/>
        <v>0.8</v>
      </c>
    </row>
    <row r="5" spans="1:29" x14ac:dyDescent="0.3">
      <c r="A5" s="14" t="s">
        <v>5</v>
      </c>
      <c r="B5" s="14" t="s">
        <v>30</v>
      </c>
      <c r="C5" s="16">
        <v>0.75</v>
      </c>
      <c r="D5" s="20">
        <f t="shared" si="1"/>
        <v>0.25</v>
      </c>
      <c r="E5" s="22">
        <f>1-+$D$5*E2</f>
        <v>0.83750000000000002</v>
      </c>
      <c r="F5" s="22">
        <f t="shared" ref="F5:Z5" si="3">1-+$D$5*F2</f>
        <v>0.9</v>
      </c>
      <c r="G5" s="21">
        <f t="shared" si="3"/>
        <v>0.9375</v>
      </c>
      <c r="H5" s="22">
        <f t="shared" si="3"/>
        <v>0.95</v>
      </c>
      <c r="I5" s="22">
        <f t="shared" si="3"/>
        <v>0.88749999999999996</v>
      </c>
      <c r="J5" s="22">
        <f t="shared" si="3"/>
        <v>0.82499999999999996</v>
      </c>
      <c r="K5" s="22">
        <f t="shared" si="3"/>
        <v>0.88500000000000001</v>
      </c>
      <c r="L5" s="24">
        <f t="shared" si="3"/>
        <v>0.87250000000000005</v>
      </c>
      <c r="M5" s="22">
        <f t="shared" si="3"/>
        <v>0.83250000000000002</v>
      </c>
      <c r="N5" s="24">
        <f t="shared" si="3"/>
        <v>0.85</v>
      </c>
      <c r="O5" s="24">
        <f t="shared" si="3"/>
        <v>0.89249999999999996</v>
      </c>
      <c r="P5" s="22">
        <f t="shared" si="3"/>
        <v>0.82750000000000001</v>
      </c>
      <c r="Q5" s="22">
        <f t="shared" si="3"/>
        <v>0.82750000000000001</v>
      </c>
      <c r="R5" s="22">
        <f t="shared" si="3"/>
        <v>0.78249999999999997</v>
      </c>
      <c r="S5" s="22">
        <f t="shared" si="3"/>
        <v>0.78249999999999997</v>
      </c>
      <c r="T5" s="22">
        <f t="shared" si="3"/>
        <v>0.78749999999999998</v>
      </c>
      <c r="U5" s="24">
        <f t="shared" si="3"/>
        <v>0.82499999999999996</v>
      </c>
      <c r="V5" s="24">
        <f t="shared" si="3"/>
        <v>0.8</v>
      </c>
      <c r="W5" s="22">
        <f t="shared" si="3"/>
        <v>0.84250000000000003</v>
      </c>
      <c r="X5" s="22">
        <f t="shared" si="3"/>
        <v>0.84250000000000003</v>
      </c>
      <c r="Y5" s="22">
        <f t="shared" si="3"/>
        <v>0.875</v>
      </c>
      <c r="Z5" s="22">
        <f t="shared" si="3"/>
        <v>0.875</v>
      </c>
    </row>
    <row r="6" spans="1:29" x14ac:dyDescent="0.3">
      <c r="A6" s="14" t="s">
        <v>6</v>
      </c>
      <c r="B6" s="14" t="s">
        <v>31</v>
      </c>
      <c r="C6" s="16">
        <v>0.8</v>
      </c>
      <c r="D6" s="20">
        <f t="shared" si="1"/>
        <v>0.19999999999999996</v>
      </c>
      <c r="E6" s="22">
        <f>1-+$D$6*E2</f>
        <v>0.87</v>
      </c>
      <c r="F6" s="22">
        <f t="shared" ref="F6:Z6" si="4">1-+$D$6*F2</f>
        <v>0.92</v>
      </c>
      <c r="G6" s="22">
        <f t="shared" si="4"/>
        <v>0.95</v>
      </c>
      <c r="H6" s="21">
        <f t="shared" si="4"/>
        <v>0.96</v>
      </c>
      <c r="I6" s="22">
        <f t="shared" si="4"/>
        <v>0.91</v>
      </c>
      <c r="J6" s="22">
        <f t="shared" si="4"/>
        <v>0.8600000000000001</v>
      </c>
      <c r="K6" s="22">
        <f t="shared" si="4"/>
        <v>0.90800000000000003</v>
      </c>
      <c r="L6" s="24">
        <f t="shared" si="4"/>
        <v>0.89800000000000002</v>
      </c>
      <c r="M6" s="22">
        <f t="shared" si="4"/>
        <v>0.8660000000000001</v>
      </c>
      <c r="N6" s="24">
        <f t="shared" si="4"/>
        <v>0.88</v>
      </c>
      <c r="O6" s="24">
        <f t="shared" si="4"/>
        <v>0.91400000000000003</v>
      </c>
      <c r="P6" s="22">
        <f t="shared" si="4"/>
        <v>0.8620000000000001</v>
      </c>
      <c r="Q6" s="22">
        <f t="shared" si="4"/>
        <v>0.8620000000000001</v>
      </c>
      <c r="R6" s="22">
        <f t="shared" si="4"/>
        <v>0.82600000000000007</v>
      </c>
      <c r="S6" s="22">
        <f t="shared" si="4"/>
        <v>0.82600000000000007</v>
      </c>
      <c r="T6" s="22">
        <f t="shared" si="4"/>
        <v>0.83000000000000007</v>
      </c>
      <c r="U6" s="24">
        <f t="shared" si="4"/>
        <v>0.8600000000000001</v>
      </c>
      <c r="V6" s="24">
        <f t="shared" si="4"/>
        <v>0.84000000000000008</v>
      </c>
      <c r="W6" s="22">
        <f t="shared" si="4"/>
        <v>0.874</v>
      </c>
      <c r="X6" s="22">
        <f t="shared" si="4"/>
        <v>0.874</v>
      </c>
      <c r="Y6" s="22">
        <f t="shared" si="4"/>
        <v>0.9</v>
      </c>
      <c r="Z6" s="22">
        <f t="shared" si="4"/>
        <v>0.9</v>
      </c>
    </row>
    <row r="7" spans="1:29" x14ac:dyDescent="0.3">
      <c r="B7" s="14" t="s">
        <v>76</v>
      </c>
      <c r="D7" s="20"/>
      <c r="E7" s="22"/>
      <c r="F7" s="22"/>
      <c r="G7" s="22"/>
      <c r="H7" s="21"/>
      <c r="I7" s="22"/>
      <c r="J7" s="22"/>
      <c r="K7" s="22"/>
      <c r="L7" s="24"/>
      <c r="M7" s="22"/>
      <c r="N7" s="24"/>
      <c r="O7" s="24"/>
      <c r="P7" s="22"/>
      <c r="Q7" s="22"/>
      <c r="R7" s="22"/>
      <c r="S7" s="22"/>
      <c r="T7" s="22"/>
      <c r="U7" s="24"/>
      <c r="V7" s="24"/>
      <c r="W7" s="22"/>
      <c r="X7" s="22"/>
      <c r="Y7" s="22"/>
      <c r="Z7" s="22"/>
    </row>
    <row r="8" spans="1:29" x14ac:dyDescent="0.3">
      <c r="A8" s="14" t="s">
        <v>7</v>
      </c>
      <c r="B8" s="14" t="s">
        <v>77</v>
      </c>
      <c r="C8" s="16">
        <v>0.55000000000000004</v>
      </c>
      <c r="D8" s="20">
        <f t="shared" si="1"/>
        <v>0.44999999999999996</v>
      </c>
      <c r="E8" s="23">
        <f>1-+$D$8*E2</f>
        <v>0.70750000000000002</v>
      </c>
      <c r="F8" s="22">
        <f t="shared" ref="F8:Z8" si="5">1-+$D$8*F2</f>
        <v>0.82000000000000006</v>
      </c>
      <c r="G8" s="22">
        <f t="shared" si="5"/>
        <v>0.88749999999999996</v>
      </c>
      <c r="H8" s="22">
        <f t="shared" si="5"/>
        <v>0.91</v>
      </c>
      <c r="I8" s="21">
        <f t="shared" si="5"/>
        <v>0.7975000000000001</v>
      </c>
      <c r="J8" s="24">
        <f t="shared" si="5"/>
        <v>0.68500000000000005</v>
      </c>
      <c r="K8" s="22">
        <f t="shared" si="5"/>
        <v>0.79300000000000004</v>
      </c>
      <c r="L8" s="22">
        <f t="shared" si="5"/>
        <v>0.77049999999999996</v>
      </c>
      <c r="M8" s="25">
        <f t="shared" si="5"/>
        <v>0.69850000000000012</v>
      </c>
      <c r="N8" s="25">
        <f t="shared" si="5"/>
        <v>0.73</v>
      </c>
      <c r="O8" s="25">
        <f t="shared" si="5"/>
        <v>0.80649999999999999</v>
      </c>
      <c r="P8" s="26">
        <f t="shared" si="5"/>
        <v>0.6895</v>
      </c>
      <c r="Q8" s="26">
        <f t="shared" si="5"/>
        <v>0.6895</v>
      </c>
      <c r="R8" s="26">
        <f t="shared" si="5"/>
        <v>0.60850000000000004</v>
      </c>
      <c r="S8" s="26">
        <f t="shared" si="5"/>
        <v>0.60850000000000004</v>
      </c>
      <c r="T8" s="22">
        <f t="shared" si="5"/>
        <v>0.61750000000000005</v>
      </c>
      <c r="U8" s="24">
        <f t="shared" si="5"/>
        <v>0.68500000000000005</v>
      </c>
      <c r="V8" s="24">
        <f t="shared" si="5"/>
        <v>0.64</v>
      </c>
      <c r="W8" s="26">
        <f t="shared" si="5"/>
        <v>0.71650000000000003</v>
      </c>
      <c r="X8" s="26">
        <f t="shared" si="5"/>
        <v>0.71650000000000003</v>
      </c>
      <c r="Y8" s="24">
        <f t="shared" si="5"/>
        <v>0.77500000000000002</v>
      </c>
      <c r="Z8" s="26">
        <f t="shared" si="5"/>
        <v>0.77500000000000002</v>
      </c>
    </row>
    <row r="9" spans="1:29" x14ac:dyDescent="0.3">
      <c r="A9" s="14" t="s">
        <v>14</v>
      </c>
      <c r="B9" s="14" t="s">
        <v>78</v>
      </c>
      <c r="C9" s="16">
        <v>0.3</v>
      </c>
      <c r="D9" s="20">
        <f t="shared" si="1"/>
        <v>0.7</v>
      </c>
      <c r="E9" s="23">
        <f>1-+$D$9*E2</f>
        <v>0.54500000000000004</v>
      </c>
      <c r="F9" s="22">
        <f t="shared" ref="F9:Z9" si="6">1-+$D$9*F2</f>
        <v>0.72</v>
      </c>
      <c r="G9" s="22">
        <f t="shared" si="6"/>
        <v>0.82499999999999996</v>
      </c>
      <c r="H9" s="22">
        <f t="shared" si="6"/>
        <v>0.8600000000000001</v>
      </c>
      <c r="I9" s="22">
        <f t="shared" si="6"/>
        <v>0.68500000000000005</v>
      </c>
      <c r="J9" s="21">
        <f t="shared" si="6"/>
        <v>0.51</v>
      </c>
      <c r="K9" s="22">
        <f t="shared" si="6"/>
        <v>0.67800000000000005</v>
      </c>
      <c r="L9" s="22">
        <f t="shared" si="6"/>
        <v>0.64300000000000002</v>
      </c>
      <c r="M9" s="24">
        <f t="shared" si="6"/>
        <v>0.53100000000000014</v>
      </c>
      <c r="N9" s="24">
        <f t="shared" si="6"/>
        <v>0.58000000000000007</v>
      </c>
      <c r="O9" s="24">
        <f t="shared" si="6"/>
        <v>0.69900000000000007</v>
      </c>
      <c r="P9" s="26">
        <f t="shared" si="6"/>
        <v>0.51700000000000013</v>
      </c>
      <c r="Q9" s="26">
        <f t="shared" si="6"/>
        <v>0.51700000000000013</v>
      </c>
      <c r="R9" s="26">
        <f t="shared" si="6"/>
        <v>0.39100000000000001</v>
      </c>
      <c r="S9" s="26">
        <f t="shared" si="6"/>
        <v>0.39100000000000001</v>
      </c>
      <c r="T9" s="22">
        <f t="shared" si="6"/>
        <v>0.40500000000000003</v>
      </c>
      <c r="U9" s="24">
        <f t="shared" si="6"/>
        <v>0.51</v>
      </c>
      <c r="V9" s="24">
        <f t="shared" si="6"/>
        <v>0.44000000000000006</v>
      </c>
      <c r="W9" s="26">
        <f t="shared" si="6"/>
        <v>0.55900000000000005</v>
      </c>
      <c r="X9" s="26">
        <f t="shared" si="6"/>
        <v>0.55900000000000005</v>
      </c>
      <c r="Y9" s="26">
        <f t="shared" si="6"/>
        <v>0.65</v>
      </c>
      <c r="Z9" s="26">
        <f t="shared" si="6"/>
        <v>0.65</v>
      </c>
    </row>
    <row r="10" spans="1:29" x14ac:dyDescent="0.3">
      <c r="A10" s="14" t="s">
        <v>8</v>
      </c>
      <c r="B10" s="14" t="s">
        <v>79</v>
      </c>
      <c r="C10" s="16">
        <v>0.54</v>
      </c>
      <c r="D10" s="20">
        <f t="shared" si="1"/>
        <v>0.45999999999999996</v>
      </c>
      <c r="E10" s="22">
        <f>1-+$D$10*E2</f>
        <v>0.70100000000000007</v>
      </c>
      <c r="F10" s="22">
        <f t="shared" ref="F10:Z10" si="7">1-+$D$10*F2</f>
        <v>0.81600000000000006</v>
      </c>
      <c r="G10" s="22">
        <f t="shared" si="7"/>
        <v>0.88500000000000001</v>
      </c>
      <c r="H10" s="22">
        <f t="shared" si="7"/>
        <v>0.90800000000000003</v>
      </c>
      <c r="I10" s="22">
        <f t="shared" si="7"/>
        <v>0.79300000000000004</v>
      </c>
      <c r="J10" s="22">
        <f t="shared" si="7"/>
        <v>0.67800000000000005</v>
      </c>
      <c r="K10" s="21">
        <f t="shared" si="7"/>
        <v>0.78839999999999999</v>
      </c>
      <c r="L10" s="22">
        <f t="shared" si="7"/>
        <v>0.76540000000000008</v>
      </c>
      <c r="M10" s="22">
        <f t="shared" si="7"/>
        <v>0.69180000000000008</v>
      </c>
      <c r="N10" s="22">
        <f t="shared" si="7"/>
        <v>0.72399999999999998</v>
      </c>
      <c r="O10" s="22">
        <f t="shared" si="7"/>
        <v>0.80220000000000002</v>
      </c>
      <c r="P10" s="22">
        <f t="shared" si="7"/>
        <v>0.6826000000000001</v>
      </c>
      <c r="Q10" s="22">
        <f t="shared" si="7"/>
        <v>0.6826000000000001</v>
      </c>
      <c r="R10" s="22">
        <f t="shared" si="7"/>
        <v>0.59980000000000011</v>
      </c>
      <c r="S10" s="22">
        <f t="shared" si="7"/>
        <v>0.59980000000000011</v>
      </c>
      <c r="T10" s="22">
        <f t="shared" si="7"/>
        <v>0.60899999999999999</v>
      </c>
      <c r="U10" s="22">
        <f t="shared" si="7"/>
        <v>0.67800000000000005</v>
      </c>
      <c r="V10" s="22">
        <f t="shared" si="7"/>
        <v>0.63200000000000001</v>
      </c>
      <c r="W10" s="22">
        <f t="shared" si="7"/>
        <v>0.71019999999999994</v>
      </c>
      <c r="X10" s="22">
        <f t="shared" si="7"/>
        <v>0.71019999999999994</v>
      </c>
      <c r="Y10" s="22">
        <f t="shared" si="7"/>
        <v>0.77</v>
      </c>
      <c r="Z10" s="22">
        <f t="shared" si="7"/>
        <v>0.77</v>
      </c>
    </row>
    <row r="11" spans="1:29" x14ac:dyDescent="0.3">
      <c r="A11" s="14" t="s">
        <v>9</v>
      </c>
      <c r="B11" s="14" t="s">
        <v>33</v>
      </c>
      <c r="C11" s="16">
        <v>0.49</v>
      </c>
      <c r="D11" s="20">
        <f t="shared" si="1"/>
        <v>0.51</v>
      </c>
      <c r="E11" s="24">
        <f>1-+$D$11*E2</f>
        <v>0.66849999999999998</v>
      </c>
      <c r="F11" s="24">
        <f t="shared" ref="F11:Z11" si="8">1-+$D$11*F2</f>
        <v>0.79600000000000004</v>
      </c>
      <c r="G11" s="24">
        <f t="shared" si="8"/>
        <v>0.87250000000000005</v>
      </c>
      <c r="H11" s="24">
        <f t="shared" si="8"/>
        <v>0.89800000000000002</v>
      </c>
      <c r="I11" s="22">
        <f t="shared" si="8"/>
        <v>0.77049999999999996</v>
      </c>
      <c r="J11" s="22">
        <f t="shared" si="8"/>
        <v>0.64300000000000002</v>
      </c>
      <c r="K11" s="22">
        <f t="shared" si="8"/>
        <v>0.76540000000000008</v>
      </c>
      <c r="L11" s="21">
        <f t="shared" si="8"/>
        <v>0.7399</v>
      </c>
      <c r="M11" s="24">
        <f t="shared" si="8"/>
        <v>0.65830000000000011</v>
      </c>
      <c r="N11" s="24">
        <f t="shared" si="8"/>
        <v>0.69399999999999995</v>
      </c>
      <c r="O11" s="24">
        <f t="shared" si="8"/>
        <v>0.78069999999999995</v>
      </c>
      <c r="P11" s="24">
        <f t="shared" si="8"/>
        <v>0.64810000000000001</v>
      </c>
      <c r="Q11" s="24">
        <f t="shared" si="8"/>
        <v>0.64810000000000001</v>
      </c>
      <c r="R11" s="24">
        <f t="shared" si="8"/>
        <v>0.55630000000000002</v>
      </c>
      <c r="S11" s="24">
        <f t="shared" si="8"/>
        <v>0.55630000000000002</v>
      </c>
      <c r="T11" s="22">
        <f t="shared" si="8"/>
        <v>0.5665</v>
      </c>
      <c r="U11" s="22">
        <f t="shared" si="8"/>
        <v>0.64300000000000002</v>
      </c>
      <c r="V11" s="22">
        <f t="shared" si="8"/>
        <v>0.59199999999999997</v>
      </c>
      <c r="W11" s="24">
        <f t="shared" si="8"/>
        <v>0.67869999999999997</v>
      </c>
      <c r="X11" s="24">
        <f t="shared" si="8"/>
        <v>0.67869999999999997</v>
      </c>
      <c r="Y11" s="24">
        <f t="shared" si="8"/>
        <v>0.745</v>
      </c>
      <c r="Z11" s="24">
        <f t="shared" si="8"/>
        <v>0.745</v>
      </c>
    </row>
    <row r="12" spans="1:29" x14ac:dyDescent="0.3">
      <c r="A12" s="14" t="s">
        <v>10</v>
      </c>
      <c r="B12" s="14" t="s">
        <v>34</v>
      </c>
      <c r="C12" s="16">
        <v>0.33</v>
      </c>
      <c r="D12" s="20">
        <f t="shared" si="1"/>
        <v>0.66999999999999993</v>
      </c>
      <c r="E12" s="22">
        <f>1-+$D$12*E2</f>
        <v>0.5645</v>
      </c>
      <c r="F12" s="22">
        <f t="shared" ref="F12:Z12" si="9">1-+$D$12*F2</f>
        <v>0.73199999999999998</v>
      </c>
      <c r="G12" s="22">
        <f t="shared" si="9"/>
        <v>0.83250000000000002</v>
      </c>
      <c r="H12" s="22">
        <f t="shared" si="9"/>
        <v>0.8660000000000001</v>
      </c>
      <c r="I12" s="25">
        <f t="shared" si="9"/>
        <v>0.69850000000000012</v>
      </c>
      <c r="J12" s="24">
        <f t="shared" si="9"/>
        <v>0.53100000000000014</v>
      </c>
      <c r="K12" s="22">
        <f t="shared" si="9"/>
        <v>0.69180000000000008</v>
      </c>
      <c r="L12" s="24">
        <f t="shared" si="9"/>
        <v>0.65830000000000011</v>
      </c>
      <c r="M12" s="21">
        <f t="shared" si="9"/>
        <v>0.55110000000000015</v>
      </c>
      <c r="N12" s="24">
        <f t="shared" si="9"/>
        <v>0.59800000000000009</v>
      </c>
      <c r="O12" s="24">
        <f t="shared" si="9"/>
        <v>0.71189999999999998</v>
      </c>
      <c r="P12" s="25">
        <f t="shared" si="9"/>
        <v>0.53770000000000007</v>
      </c>
      <c r="Q12" s="25">
        <f t="shared" si="9"/>
        <v>0.53770000000000007</v>
      </c>
      <c r="R12" s="24">
        <f t="shared" si="9"/>
        <v>0.41710000000000003</v>
      </c>
      <c r="S12" s="24">
        <f t="shared" si="9"/>
        <v>0.41710000000000003</v>
      </c>
      <c r="T12" s="22">
        <f t="shared" si="9"/>
        <v>0.4305000000000001</v>
      </c>
      <c r="U12" s="24">
        <f t="shared" si="9"/>
        <v>0.53100000000000014</v>
      </c>
      <c r="V12" s="24">
        <f t="shared" si="9"/>
        <v>0.46400000000000008</v>
      </c>
      <c r="W12" s="24">
        <f t="shared" si="9"/>
        <v>0.57790000000000008</v>
      </c>
      <c r="X12" s="24">
        <f t="shared" si="9"/>
        <v>0.57790000000000008</v>
      </c>
      <c r="Y12" s="24">
        <f t="shared" si="9"/>
        <v>0.66500000000000004</v>
      </c>
      <c r="Z12" s="25">
        <f t="shared" si="9"/>
        <v>0.66500000000000004</v>
      </c>
    </row>
    <row r="13" spans="1:29" x14ac:dyDescent="0.3">
      <c r="A13" s="14" t="s">
        <v>11</v>
      </c>
      <c r="B13" s="14" t="s">
        <v>35</v>
      </c>
      <c r="C13" s="16">
        <v>0.4</v>
      </c>
      <c r="D13" s="20">
        <f t="shared" si="1"/>
        <v>0.6</v>
      </c>
      <c r="E13" s="24">
        <f>1-+$D$13*E2</f>
        <v>0.61</v>
      </c>
      <c r="F13" s="24">
        <f t="shared" ref="F13:Z13" si="10">1-+$D$13*F2</f>
        <v>0.76</v>
      </c>
      <c r="G13" s="24">
        <f t="shared" si="10"/>
        <v>0.85</v>
      </c>
      <c r="H13" s="24">
        <f t="shared" si="10"/>
        <v>0.88</v>
      </c>
      <c r="I13" s="25">
        <f t="shared" si="10"/>
        <v>0.73</v>
      </c>
      <c r="J13" s="24">
        <f t="shared" si="10"/>
        <v>0.58000000000000007</v>
      </c>
      <c r="K13" s="22">
        <f t="shared" si="10"/>
        <v>0.72399999999999998</v>
      </c>
      <c r="L13" s="24">
        <f t="shared" si="10"/>
        <v>0.69399999999999995</v>
      </c>
      <c r="M13" s="24">
        <f t="shared" si="10"/>
        <v>0.59800000000000009</v>
      </c>
      <c r="N13" s="21">
        <f t="shared" si="10"/>
        <v>0.64</v>
      </c>
      <c r="O13" s="24">
        <f t="shared" si="10"/>
        <v>0.74199999999999999</v>
      </c>
      <c r="P13" s="24">
        <f t="shared" si="10"/>
        <v>0.58600000000000008</v>
      </c>
      <c r="Q13" s="25">
        <f t="shared" si="10"/>
        <v>0.58600000000000008</v>
      </c>
      <c r="R13" s="24">
        <f t="shared" si="10"/>
        <v>0.47799999999999998</v>
      </c>
      <c r="S13" s="24">
        <f t="shared" si="10"/>
        <v>0.47799999999999998</v>
      </c>
      <c r="T13" s="22">
        <f t="shared" si="10"/>
        <v>0.49</v>
      </c>
      <c r="U13" s="24">
        <f t="shared" si="10"/>
        <v>0.58000000000000007</v>
      </c>
      <c r="V13" s="24">
        <f t="shared" si="10"/>
        <v>0.52</v>
      </c>
      <c r="W13" s="24">
        <f t="shared" si="10"/>
        <v>0.622</v>
      </c>
      <c r="X13" s="24">
        <f t="shared" si="10"/>
        <v>0.622</v>
      </c>
      <c r="Y13" s="24">
        <f t="shared" si="10"/>
        <v>0.7</v>
      </c>
      <c r="Z13" s="24">
        <f t="shared" si="10"/>
        <v>0.7</v>
      </c>
    </row>
    <row r="14" spans="1:29" x14ac:dyDescent="0.3">
      <c r="A14" s="14" t="s">
        <v>15</v>
      </c>
      <c r="B14" s="14" t="s">
        <v>1</v>
      </c>
      <c r="C14" s="16">
        <v>0.56999999999999995</v>
      </c>
      <c r="D14" s="20">
        <f t="shared" si="1"/>
        <v>0.43000000000000005</v>
      </c>
      <c r="E14" s="24">
        <f>1-+$D$14*E2</f>
        <v>0.72049999999999992</v>
      </c>
      <c r="F14" s="24">
        <f t="shared" ref="F14:Z14" si="11">1-+$D$14*F2</f>
        <v>0.82799999999999996</v>
      </c>
      <c r="G14" s="24">
        <f t="shared" si="11"/>
        <v>0.89249999999999996</v>
      </c>
      <c r="H14" s="24">
        <f t="shared" si="11"/>
        <v>0.91400000000000003</v>
      </c>
      <c r="I14" s="25">
        <f t="shared" si="11"/>
        <v>0.80649999999999999</v>
      </c>
      <c r="J14" s="24">
        <f t="shared" si="11"/>
        <v>0.69900000000000007</v>
      </c>
      <c r="K14" s="22">
        <f t="shared" si="11"/>
        <v>0.80220000000000002</v>
      </c>
      <c r="L14" s="24">
        <f t="shared" si="11"/>
        <v>0.78069999999999995</v>
      </c>
      <c r="M14" s="24">
        <f t="shared" si="11"/>
        <v>0.71189999999999998</v>
      </c>
      <c r="N14" s="24">
        <f t="shared" si="11"/>
        <v>0.74199999999999999</v>
      </c>
      <c r="O14" s="21">
        <f t="shared" si="11"/>
        <v>0.81509999999999994</v>
      </c>
      <c r="P14" s="25">
        <f t="shared" si="11"/>
        <v>0.70330000000000004</v>
      </c>
      <c r="Q14" s="25">
        <f t="shared" si="11"/>
        <v>0.70330000000000004</v>
      </c>
      <c r="R14" s="24">
        <f t="shared" si="11"/>
        <v>0.6258999999999999</v>
      </c>
      <c r="S14" s="25">
        <f t="shared" si="11"/>
        <v>0.6258999999999999</v>
      </c>
      <c r="T14" s="22">
        <f t="shared" si="11"/>
        <v>0.63449999999999995</v>
      </c>
      <c r="U14" s="24">
        <f t="shared" si="11"/>
        <v>0.69900000000000007</v>
      </c>
      <c r="V14" s="24">
        <f t="shared" si="11"/>
        <v>0.65599999999999992</v>
      </c>
      <c r="W14" s="24">
        <f t="shared" si="11"/>
        <v>0.72909999999999997</v>
      </c>
      <c r="X14" s="24">
        <f t="shared" si="11"/>
        <v>0.72909999999999997</v>
      </c>
      <c r="Y14" s="24">
        <f t="shared" si="11"/>
        <v>0.78499999999999992</v>
      </c>
      <c r="Z14" s="25">
        <f t="shared" si="11"/>
        <v>0.78499999999999992</v>
      </c>
    </row>
    <row r="15" spans="1:29" x14ac:dyDescent="0.3">
      <c r="A15" s="14" t="s">
        <v>12</v>
      </c>
      <c r="B15" s="14" t="s">
        <v>46</v>
      </c>
      <c r="C15" s="16">
        <v>0.31</v>
      </c>
      <c r="D15" s="20">
        <f t="shared" si="1"/>
        <v>0.69</v>
      </c>
      <c r="E15" s="24">
        <f>1-+$D$15*E2</f>
        <v>0.5515000000000001</v>
      </c>
      <c r="F15" s="22">
        <f t="shared" ref="F15:Z15" si="12">1-+$D$15*F2</f>
        <v>0.72399999999999998</v>
      </c>
      <c r="G15" s="22">
        <f t="shared" si="12"/>
        <v>0.82750000000000001</v>
      </c>
      <c r="H15" s="22">
        <f t="shared" si="12"/>
        <v>0.8620000000000001</v>
      </c>
      <c r="I15" s="26">
        <f t="shared" si="12"/>
        <v>0.6895</v>
      </c>
      <c r="J15" s="26">
        <f t="shared" si="12"/>
        <v>0.51700000000000013</v>
      </c>
      <c r="K15" s="22">
        <f t="shared" si="12"/>
        <v>0.6826000000000001</v>
      </c>
      <c r="L15" s="24">
        <f t="shared" si="12"/>
        <v>0.64810000000000001</v>
      </c>
      <c r="M15" s="25">
        <f t="shared" si="12"/>
        <v>0.53770000000000007</v>
      </c>
      <c r="N15" s="24">
        <f t="shared" si="12"/>
        <v>0.58600000000000008</v>
      </c>
      <c r="O15" s="25">
        <f t="shared" si="12"/>
        <v>0.70330000000000004</v>
      </c>
      <c r="P15" s="21">
        <f t="shared" si="12"/>
        <v>0.52390000000000003</v>
      </c>
      <c r="Q15" s="21">
        <f t="shared" si="12"/>
        <v>0.52390000000000003</v>
      </c>
      <c r="R15" s="22">
        <f t="shared" si="12"/>
        <v>0.39970000000000006</v>
      </c>
      <c r="S15" s="22">
        <f t="shared" si="12"/>
        <v>0.39970000000000006</v>
      </c>
      <c r="T15" s="22">
        <f t="shared" si="12"/>
        <v>0.41350000000000009</v>
      </c>
      <c r="U15" s="26">
        <f t="shared" si="12"/>
        <v>0.51700000000000013</v>
      </c>
      <c r="V15" s="26">
        <f t="shared" si="12"/>
        <v>0.44800000000000006</v>
      </c>
      <c r="W15" s="24">
        <f t="shared" si="12"/>
        <v>0.56530000000000002</v>
      </c>
      <c r="X15" s="24">
        <f t="shared" si="12"/>
        <v>0.56530000000000002</v>
      </c>
      <c r="Y15" s="22">
        <f t="shared" si="12"/>
        <v>0.65500000000000003</v>
      </c>
      <c r="Z15" s="22">
        <f t="shared" si="12"/>
        <v>0.65500000000000003</v>
      </c>
    </row>
    <row r="16" spans="1:29" x14ac:dyDescent="0.3">
      <c r="A16" s="14" t="s">
        <v>16</v>
      </c>
      <c r="B16" s="14" t="s">
        <v>47</v>
      </c>
      <c r="C16" s="16">
        <v>0.31</v>
      </c>
      <c r="D16" s="20">
        <f t="shared" si="1"/>
        <v>0.69</v>
      </c>
      <c r="E16" s="23">
        <f>1-+$D$16*E2</f>
        <v>0.5515000000000001</v>
      </c>
      <c r="F16" s="22">
        <f t="shared" ref="F16:Z16" si="13">1-+$D$16*F2</f>
        <v>0.72399999999999998</v>
      </c>
      <c r="G16" s="22">
        <f t="shared" si="13"/>
        <v>0.82750000000000001</v>
      </c>
      <c r="H16" s="22">
        <f t="shared" si="13"/>
        <v>0.8620000000000001</v>
      </c>
      <c r="I16" s="26">
        <f t="shared" si="13"/>
        <v>0.6895</v>
      </c>
      <c r="J16" s="26">
        <f t="shared" si="13"/>
        <v>0.51700000000000013</v>
      </c>
      <c r="K16" s="22">
        <f t="shared" si="13"/>
        <v>0.6826000000000001</v>
      </c>
      <c r="L16" s="24">
        <f t="shared" si="13"/>
        <v>0.64810000000000001</v>
      </c>
      <c r="M16" s="25">
        <f t="shared" si="13"/>
        <v>0.53770000000000007</v>
      </c>
      <c r="N16" s="25">
        <f t="shared" si="13"/>
        <v>0.58600000000000008</v>
      </c>
      <c r="O16" s="25">
        <f t="shared" si="13"/>
        <v>0.70330000000000004</v>
      </c>
      <c r="P16" s="21">
        <f t="shared" si="13"/>
        <v>0.52390000000000003</v>
      </c>
      <c r="Q16" s="21">
        <f t="shared" si="13"/>
        <v>0.52390000000000003</v>
      </c>
      <c r="R16" s="22">
        <f t="shared" si="13"/>
        <v>0.39970000000000006</v>
      </c>
      <c r="S16" s="22">
        <f t="shared" si="13"/>
        <v>0.39970000000000006</v>
      </c>
      <c r="T16" s="22">
        <f t="shared" si="13"/>
        <v>0.41350000000000009</v>
      </c>
      <c r="U16" s="25">
        <f t="shared" si="13"/>
        <v>0.51700000000000013</v>
      </c>
      <c r="V16" s="25">
        <f t="shared" si="13"/>
        <v>0.44800000000000006</v>
      </c>
      <c r="W16" s="24">
        <f t="shared" si="13"/>
        <v>0.56530000000000002</v>
      </c>
      <c r="X16" s="24">
        <f t="shared" si="13"/>
        <v>0.56530000000000002</v>
      </c>
      <c r="Y16" s="22">
        <f t="shared" si="13"/>
        <v>0.65500000000000003</v>
      </c>
      <c r="Z16" s="22">
        <f t="shared" si="13"/>
        <v>0.65500000000000003</v>
      </c>
    </row>
    <row r="17" spans="1:26" x14ac:dyDescent="0.3">
      <c r="A17" s="14" t="s">
        <v>17</v>
      </c>
      <c r="B17" s="14" t="s">
        <v>48</v>
      </c>
      <c r="C17" s="16">
        <v>0.13</v>
      </c>
      <c r="D17" s="20">
        <f t="shared" si="1"/>
        <v>0.87</v>
      </c>
      <c r="E17" s="27">
        <f>1-+$D$17*E2</f>
        <v>0.4345</v>
      </c>
      <c r="F17" s="22">
        <f t="shared" ref="F17:Z17" si="14">1-+$D$17*F2</f>
        <v>0.65199999999999991</v>
      </c>
      <c r="G17" s="22">
        <f t="shared" si="14"/>
        <v>0.78249999999999997</v>
      </c>
      <c r="H17" s="22">
        <f t="shared" si="14"/>
        <v>0.82600000000000007</v>
      </c>
      <c r="I17" s="26">
        <f t="shared" si="14"/>
        <v>0.60850000000000004</v>
      </c>
      <c r="J17" s="26">
        <f t="shared" si="14"/>
        <v>0.39100000000000001</v>
      </c>
      <c r="K17" s="22">
        <f t="shared" si="14"/>
        <v>0.59980000000000011</v>
      </c>
      <c r="L17" s="24">
        <f t="shared" si="14"/>
        <v>0.55630000000000002</v>
      </c>
      <c r="M17" s="24">
        <f t="shared" si="14"/>
        <v>0.41710000000000003</v>
      </c>
      <c r="N17" s="24">
        <f t="shared" si="14"/>
        <v>0.47799999999999998</v>
      </c>
      <c r="O17" s="24">
        <f t="shared" si="14"/>
        <v>0.6258999999999999</v>
      </c>
      <c r="P17" s="22">
        <f t="shared" si="14"/>
        <v>0.39970000000000006</v>
      </c>
      <c r="Q17" s="22">
        <f t="shared" si="14"/>
        <v>0.39970000000000006</v>
      </c>
      <c r="R17" s="21">
        <f t="shared" si="14"/>
        <v>0.24309999999999998</v>
      </c>
      <c r="S17" s="21">
        <f t="shared" si="14"/>
        <v>0.24309999999999998</v>
      </c>
      <c r="T17" s="22">
        <f t="shared" si="14"/>
        <v>0.26050000000000006</v>
      </c>
      <c r="U17" s="25">
        <f t="shared" si="14"/>
        <v>0.39100000000000001</v>
      </c>
      <c r="V17" s="25">
        <f t="shared" si="14"/>
        <v>0.30399999999999994</v>
      </c>
      <c r="W17" s="24">
        <f t="shared" si="14"/>
        <v>0.45189999999999997</v>
      </c>
      <c r="X17" s="24">
        <f t="shared" si="14"/>
        <v>0.45189999999999997</v>
      </c>
      <c r="Y17" s="22">
        <f t="shared" si="14"/>
        <v>0.56499999999999995</v>
      </c>
      <c r="Z17" s="22">
        <f t="shared" si="14"/>
        <v>0.56499999999999995</v>
      </c>
    </row>
    <row r="18" spans="1:26" x14ac:dyDescent="0.3">
      <c r="A18" s="14" t="s">
        <v>18</v>
      </c>
      <c r="B18" s="14" t="s">
        <v>49</v>
      </c>
      <c r="C18" s="16">
        <v>0.13</v>
      </c>
      <c r="D18" s="20">
        <f t="shared" si="1"/>
        <v>0.87</v>
      </c>
      <c r="E18" s="24">
        <f>1-+$D$18*E2</f>
        <v>0.4345</v>
      </c>
      <c r="F18" s="22">
        <f t="shared" ref="F18:Z18" si="15">1-+$D$18*F2</f>
        <v>0.65199999999999991</v>
      </c>
      <c r="G18" s="22">
        <f t="shared" si="15"/>
        <v>0.78249999999999997</v>
      </c>
      <c r="H18" s="22">
        <f t="shared" si="15"/>
        <v>0.82600000000000007</v>
      </c>
      <c r="I18" s="26">
        <f t="shared" si="15"/>
        <v>0.60850000000000004</v>
      </c>
      <c r="J18" s="26">
        <f t="shared" si="15"/>
        <v>0.39100000000000001</v>
      </c>
      <c r="K18" s="22">
        <f t="shared" si="15"/>
        <v>0.59980000000000011</v>
      </c>
      <c r="L18" s="24">
        <f t="shared" si="15"/>
        <v>0.55630000000000002</v>
      </c>
      <c r="M18" s="24">
        <f t="shared" si="15"/>
        <v>0.41710000000000003</v>
      </c>
      <c r="N18" s="24">
        <f t="shared" si="15"/>
        <v>0.47799999999999998</v>
      </c>
      <c r="O18" s="25">
        <f t="shared" si="15"/>
        <v>0.6258999999999999</v>
      </c>
      <c r="P18" s="22">
        <f t="shared" si="15"/>
        <v>0.39970000000000006</v>
      </c>
      <c r="Q18" s="22">
        <f t="shared" si="15"/>
        <v>0.39970000000000006</v>
      </c>
      <c r="R18" s="21">
        <f t="shared" si="15"/>
        <v>0.24309999999999998</v>
      </c>
      <c r="S18" s="21">
        <f t="shared" si="15"/>
        <v>0.24309999999999998</v>
      </c>
      <c r="T18" s="22">
        <f t="shared" si="15"/>
        <v>0.26050000000000006</v>
      </c>
      <c r="U18" s="24">
        <f t="shared" si="15"/>
        <v>0.39100000000000001</v>
      </c>
      <c r="V18" s="24">
        <f t="shared" si="15"/>
        <v>0.30399999999999994</v>
      </c>
      <c r="W18" s="24">
        <f t="shared" si="15"/>
        <v>0.45189999999999997</v>
      </c>
      <c r="X18" s="24">
        <f t="shared" si="15"/>
        <v>0.45189999999999997</v>
      </c>
      <c r="Y18" s="22">
        <f t="shared" si="15"/>
        <v>0.56499999999999995</v>
      </c>
      <c r="Z18" s="22">
        <f t="shared" si="15"/>
        <v>0.56499999999999995</v>
      </c>
    </row>
    <row r="19" spans="1:26" x14ac:dyDescent="0.3">
      <c r="A19" s="14" t="s">
        <v>19</v>
      </c>
      <c r="B19" s="14" t="s">
        <v>36</v>
      </c>
      <c r="C19" s="16">
        <v>0.15</v>
      </c>
      <c r="D19" s="20">
        <f t="shared" si="1"/>
        <v>0.85</v>
      </c>
      <c r="E19" s="22">
        <f>1-+$D$19*E2</f>
        <v>0.44750000000000001</v>
      </c>
      <c r="F19" s="22">
        <f t="shared" ref="F19:Z19" si="16">1-+$D$19*F2</f>
        <v>0.65999999999999992</v>
      </c>
      <c r="G19" s="22">
        <f t="shared" si="16"/>
        <v>0.78749999999999998</v>
      </c>
      <c r="H19" s="22">
        <f t="shared" si="16"/>
        <v>0.83000000000000007</v>
      </c>
      <c r="I19" s="26">
        <f t="shared" si="16"/>
        <v>0.61750000000000005</v>
      </c>
      <c r="J19" s="26">
        <f t="shared" si="16"/>
        <v>0.40500000000000003</v>
      </c>
      <c r="K19" s="22">
        <f t="shared" si="16"/>
        <v>0.60899999999999999</v>
      </c>
      <c r="L19" s="22">
        <f t="shared" si="16"/>
        <v>0.5665</v>
      </c>
      <c r="M19" s="22">
        <f t="shared" si="16"/>
        <v>0.4305000000000001</v>
      </c>
      <c r="N19" s="22">
        <f t="shared" si="16"/>
        <v>0.49</v>
      </c>
      <c r="O19" s="22">
        <f t="shared" si="16"/>
        <v>0.63449999999999995</v>
      </c>
      <c r="P19" s="22">
        <f t="shared" si="16"/>
        <v>0.41350000000000009</v>
      </c>
      <c r="Q19" s="22">
        <f t="shared" si="16"/>
        <v>0.41350000000000009</v>
      </c>
      <c r="R19" s="22">
        <f t="shared" si="16"/>
        <v>0.26050000000000006</v>
      </c>
      <c r="S19" s="22">
        <f t="shared" si="16"/>
        <v>0.26050000000000006</v>
      </c>
      <c r="T19" s="21">
        <f t="shared" si="16"/>
        <v>0.27750000000000008</v>
      </c>
      <c r="U19" s="24">
        <f t="shared" si="16"/>
        <v>0.40500000000000003</v>
      </c>
      <c r="V19" s="22">
        <f t="shared" si="16"/>
        <v>0.31999999999999995</v>
      </c>
      <c r="W19" s="24">
        <f t="shared" si="16"/>
        <v>0.46450000000000002</v>
      </c>
      <c r="X19" s="24">
        <f t="shared" si="16"/>
        <v>0.46450000000000002</v>
      </c>
      <c r="Y19" s="22">
        <f t="shared" si="16"/>
        <v>0.57499999999999996</v>
      </c>
      <c r="Z19" s="22">
        <f t="shared" si="16"/>
        <v>0.57499999999999996</v>
      </c>
    </row>
    <row r="20" spans="1:26" x14ac:dyDescent="0.3">
      <c r="A20" s="14" t="s">
        <v>20</v>
      </c>
      <c r="B20" s="14" t="s">
        <v>32</v>
      </c>
      <c r="C20" s="16">
        <v>0.3</v>
      </c>
      <c r="D20" s="20">
        <f t="shared" si="1"/>
        <v>0.7</v>
      </c>
      <c r="E20" s="24">
        <f>1-+$D$20*E2</f>
        <v>0.54500000000000004</v>
      </c>
      <c r="F20" s="24">
        <f t="shared" ref="F20:Z20" si="17">1-+$D$20*F2</f>
        <v>0.72</v>
      </c>
      <c r="G20" s="24">
        <f t="shared" si="17"/>
        <v>0.82499999999999996</v>
      </c>
      <c r="H20" s="24">
        <f t="shared" si="17"/>
        <v>0.8600000000000001</v>
      </c>
      <c r="I20" s="24">
        <f t="shared" si="17"/>
        <v>0.68500000000000005</v>
      </c>
      <c r="J20" s="24">
        <f t="shared" si="17"/>
        <v>0.51</v>
      </c>
      <c r="K20" s="22">
        <f t="shared" si="17"/>
        <v>0.67800000000000005</v>
      </c>
      <c r="L20" s="22">
        <f t="shared" si="17"/>
        <v>0.64300000000000002</v>
      </c>
      <c r="M20" s="24">
        <f t="shared" si="17"/>
        <v>0.53100000000000014</v>
      </c>
      <c r="N20" s="24">
        <f t="shared" si="17"/>
        <v>0.58000000000000007</v>
      </c>
      <c r="O20" s="24">
        <f t="shared" si="17"/>
        <v>0.69900000000000007</v>
      </c>
      <c r="P20" s="26">
        <f t="shared" si="17"/>
        <v>0.51700000000000013</v>
      </c>
      <c r="Q20" s="25">
        <f t="shared" si="17"/>
        <v>0.51700000000000013</v>
      </c>
      <c r="R20" s="25">
        <f t="shared" si="17"/>
        <v>0.39100000000000001</v>
      </c>
      <c r="S20" s="24">
        <f t="shared" si="17"/>
        <v>0.39100000000000001</v>
      </c>
      <c r="T20" s="22">
        <f t="shared" si="17"/>
        <v>0.40500000000000003</v>
      </c>
      <c r="U20" s="21">
        <f t="shared" si="17"/>
        <v>0.51</v>
      </c>
      <c r="V20" s="22">
        <f t="shared" si="17"/>
        <v>0.44000000000000006</v>
      </c>
      <c r="W20" s="25">
        <f t="shared" si="17"/>
        <v>0.55900000000000005</v>
      </c>
      <c r="X20" s="25">
        <f t="shared" si="17"/>
        <v>0.55900000000000005</v>
      </c>
      <c r="Y20" s="25">
        <f t="shared" si="17"/>
        <v>0.65</v>
      </c>
      <c r="Z20" s="24">
        <f t="shared" si="17"/>
        <v>0.65</v>
      </c>
    </row>
    <row r="21" spans="1:26" x14ac:dyDescent="0.3">
      <c r="A21" s="14" t="s">
        <v>21</v>
      </c>
      <c r="B21" s="14" t="s">
        <v>37</v>
      </c>
      <c r="C21" s="16">
        <v>0.2</v>
      </c>
      <c r="D21" s="20">
        <f t="shared" si="1"/>
        <v>0.8</v>
      </c>
      <c r="E21" s="24">
        <f>1-+$D$21*E2</f>
        <v>0.48</v>
      </c>
      <c r="F21" s="24">
        <f t="shared" ref="F21:Z21" si="18">1-+$D$21*F2</f>
        <v>0.67999999999999994</v>
      </c>
      <c r="G21" s="24">
        <f t="shared" si="18"/>
        <v>0.8</v>
      </c>
      <c r="H21" s="24">
        <f t="shared" si="18"/>
        <v>0.84000000000000008</v>
      </c>
      <c r="I21" s="24">
        <f t="shared" si="18"/>
        <v>0.64</v>
      </c>
      <c r="J21" s="24">
        <f t="shared" si="18"/>
        <v>0.44000000000000006</v>
      </c>
      <c r="K21" s="22">
        <f t="shared" si="18"/>
        <v>0.63200000000000001</v>
      </c>
      <c r="L21" s="22">
        <f t="shared" si="18"/>
        <v>0.59199999999999997</v>
      </c>
      <c r="M21" s="24">
        <f t="shared" si="18"/>
        <v>0.46400000000000008</v>
      </c>
      <c r="N21" s="24">
        <f t="shared" si="18"/>
        <v>0.52</v>
      </c>
      <c r="O21" s="24">
        <f t="shared" si="18"/>
        <v>0.65599999999999992</v>
      </c>
      <c r="P21" s="26">
        <f t="shared" si="18"/>
        <v>0.44800000000000006</v>
      </c>
      <c r="Q21" s="25">
        <f t="shared" si="18"/>
        <v>0.44800000000000006</v>
      </c>
      <c r="R21" s="25">
        <f t="shared" si="18"/>
        <v>0.30399999999999994</v>
      </c>
      <c r="S21" s="24">
        <f t="shared" si="18"/>
        <v>0.30399999999999994</v>
      </c>
      <c r="T21" s="22">
        <f t="shared" si="18"/>
        <v>0.31999999999999995</v>
      </c>
      <c r="U21" s="22">
        <f t="shared" si="18"/>
        <v>0.44000000000000006</v>
      </c>
      <c r="V21" s="21">
        <f t="shared" si="18"/>
        <v>0.35999999999999988</v>
      </c>
      <c r="W21" s="25">
        <f t="shared" si="18"/>
        <v>0.496</v>
      </c>
      <c r="X21" s="25">
        <f t="shared" si="18"/>
        <v>0.496</v>
      </c>
      <c r="Y21" s="25">
        <f t="shared" si="18"/>
        <v>0.6</v>
      </c>
      <c r="Z21" s="24">
        <f t="shared" si="18"/>
        <v>0.6</v>
      </c>
    </row>
    <row r="22" spans="1:26" x14ac:dyDescent="0.3">
      <c r="A22" s="14" t="s">
        <v>22</v>
      </c>
      <c r="B22" s="14" t="s">
        <v>50</v>
      </c>
      <c r="C22" s="16">
        <v>0.37</v>
      </c>
      <c r="D22" s="20">
        <f t="shared" si="1"/>
        <v>0.63</v>
      </c>
      <c r="E22" s="24">
        <f>1-+$D$22*E2</f>
        <v>0.59050000000000002</v>
      </c>
      <c r="F22" s="22">
        <f t="shared" ref="F22:Z22" si="19">1-+$D$22*F2</f>
        <v>0.748</v>
      </c>
      <c r="G22" s="22">
        <f t="shared" si="19"/>
        <v>0.84250000000000003</v>
      </c>
      <c r="H22" s="22">
        <f t="shared" si="19"/>
        <v>0.874</v>
      </c>
      <c r="I22" s="26">
        <f t="shared" si="19"/>
        <v>0.71650000000000003</v>
      </c>
      <c r="J22" s="26">
        <f t="shared" si="19"/>
        <v>0.55900000000000005</v>
      </c>
      <c r="K22" s="22">
        <f t="shared" si="19"/>
        <v>0.71019999999999994</v>
      </c>
      <c r="L22" s="24">
        <f t="shared" si="19"/>
        <v>0.67869999999999997</v>
      </c>
      <c r="M22" s="24">
        <f t="shared" si="19"/>
        <v>0.57790000000000008</v>
      </c>
      <c r="N22" s="24">
        <f t="shared" si="19"/>
        <v>0.622</v>
      </c>
      <c r="O22" s="24">
        <f t="shared" si="19"/>
        <v>0.72909999999999997</v>
      </c>
      <c r="P22" s="22">
        <f t="shared" si="19"/>
        <v>0.56530000000000002</v>
      </c>
      <c r="Q22" s="22">
        <f t="shared" si="19"/>
        <v>0.56530000000000002</v>
      </c>
      <c r="R22" s="22">
        <f t="shared" si="19"/>
        <v>0.45189999999999997</v>
      </c>
      <c r="S22" s="22">
        <f t="shared" si="19"/>
        <v>0.45189999999999997</v>
      </c>
      <c r="T22" s="22">
        <f t="shared" si="19"/>
        <v>0.46450000000000002</v>
      </c>
      <c r="U22" s="25">
        <f t="shared" si="19"/>
        <v>0.55900000000000005</v>
      </c>
      <c r="V22" s="25">
        <f t="shared" si="19"/>
        <v>0.496</v>
      </c>
      <c r="W22" s="21">
        <f t="shared" si="19"/>
        <v>0.60309999999999997</v>
      </c>
      <c r="X22" s="21">
        <f t="shared" si="19"/>
        <v>0.60309999999999997</v>
      </c>
      <c r="Y22" s="22">
        <f t="shared" si="19"/>
        <v>0.68500000000000005</v>
      </c>
      <c r="Z22" s="22">
        <f t="shared" si="19"/>
        <v>0.68500000000000005</v>
      </c>
    </row>
    <row r="23" spans="1:26" x14ac:dyDescent="0.3">
      <c r="A23" s="14" t="s">
        <v>23</v>
      </c>
      <c r="B23" s="14" t="s">
        <v>51</v>
      </c>
      <c r="C23" s="16">
        <v>0.37</v>
      </c>
      <c r="D23" s="20">
        <f t="shared" si="1"/>
        <v>0.63</v>
      </c>
      <c r="E23" s="24">
        <f>1-+$D$23*E2</f>
        <v>0.59050000000000002</v>
      </c>
      <c r="F23" s="22">
        <f t="shared" ref="F23:Z23" si="20">1-+$D$23*F2</f>
        <v>0.748</v>
      </c>
      <c r="G23" s="22">
        <f t="shared" si="20"/>
        <v>0.84250000000000003</v>
      </c>
      <c r="H23" s="22">
        <f t="shared" si="20"/>
        <v>0.874</v>
      </c>
      <c r="I23" s="26">
        <f t="shared" si="20"/>
        <v>0.71650000000000003</v>
      </c>
      <c r="J23" s="26">
        <f t="shared" si="20"/>
        <v>0.55900000000000005</v>
      </c>
      <c r="K23" s="22">
        <f t="shared" si="20"/>
        <v>0.71019999999999994</v>
      </c>
      <c r="L23" s="24">
        <f t="shared" si="20"/>
        <v>0.67869999999999997</v>
      </c>
      <c r="M23" s="24">
        <f t="shared" si="20"/>
        <v>0.57790000000000008</v>
      </c>
      <c r="N23" s="24">
        <f t="shared" si="20"/>
        <v>0.622</v>
      </c>
      <c r="O23" s="24">
        <f t="shared" si="20"/>
        <v>0.72909999999999997</v>
      </c>
      <c r="P23" s="22">
        <f t="shared" si="20"/>
        <v>0.56530000000000002</v>
      </c>
      <c r="Q23" s="22">
        <f t="shared" si="20"/>
        <v>0.56530000000000002</v>
      </c>
      <c r="R23" s="22">
        <f t="shared" si="20"/>
        <v>0.45189999999999997</v>
      </c>
      <c r="S23" s="22">
        <f t="shared" si="20"/>
        <v>0.45189999999999997</v>
      </c>
      <c r="T23" s="22">
        <f t="shared" si="20"/>
        <v>0.46450000000000002</v>
      </c>
      <c r="U23" s="25">
        <f t="shared" si="20"/>
        <v>0.55900000000000005</v>
      </c>
      <c r="V23" s="25">
        <f t="shared" si="20"/>
        <v>0.496</v>
      </c>
      <c r="W23" s="21">
        <f t="shared" si="20"/>
        <v>0.60309999999999997</v>
      </c>
      <c r="X23" s="21">
        <f t="shared" si="20"/>
        <v>0.60309999999999997</v>
      </c>
      <c r="Y23" s="22">
        <f t="shared" si="20"/>
        <v>0.68500000000000005</v>
      </c>
      <c r="Z23" s="22">
        <f t="shared" si="20"/>
        <v>0.68500000000000005</v>
      </c>
    </row>
    <row r="24" spans="1:26" x14ac:dyDescent="0.3">
      <c r="A24" s="14" t="s">
        <v>24</v>
      </c>
      <c r="B24" s="14" t="s">
        <v>52</v>
      </c>
      <c r="C24" s="16">
        <v>0.5</v>
      </c>
      <c r="D24" s="20">
        <f t="shared" si="1"/>
        <v>0.5</v>
      </c>
      <c r="E24" s="25">
        <f>1-+$D$24*E2</f>
        <v>0.67500000000000004</v>
      </c>
      <c r="F24" s="22">
        <f t="shared" ref="F24:Z24" si="21">1-+$D$24*F2</f>
        <v>0.8</v>
      </c>
      <c r="G24" s="22">
        <f t="shared" si="21"/>
        <v>0.875</v>
      </c>
      <c r="H24" s="22">
        <f t="shared" si="21"/>
        <v>0.9</v>
      </c>
      <c r="I24" s="26">
        <f t="shared" si="21"/>
        <v>0.77500000000000002</v>
      </c>
      <c r="J24" s="26">
        <f t="shared" si="21"/>
        <v>0.65</v>
      </c>
      <c r="K24" s="22">
        <f t="shared" si="21"/>
        <v>0.77</v>
      </c>
      <c r="L24" s="24">
        <f t="shared" si="21"/>
        <v>0.745</v>
      </c>
      <c r="M24" s="24">
        <f t="shared" si="21"/>
        <v>0.66500000000000004</v>
      </c>
      <c r="N24" s="24">
        <f t="shared" si="21"/>
        <v>0.7</v>
      </c>
      <c r="O24" s="24">
        <f t="shared" si="21"/>
        <v>0.78499999999999992</v>
      </c>
      <c r="P24" s="22">
        <f t="shared" si="21"/>
        <v>0.65500000000000003</v>
      </c>
      <c r="Q24" s="22">
        <f t="shared" si="21"/>
        <v>0.65500000000000003</v>
      </c>
      <c r="R24" s="22">
        <f t="shared" si="21"/>
        <v>0.56499999999999995</v>
      </c>
      <c r="S24" s="22">
        <f t="shared" si="21"/>
        <v>0.56499999999999995</v>
      </c>
      <c r="T24" s="22">
        <f t="shared" si="21"/>
        <v>0.57499999999999996</v>
      </c>
      <c r="U24" s="25">
        <f t="shared" si="21"/>
        <v>0.65</v>
      </c>
      <c r="V24" s="25">
        <f t="shared" si="21"/>
        <v>0.6</v>
      </c>
      <c r="W24" s="22">
        <f t="shared" si="21"/>
        <v>0.68500000000000005</v>
      </c>
      <c r="X24" s="22">
        <f t="shared" si="21"/>
        <v>0.68500000000000005</v>
      </c>
      <c r="Y24" s="21">
        <f t="shared" si="21"/>
        <v>0.75</v>
      </c>
      <c r="Z24" s="21">
        <f t="shared" si="21"/>
        <v>0.75</v>
      </c>
    </row>
    <row r="25" spans="1:26" x14ac:dyDescent="0.3">
      <c r="A25" s="14" t="s">
        <v>25</v>
      </c>
      <c r="B25" s="14" t="s">
        <v>53</v>
      </c>
      <c r="C25" s="16">
        <v>0.5</v>
      </c>
      <c r="D25" s="20">
        <f t="shared" si="1"/>
        <v>0.5</v>
      </c>
      <c r="E25" s="25">
        <f>1-+$D$25*E2</f>
        <v>0.67500000000000004</v>
      </c>
      <c r="F25" s="22">
        <f t="shared" ref="F25:Z25" si="22">1-+$D$25*F2</f>
        <v>0.8</v>
      </c>
      <c r="G25" s="22">
        <f t="shared" si="22"/>
        <v>0.875</v>
      </c>
      <c r="H25" s="22">
        <f t="shared" si="22"/>
        <v>0.9</v>
      </c>
      <c r="I25" s="26">
        <f t="shared" si="22"/>
        <v>0.77500000000000002</v>
      </c>
      <c r="J25" s="26">
        <f t="shared" si="22"/>
        <v>0.65</v>
      </c>
      <c r="K25" s="22">
        <f t="shared" si="22"/>
        <v>0.77</v>
      </c>
      <c r="L25" s="24">
        <f t="shared" si="22"/>
        <v>0.745</v>
      </c>
      <c r="M25" s="25">
        <f t="shared" si="22"/>
        <v>0.66500000000000004</v>
      </c>
      <c r="N25" s="24">
        <f t="shared" si="22"/>
        <v>0.7</v>
      </c>
      <c r="O25" s="25">
        <f t="shared" si="22"/>
        <v>0.78499999999999992</v>
      </c>
      <c r="P25" s="22">
        <f t="shared" si="22"/>
        <v>0.65500000000000003</v>
      </c>
      <c r="Q25" s="22">
        <f t="shared" si="22"/>
        <v>0.65500000000000003</v>
      </c>
      <c r="R25" s="22">
        <f t="shared" si="22"/>
        <v>0.56499999999999995</v>
      </c>
      <c r="S25" s="22">
        <f t="shared" si="22"/>
        <v>0.56499999999999995</v>
      </c>
      <c r="T25" s="22">
        <f t="shared" si="22"/>
        <v>0.57499999999999996</v>
      </c>
      <c r="U25" s="24">
        <f t="shared" si="22"/>
        <v>0.65</v>
      </c>
      <c r="V25" s="24">
        <f t="shared" si="22"/>
        <v>0.6</v>
      </c>
      <c r="W25" s="22">
        <f t="shared" si="22"/>
        <v>0.68500000000000005</v>
      </c>
      <c r="X25" s="22">
        <f t="shared" si="22"/>
        <v>0.68500000000000005</v>
      </c>
      <c r="Y25" s="21">
        <f t="shared" si="22"/>
        <v>0.75</v>
      </c>
      <c r="Z25" s="21">
        <f t="shared" si="22"/>
        <v>0.75</v>
      </c>
    </row>
    <row r="26" spans="1:26" x14ac:dyDescent="0.3">
      <c r="E26" s="17"/>
      <c r="F26" s="17"/>
      <c r="G26" s="17"/>
      <c r="H26" s="17"/>
      <c r="I26" s="28"/>
      <c r="J26" s="28"/>
      <c r="K26" s="17"/>
      <c r="L26" s="17"/>
      <c r="M26" s="17"/>
      <c r="N26" s="17"/>
      <c r="O26" s="17"/>
      <c r="P26" s="17"/>
      <c r="Q26" s="17"/>
      <c r="R26" s="17"/>
      <c r="S26" s="29"/>
    </row>
    <row r="27" spans="1:26" x14ac:dyDescent="0.3">
      <c r="E27" s="17"/>
      <c r="F27" s="17"/>
      <c r="G27" s="17"/>
      <c r="H27" s="17"/>
      <c r="I27" s="28"/>
      <c r="J27" s="28"/>
      <c r="K27" s="17"/>
      <c r="L27" s="17"/>
      <c r="M27" s="17"/>
      <c r="N27" s="17"/>
      <c r="O27" s="17"/>
      <c r="P27" s="17"/>
      <c r="Q27" s="17"/>
      <c r="R27" s="17"/>
      <c r="S27" s="17"/>
    </row>
    <row r="28" spans="1:26" x14ac:dyDescent="0.3">
      <c r="B28" s="14" t="s">
        <v>38</v>
      </c>
      <c r="E28" s="29"/>
      <c r="F28" s="29"/>
      <c r="G28" s="29"/>
      <c r="H28" s="29"/>
      <c r="I28" s="28"/>
      <c r="J28" s="28"/>
      <c r="K28" s="17"/>
      <c r="L28" s="17"/>
      <c r="M28" s="17"/>
      <c r="N28" s="17"/>
      <c r="O28" s="17"/>
      <c r="P28" s="17"/>
      <c r="Q28" s="17"/>
      <c r="R28" s="17"/>
      <c r="S28" s="17"/>
    </row>
    <row r="29" spans="1:26" x14ac:dyDescent="0.3">
      <c r="B29" s="14" t="s">
        <v>39</v>
      </c>
      <c r="C29" s="16" t="s">
        <v>40</v>
      </c>
      <c r="E29" s="17"/>
      <c r="F29" s="17"/>
      <c r="G29" s="17"/>
      <c r="H29" s="17"/>
      <c r="I29" s="28"/>
      <c r="J29" s="28"/>
      <c r="K29" s="17"/>
      <c r="L29" s="17"/>
      <c r="M29" s="17"/>
      <c r="N29" s="17"/>
      <c r="O29" s="17"/>
      <c r="P29" s="17"/>
      <c r="Q29" s="17"/>
      <c r="R29" s="17"/>
      <c r="S29" s="29"/>
    </row>
    <row r="30" spans="1:26" x14ac:dyDescent="0.3">
      <c r="B30" s="14" t="s">
        <v>41</v>
      </c>
      <c r="C30" s="16" t="s">
        <v>42</v>
      </c>
      <c r="E30" s="29"/>
      <c r="F30" s="29"/>
      <c r="G30" s="29"/>
      <c r="H30" s="29"/>
      <c r="I30" s="28"/>
      <c r="J30" s="28"/>
      <c r="K30" s="17"/>
      <c r="L30" s="17"/>
      <c r="M30" s="17"/>
      <c r="N30" s="17"/>
      <c r="O30" s="17"/>
      <c r="P30" s="17"/>
      <c r="Q30" s="17"/>
      <c r="R30" s="17"/>
      <c r="S30" s="29"/>
    </row>
    <row r="31" spans="1:26" x14ac:dyDescent="0.3">
      <c r="B31" s="14" t="s">
        <v>43</v>
      </c>
      <c r="C31" s="16" t="s">
        <v>44</v>
      </c>
      <c r="E31" s="29"/>
      <c r="F31" s="29"/>
      <c r="G31" s="29"/>
      <c r="H31" s="29"/>
      <c r="I31" s="28"/>
      <c r="J31" s="28"/>
      <c r="K31" s="17"/>
      <c r="L31" s="17"/>
      <c r="M31" s="17"/>
      <c r="N31" s="17"/>
      <c r="O31" s="17"/>
      <c r="P31" s="17"/>
      <c r="Q31" s="17"/>
      <c r="R31" s="17"/>
      <c r="S31" s="29"/>
    </row>
    <row r="32" spans="1:26" x14ac:dyDescent="0.3">
      <c r="B32" s="14" t="s">
        <v>95</v>
      </c>
      <c r="E32" s="17"/>
      <c r="F32" s="17"/>
      <c r="G32" s="17"/>
      <c r="H32" s="17"/>
      <c r="I32" s="28"/>
      <c r="J32" s="28"/>
      <c r="K32" s="17"/>
      <c r="L32" s="17"/>
      <c r="M32" s="17"/>
      <c r="N32" s="17"/>
      <c r="O32" s="17"/>
      <c r="P32" s="17"/>
      <c r="Q32" s="17"/>
      <c r="R32" s="17"/>
      <c r="S32" s="29"/>
    </row>
    <row r="33" spans="2:19" x14ac:dyDescent="0.3">
      <c r="B33" s="14" t="s">
        <v>189</v>
      </c>
      <c r="C33" s="16" t="s">
        <v>98</v>
      </c>
      <c r="E33" s="17"/>
      <c r="F33" s="17"/>
      <c r="G33" s="17"/>
      <c r="H33" s="17"/>
      <c r="I33" s="28"/>
      <c r="J33" s="28"/>
      <c r="K33" s="17"/>
      <c r="L33" s="17"/>
      <c r="M33" s="17"/>
      <c r="N33" s="17"/>
      <c r="O33" s="17"/>
      <c r="P33" s="17"/>
      <c r="Q33" s="17"/>
      <c r="R33" s="17"/>
      <c r="S33" s="29"/>
    </row>
    <row r="34" spans="2:19" x14ac:dyDescent="0.3">
      <c r="B34" s="14" t="s">
        <v>190</v>
      </c>
      <c r="E34" s="17"/>
      <c r="F34" s="17"/>
      <c r="G34" s="17"/>
      <c r="H34" s="17"/>
      <c r="I34" s="28"/>
      <c r="J34" s="28"/>
      <c r="K34" s="17"/>
      <c r="L34" s="17"/>
      <c r="M34" s="17"/>
      <c r="N34" s="17"/>
      <c r="O34" s="17"/>
      <c r="P34" s="17"/>
      <c r="Q34" s="17"/>
      <c r="R34" s="17"/>
      <c r="S34" s="29"/>
    </row>
    <row r="35" spans="2:19" x14ac:dyDescent="0.3">
      <c r="B35" s="14" t="s">
        <v>82</v>
      </c>
      <c r="C35" s="16" t="s">
        <v>99</v>
      </c>
      <c r="E35" s="17"/>
      <c r="F35" s="17"/>
      <c r="G35" s="17"/>
      <c r="H35" s="17"/>
      <c r="I35" s="28"/>
      <c r="J35" s="28"/>
      <c r="K35" s="17"/>
      <c r="L35" s="17"/>
      <c r="M35" s="17"/>
      <c r="N35" s="17"/>
      <c r="O35" s="17"/>
      <c r="P35" s="17"/>
      <c r="Q35" s="17"/>
      <c r="R35" s="17"/>
      <c r="S35" s="17"/>
    </row>
    <row r="36" spans="2:19" x14ac:dyDescent="0.3">
      <c r="B36" s="14" t="s">
        <v>83</v>
      </c>
      <c r="E36" s="29"/>
      <c r="F36" s="29"/>
      <c r="G36" s="29"/>
      <c r="H36" s="29"/>
      <c r="I36" s="29"/>
      <c r="J36" s="29"/>
      <c r="K36" s="17"/>
      <c r="L36" s="17"/>
      <c r="M36" s="29"/>
      <c r="N36" s="29"/>
      <c r="O36" s="17"/>
      <c r="P36" s="17"/>
      <c r="Q36" s="17"/>
      <c r="R36" s="17"/>
      <c r="S36" s="17"/>
    </row>
    <row r="37" spans="2:19" x14ac:dyDescent="0.3">
      <c r="B37" s="14" t="s">
        <v>84</v>
      </c>
      <c r="C37" s="14" t="s">
        <v>95</v>
      </c>
      <c r="E37" s="17"/>
      <c r="F37" s="17"/>
      <c r="G37" s="17"/>
      <c r="H37" s="17"/>
      <c r="I37" s="17"/>
      <c r="J37" s="17"/>
      <c r="K37" s="17"/>
      <c r="L37" s="17"/>
      <c r="M37" s="17"/>
      <c r="N37" s="17"/>
      <c r="O37" s="17"/>
      <c r="P37" s="17"/>
      <c r="Q37" s="17"/>
      <c r="R37" s="17"/>
      <c r="S37" s="17"/>
    </row>
    <row r="38" spans="2:19" x14ac:dyDescent="0.3">
      <c r="B38" s="14" t="s">
        <v>97</v>
      </c>
      <c r="C38" s="14" t="s">
        <v>97</v>
      </c>
      <c r="E38" s="17"/>
      <c r="F38" s="17"/>
      <c r="G38" s="17"/>
      <c r="H38" s="17"/>
      <c r="I38" s="17"/>
      <c r="J38" s="17"/>
      <c r="K38" s="17"/>
      <c r="L38" s="17"/>
      <c r="M38" s="17"/>
      <c r="N38" s="17"/>
      <c r="O38" s="17"/>
      <c r="P38" s="17"/>
      <c r="Q38" s="17"/>
      <c r="R38" s="17"/>
      <c r="S38" s="17"/>
    </row>
    <row r="39" spans="2:19" x14ac:dyDescent="0.3">
      <c r="B39" s="14" t="s">
        <v>85</v>
      </c>
      <c r="C39" s="14" t="s">
        <v>85</v>
      </c>
      <c r="E39" s="17"/>
      <c r="F39" s="17"/>
      <c r="G39" s="17"/>
      <c r="H39" s="17"/>
      <c r="I39" s="17"/>
      <c r="J39" s="17"/>
      <c r="K39" s="17"/>
      <c r="L39" s="17"/>
      <c r="M39" s="17"/>
      <c r="N39" s="17"/>
      <c r="O39" s="17"/>
      <c r="P39" s="17"/>
      <c r="Q39" s="17"/>
      <c r="R39" s="17"/>
      <c r="S39" s="17"/>
    </row>
    <row r="40" spans="2:19" x14ac:dyDescent="0.3">
      <c r="B40" s="14" t="s">
        <v>86</v>
      </c>
      <c r="C40" s="14" t="s">
        <v>86</v>
      </c>
      <c r="E40" s="17"/>
      <c r="F40" s="17"/>
      <c r="G40" s="17"/>
      <c r="H40" s="17"/>
      <c r="I40" s="17"/>
      <c r="J40" s="17"/>
      <c r="K40" s="17"/>
      <c r="L40" s="17"/>
      <c r="M40" s="17"/>
      <c r="N40" s="17"/>
      <c r="O40" s="17"/>
      <c r="P40" s="17"/>
      <c r="Q40" s="17"/>
      <c r="R40" s="17"/>
      <c r="S40" s="17"/>
    </row>
    <row r="41" spans="2:19" x14ac:dyDescent="0.3">
      <c r="B41" s="14" t="s">
        <v>177</v>
      </c>
      <c r="E41" s="17"/>
      <c r="F41" s="17"/>
      <c r="G41" s="17"/>
      <c r="H41" s="17"/>
      <c r="I41" s="17"/>
      <c r="J41" s="17"/>
      <c r="K41" s="17"/>
      <c r="L41" s="17"/>
      <c r="M41" s="17"/>
      <c r="N41" s="17"/>
      <c r="O41" s="17"/>
      <c r="P41" s="17"/>
      <c r="Q41" s="17"/>
      <c r="R41" s="17"/>
      <c r="S41" s="17"/>
    </row>
    <row r="42" spans="2:19" x14ac:dyDescent="0.3">
      <c r="B42" s="14" t="s">
        <v>88</v>
      </c>
      <c r="C42" s="16" t="s">
        <v>98</v>
      </c>
    </row>
    <row r="43" spans="2:19" x14ac:dyDescent="0.3">
      <c r="B43" s="14" t="s">
        <v>87</v>
      </c>
      <c r="C43" s="16" t="s">
        <v>100</v>
      </c>
    </row>
    <row r="44" spans="2:19" x14ac:dyDescent="0.3">
      <c r="B44" s="14" t="s">
        <v>89</v>
      </c>
      <c r="C44" s="16" t="s">
        <v>101</v>
      </c>
    </row>
    <row r="45" spans="2:19" x14ac:dyDescent="0.3">
      <c r="B45" s="14" t="s">
        <v>90</v>
      </c>
      <c r="C45" s="16" t="s">
        <v>102</v>
      </c>
    </row>
    <row r="46" spans="2:19" x14ac:dyDescent="0.3">
      <c r="B46" s="14" t="s">
        <v>91</v>
      </c>
    </row>
    <row r="47" spans="2:19" x14ac:dyDescent="0.3">
      <c r="B47" s="14" t="s">
        <v>92</v>
      </c>
    </row>
    <row r="49" spans="2:3" x14ac:dyDescent="0.3">
      <c r="B49" s="14" t="s">
        <v>103</v>
      </c>
    </row>
    <row r="50" spans="2:3" x14ac:dyDescent="0.3">
      <c r="B50" s="14" t="s">
        <v>104</v>
      </c>
    </row>
    <row r="52" spans="2:3" x14ac:dyDescent="0.3">
      <c r="B52" s="14" t="s">
        <v>80</v>
      </c>
      <c r="C52" s="16" t="s">
        <v>80</v>
      </c>
    </row>
    <row r="53" spans="2:3" x14ac:dyDescent="0.3">
      <c r="B53" s="14" t="s">
        <v>81</v>
      </c>
      <c r="C53" s="16" t="s">
        <v>81</v>
      </c>
    </row>
    <row r="54" spans="2:3" x14ac:dyDescent="0.3">
      <c r="C54" s="16" t="str">
        <f>IF('OPFOK OUDERDIEREN'!$L$20="geen techniek","GEEN TECHNIEK","JA")</f>
        <v>GEEN TECHNIEK</v>
      </c>
    </row>
    <row r="55" spans="2:3" x14ac:dyDescent="0.3">
      <c r="B55" s="14" t="s">
        <v>196</v>
      </c>
      <c r="C55" s="16" t="s">
        <v>81</v>
      </c>
    </row>
    <row r="56" spans="2:3" x14ac:dyDescent="0.3">
      <c r="B56" s="14" t="s">
        <v>194</v>
      </c>
    </row>
    <row r="57" spans="2:3" x14ac:dyDescent="0.3">
      <c r="B57" s="14" t="s">
        <v>195</v>
      </c>
    </row>
  </sheetData>
  <sheetProtection algorithmName="SHA-512" hashValue="rgAKydoslT4plhj7LtRbozwXq89VfBg68s3sZwqt9b5szn3AnyiMVDip3mfLepIUT6c90YemRm0QJVWOGe8RPw==" saltValue="M1qIehTByWrdT3beCwHNPg==" spinCount="100000" sheet="1" objects="1" scenarios="1"/>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OPFOK OUDERDIEREN</vt:lpstr>
      <vt:lpstr>Staltechniek</vt:lpstr>
      <vt:lpstr>wisselend debiet_opfok</vt:lpstr>
      <vt:lpstr>Max waarden</vt:lpstr>
      <vt:lpstr>Reductietechnieken</vt:lpstr>
      <vt:lpstr>'OPFOK OUDERDIEREN'!Print_Area</vt:lpstr>
      <vt:lpstr>'wisselend debiet_opfok'!Print_Titles</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Hassan Pishgar</cp:lastModifiedBy>
  <cp:lastPrinted>2023-10-12T12:30:39Z</cp:lastPrinted>
  <dcterms:created xsi:type="dcterms:W3CDTF">2010-11-01T16:40:05Z</dcterms:created>
  <dcterms:modified xsi:type="dcterms:W3CDTF">2026-06-19T12:02:24Z</dcterms:modified>
</cp:coreProperties>
</file>