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G:\wvl\LO_IM\Algemeen\OpdrachtenKR\Landbouw\Bijlage Rav_Rgv_Fijn stof\Wijziging Fijn stof lijst\0. Rekenmodel Vee-combistof\Rekenmodel V2 Excel TEST\"/>
    </mc:Choice>
  </mc:AlternateContent>
  <bookViews>
    <workbookView xWindow="-105" yWindow="-105" windowWidth="23250" windowHeight="12570" tabRatio="632"/>
  </bookViews>
  <sheets>
    <sheet name="VLEESEENDEN" sheetId="18" r:id="rId1"/>
    <sheet name="wisselend debiet_eend" sheetId="19" state="hidden" r:id="rId2"/>
    <sheet name="Max waarden" sheetId="15" state="hidden" r:id="rId3"/>
    <sheet name="Reductietechnieken" sheetId="14" state="hidden" r:id="rId4"/>
    <sheet name="eenden" sheetId="9" state="hidden" r:id="rId5"/>
  </sheets>
  <definedNames>
    <definedName name="_xlnm.Print_Area" localSheetId="0">VLEESEENDEN!$A$1:$Q$34</definedName>
    <definedName name="_xlnm.Print_Titles" localSheetId="1">'wisselend debiet_eend'!$A:$A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 i="18" l="1"/>
  <c r="M21" i="18"/>
  <c r="J25" i="18" l="1"/>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10" i="19"/>
  <c r="C3" i="9"/>
  <c r="I35" i="15" l="1"/>
  <c r="G35" i="15"/>
  <c r="E35" i="15"/>
  <c r="C35" i="15"/>
  <c r="L57" i="19" l="1"/>
  <c r="L53" i="19"/>
  <c r="L49" i="19"/>
  <c r="L45" i="19"/>
  <c r="L41" i="19"/>
  <c r="L37" i="19"/>
  <c r="L33" i="19"/>
  <c r="L29" i="19"/>
  <c r="L25" i="19"/>
  <c r="L21" i="19"/>
  <c r="L17" i="19"/>
  <c r="L13" i="19"/>
  <c r="L56" i="19"/>
  <c r="L52" i="19"/>
  <c r="L48" i="19"/>
  <c r="L44" i="19"/>
  <c r="L40" i="19"/>
  <c r="L36" i="19"/>
  <c r="L32" i="19"/>
  <c r="L28" i="19"/>
  <c r="L24" i="19"/>
  <c r="L20" i="19"/>
  <c r="L16" i="19"/>
  <c r="L12" i="19"/>
  <c r="L10" i="19"/>
  <c r="L55" i="19"/>
  <c r="L51" i="19"/>
  <c r="L47" i="19"/>
  <c r="L43" i="19"/>
  <c r="L39" i="19"/>
  <c r="L35" i="19"/>
  <c r="L31" i="19"/>
  <c r="L27" i="19"/>
  <c r="L23" i="19"/>
  <c r="L19" i="19"/>
  <c r="L15" i="19"/>
  <c r="L11" i="19"/>
  <c r="L58" i="19"/>
  <c r="L54" i="19"/>
  <c r="L50" i="19"/>
  <c r="L46" i="19"/>
  <c r="L42" i="19"/>
  <c r="L38" i="19"/>
  <c r="L34" i="19"/>
  <c r="L30" i="19"/>
  <c r="L26" i="19"/>
  <c r="L22" i="19"/>
  <c r="L18" i="19"/>
  <c r="L14" i="19"/>
  <c r="E23" i="18" l="1"/>
  <c r="H14" i="18"/>
  <c r="I15" i="18" l="1"/>
  <c r="I12" i="18" l="1"/>
  <c r="C54" i="14" l="1"/>
  <c r="E62" i="19" l="1"/>
  <c r="E60" i="19"/>
  <c r="B60" i="19"/>
  <c r="AA24" i="19"/>
  <c r="AA23" i="19"/>
  <c r="AF18" i="19"/>
  <c r="AF19" i="19" s="1"/>
  <c r="AF21" i="19" s="1"/>
  <c r="AE18" i="19"/>
  <c r="AE19" i="19" s="1"/>
  <c r="AE21" i="19" s="1"/>
  <c r="AD18" i="19"/>
  <c r="AD19" i="19" s="1"/>
  <c r="AD21" i="19" s="1"/>
  <c r="AC18" i="19"/>
  <c r="AC19" i="19" s="1"/>
  <c r="AC21" i="19" s="1"/>
  <c r="AF12" i="19"/>
  <c r="AE12" i="19"/>
  <c r="AD12" i="19"/>
  <c r="AC12" i="19"/>
  <c r="AF10" i="19"/>
  <c r="AE10" i="19"/>
  <c r="AD10" i="19"/>
  <c r="AC10" i="19"/>
  <c r="J3" i="19"/>
  <c r="AC13" i="19" l="1"/>
  <c r="AC14" i="19" s="1"/>
  <c r="AD13" i="19" l="1"/>
  <c r="AD14" i="19" s="1"/>
  <c r="O75" i="19" l="1"/>
  <c r="AC22" i="19"/>
  <c r="AC23" i="19" s="1"/>
  <c r="AC24" i="19" s="1"/>
  <c r="AD22" i="19"/>
  <c r="AD23" i="19" s="1"/>
  <c r="AD24" i="19" s="1"/>
  <c r="D33" i="18" l="1"/>
  <c r="E20" i="18"/>
  <c r="E6" i="18"/>
  <c r="F20" i="18" l="1"/>
  <c r="I19" i="18" s="1"/>
  <c r="H19" i="18" l="1"/>
  <c r="F14" i="18"/>
  <c r="M15" i="18" l="1"/>
  <c r="G16" i="18"/>
  <c r="J14" i="18"/>
  <c r="L11" i="18" s="1"/>
  <c r="D25" i="14" l="1"/>
  <c r="D24" i="14"/>
  <c r="D23" i="14"/>
  <c r="D22" i="14"/>
  <c r="D21" i="14"/>
  <c r="D20" i="14"/>
  <c r="D19" i="14"/>
  <c r="D18" i="14"/>
  <c r="S2" i="14" s="1"/>
  <c r="D17" i="14"/>
  <c r="D16" i="14"/>
  <c r="Q2" i="14" s="1"/>
  <c r="D15" i="14"/>
  <c r="P2" i="14" s="1"/>
  <c r="D14" i="14"/>
  <c r="O2" i="14" s="1"/>
  <c r="D13" i="14"/>
  <c r="D12" i="14"/>
  <c r="D11" i="14"/>
  <c r="D10" i="14"/>
  <c r="D9" i="14"/>
  <c r="D8" i="14"/>
  <c r="I2" i="14" s="1"/>
  <c r="D6" i="14"/>
  <c r="D5" i="14"/>
  <c r="G2" i="14" s="1"/>
  <c r="D4" i="14"/>
  <c r="D3" i="14"/>
  <c r="Q3" i="14" s="1"/>
  <c r="U2" i="14"/>
  <c r="U20" i="14" s="1"/>
  <c r="J2" i="14"/>
  <c r="F2" i="14"/>
  <c r="P14" i="14" l="1"/>
  <c r="J24" i="14"/>
  <c r="G21" i="14"/>
  <c r="E2" i="14"/>
  <c r="E6" i="14" s="1"/>
  <c r="Q16" i="14"/>
  <c r="Q4" i="14"/>
  <c r="U12" i="14"/>
  <c r="U23" i="14"/>
  <c r="G9" i="14"/>
  <c r="Q24" i="14"/>
  <c r="F3" i="14"/>
  <c r="G5" i="14"/>
  <c r="J4" i="14"/>
  <c r="Q11" i="14"/>
  <c r="F19" i="14"/>
  <c r="Q22" i="14"/>
  <c r="P6" i="14"/>
  <c r="J9" i="14"/>
  <c r="J15" i="14"/>
  <c r="F16" i="14"/>
  <c r="F20" i="14"/>
  <c r="L2" i="14"/>
  <c r="L6" i="14" s="1"/>
  <c r="W2" i="14"/>
  <c r="W6" i="14" s="1"/>
  <c r="U4" i="14"/>
  <c r="G6" i="14"/>
  <c r="Q6" i="14"/>
  <c r="Q9" i="14"/>
  <c r="F11" i="14"/>
  <c r="F12" i="14"/>
  <c r="G13" i="14"/>
  <c r="U14" i="14"/>
  <c r="J20" i="14"/>
  <c r="F24" i="14"/>
  <c r="H2" i="14"/>
  <c r="H4" i="14" s="1"/>
  <c r="M2" i="14"/>
  <c r="M14" i="14" s="1"/>
  <c r="X2" i="14"/>
  <c r="X22" i="14" s="1"/>
  <c r="F4" i="14"/>
  <c r="H6" i="14"/>
  <c r="U6" i="14"/>
  <c r="F9" i="14"/>
  <c r="J12" i="14"/>
  <c r="U15" i="14"/>
  <c r="Q19" i="14"/>
  <c r="P22" i="14"/>
  <c r="J23" i="14"/>
  <c r="G24" i="14"/>
  <c r="T2" i="14"/>
  <c r="T15" i="14" s="1"/>
  <c r="Y2" i="14"/>
  <c r="Y20" i="14" s="1"/>
  <c r="I24" i="14"/>
  <c r="I16" i="14"/>
  <c r="S24" i="14"/>
  <c r="S22" i="14"/>
  <c r="S16" i="14"/>
  <c r="S14" i="14"/>
  <c r="I4" i="14"/>
  <c r="S4" i="14"/>
  <c r="S8" i="14"/>
  <c r="O8" i="14"/>
  <c r="G8" i="14"/>
  <c r="I8" i="14"/>
  <c r="Q10" i="14"/>
  <c r="I10" i="14"/>
  <c r="U10" i="14"/>
  <c r="P10" i="14"/>
  <c r="J10" i="14"/>
  <c r="S10" i="14"/>
  <c r="I12" i="14"/>
  <c r="S12" i="14"/>
  <c r="I15" i="14"/>
  <c r="I18" i="14"/>
  <c r="U25" i="14"/>
  <c r="Q25" i="14"/>
  <c r="I25" i="14"/>
  <c r="S25" i="14"/>
  <c r="Z2" i="14"/>
  <c r="Z8" i="14" s="1"/>
  <c r="G25" i="14"/>
  <c r="O25" i="14"/>
  <c r="O24" i="14"/>
  <c r="O16" i="14"/>
  <c r="O4" i="14"/>
  <c r="S5" i="14"/>
  <c r="J8" i="14"/>
  <c r="P8" i="14"/>
  <c r="U8" i="14"/>
  <c r="F10" i="14"/>
  <c r="U17" i="14"/>
  <c r="Q17" i="14"/>
  <c r="I17" i="14"/>
  <c r="S17" i="14"/>
  <c r="R2" i="14"/>
  <c r="R22" i="14" s="1"/>
  <c r="G17" i="14"/>
  <c r="O17" i="14"/>
  <c r="S21" i="14"/>
  <c r="S23" i="14"/>
  <c r="O23" i="14"/>
  <c r="G23" i="14"/>
  <c r="Q23" i="14"/>
  <c r="F23" i="14"/>
  <c r="F25" i="14"/>
  <c r="P25" i="14"/>
  <c r="G20" i="14"/>
  <c r="G12" i="14"/>
  <c r="K2" i="14"/>
  <c r="K5" i="14" s="1"/>
  <c r="U24" i="14"/>
  <c r="U16" i="14"/>
  <c r="S3" i="14"/>
  <c r="O3" i="14"/>
  <c r="G3" i="14"/>
  <c r="I3" i="14"/>
  <c r="U5" i="14"/>
  <c r="Q5" i="14"/>
  <c r="I5" i="14"/>
  <c r="J5" i="14"/>
  <c r="O5" i="14"/>
  <c r="S6" i="14"/>
  <c r="F8" i="14"/>
  <c r="Q8" i="14"/>
  <c r="I9" i="14"/>
  <c r="S9" i="14"/>
  <c r="G10" i="14"/>
  <c r="S13" i="14"/>
  <c r="S15" i="14"/>
  <c r="O15" i="14"/>
  <c r="G15" i="14"/>
  <c r="H15" i="14"/>
  <c r="Q15" i="14"/>
  <c r="F15" i="14"/>
  <c r="G16" i="14"/>
  <c r="F17" i="14"/>
  <c r="P17" i="14"/>
  <c r="J18" i="14"/>
  <c r="F18" i="14"/>
  <c r="Q18" i="14"/>
  <c r="G18" i="14"/>
  <c r="U18" i="14"/>
  <c r="P18" i="14"/>
  <c r="O18" i="14"/>
  <c r="O20" i="14"/>
  <c r="G22" i="14"/>
  <c r="P23" i="14"/>
  <c r="J25" i="14"/>
  <c r="Q20" i="14"/>
  <c r="Q12" i="14"/>
  <c r="J3" i="14"/>
  <c r="P3" i="14"/>
  <c r="U3" i="14"/>
  <c r="G4" i="14"/>
  <c r="W4" i="14"/>
  <c r="F5" i="14"/>
  <c r="P5" i="14"/>
  <c r="J6" i="14"/>
  <c r="F6" i="14"/>
  <c r="I6" i="14"/>
  <c r="O6" i="14"/>
  <c r="O9" i="14"/>
  <c r="U9" i="14"/>
  <c r="O10" i="14"/>
  <c r="O12" i="14"/>
  <c r="G14" i="14"/>
  <c r="Q14" i="14"/>
  <c r="P15" i="14"/>
  <c r="J17" i="14"/>
  <c r="S18" i="14"/>
  <c r="I20" i="14"/>
  <c r="S20" i="14"/>
  <c r="U22" i="14"/>
  <c r="I23" i="14"/>
  <c r="W24" i="14"/>
  <c r="S11" i="14"/>
  <c r="O11" i="14"/>
  <c r="G11" i="14"/>
  <c r="I11" i="14"/>
  <c r="U13" i="14"/>
  <c r="Q13" i="14"/>
  <c r="I13" i="14"/>
  <c r="J13" i="14"/>
  <c r="O13" i="14"/>
  <c r="S19" i="14"/>
  <c r="O19" i="14"/>
  <c r="G19" i="14"/>
  <c r="I19" i="14"/>
  <c r="U21" i="14"/>
  <c r="Q21" i="14"/>
  <c r="I21" i="14"/>
  <c r="J21" i="14"/>
  <c r="O21" i="14"/>
  <c r="N2" i="14"/>
  <c r="N8" i="14" s="1"/>
  <c r="V2" i="14"/>
  <c r="P4" i="14"/>
  <c r="P9" i="14"/>
  <c r="J11" i="14"/>
  <c r="P11" i="14"/>
  <c r="U11" i="14"/>
  <c r="F13" i="14"/>
  <c r="P13" i="14"/>
  <c r="J14" i="14"/>
  <c r="F14" i="14"/>
  <c r="I14" i="14"/>
  <c r="O14" i="14"/>
  <c r="J16" i="14"/>
  <c r="J19" i="14"/>
  <c r="P19" i="14"/>
  <c r="U19" i="14"/>
  <c r="F21" i="14"/>
  <c r="P21" i="14"/>
  <c r="J22" i="14"/>
  <c r="F22" i="14"/>
  <c r="I22" i="14"/>
  <c r="O22" i="14"/>
  <c r="P12" i="14"/>
  <c r="P16" i="14"/>
  <c r="H20" i="14"/>
  <c r="P20" i="14"/>
  <c r="P24" i="14"/>
  <c r="E17" i="14" l="1"/>
  <c r="W12" i="14"/>
  <c r="E5" i="14"/>
  <c r="E22" i="14"/>
  <c r="W17" i="14"/>
  <c r="E12" i="14"/>
  <c r="Y17" i="14"/>
  <c r="W20" i="14"/>
  <c r="W18" i="14"/>
  <c r="W15" i="14"/>
  <c r="E16" i="14"/>
  <c r="H14" i="14"/>
  <c r="H25" i="14"/>
  <c r="H24" i="14"/>
  <c r="Z3" i="14"/>
  <c r="E11" i="14"/>
  <c r="E13" i="14"/>
  <c r="E19" i="14"/>
  <c r="W10" i="14"/>
  <c r="T9" i="14"/>
  <c r="E21" i="14"/>
  <c r="T13" i="14"/>
  <c r="E15" i="14"/>
  <c r="E9" i="14"/>
  <c r="E14" i="14"/>
  <c r="W3" i="14"/>
  <c r="E20" i="14"/>
  <c r="E4" i="14"/>
  <c r="E25" i="14"/>
  <c r="E10" i="14"/>
  <c r="W8" i="14"/>
  <c r="M22" i="14"/>
  <c r="E24" i="14"/>
  <c r="H12" i="14"/>
  <c r="T14" i="14"/>
  <c r="T21" i="14"/>
  <c r="H18" i="14"/>
  <c r="H10" i="14"/>
  <c r="E3" i="14"/>
  <c r="E23" i="14"/>
  <c r="E18" i="14"/>
  <c r="L18" i="14"/>
  <c r="M5" i="14"/>
  <c r="W23" i="14"/>
  <c r="H17" i="14"/>
  <c r="M9" i="14"/>
  <c r="E8" i="14"/>
  <c r="H11" i="14"/>
  <c r="W22" i="14"/>
  <c r="L16" i="14"/>
  <c r="R14" i="14"/>
  <c r="L4" i="14"/>
  <c r="L11" i="14"/>
  <c r="R18" i="14"/>
  <c r="Y15" i="14"/>
  <c r="L8" i="14"/>
  <c r="L23" i="14"/>
  <c r="L22" i="14"/>
  <c r="L20" i="14"/>
  <c r="L9" i="14"/>
  <c r="T17" i="14"/>
  <c r="L17" i="14"/>
  <c r="Y16" i="14"/>
  <c r="X13" i="14"/>
  <c r="L24" i="14"/>
  <c r="L12" i="14"/>
  <c r="T4" i="14"/>
  <c r="Y21" i="14"/>
  <c r="T6" i="14"/>
  <c r="L15" i="14"/>
  <c r="T3" i="14"/>
  <c r="X23" i="14"/>
  <c r="X18" i="14"/>
  <c r="X17" i="14"/>
  <c r="L25" i="14"/>
  <c r="X20" i="14"/>
  <c r="L10" i="14"/>
  <c r="X5" i="14"/>
  <c r="X3" i="14"/>
  <c r="X4" i="14"/>
  <c r="X24" i="14"/>
  <c r="X19" i="14"/>
  <c r="X8" i="14"/>
  <c r="X15" i="14"/>
  <c r="X10" i="14"/>
  <c r="X9" i="14"/>
  <c r="X6" i="14"/>
  <c r="X12" i="14"/>
  <c r="M16" i="14"/>
  <c r="X14" i="14"/>
  <c r="W5" i="14"/>
  <c r="H16" i="14"/>
  <c r="Y14" i="14"/>
  <c r="H9" i="14"/>
  <c r="X16" i="14"/>
  <c r="W11" i="14"/>
  <c r="X21" i="14"/>
  <c r="Y3" i="14"/>
  <c r="X25" i="14"/>
  <c r="X11" i="14"/>
  <c r="W9" i="14"/>
  <c r="M21" i="14"/>
  <c r="Y19" i="14"/>
  <c r="Y13" i="14"/>
  <c r="M8" i="14"/>
  <c r="Z6" i="14"/>
  <c r="Y18" i="14"/>
  <c r="M15" i="14"/>
  <c r="Y12" i="14"/>
  <c r="Y9" i="14"/>
  <c r="M17" i="14"/>
  <c r="Y24" i="14"/>
  <c r="Y25" i="14"/>
  <c r="Y8" i="14"/>
  <c r="M12" i="14"/>
  <c r="Y4" i="14"/>
  <c r="H3" i="14"/>
  <c r="H21" i="14"/>
  <c r="H5" i="14"/>
  <c r="H19" i="14"/>
  <c r="T18" i="14"/>
  <c r="T24" i="14"/>
  <c r="T20" i="14"/>
  <c r="T16" i="14"/>
  <c r="T12" i="14"/>
  <c r="Y22" i="14"/>
  <c r="T19" i="14"/>
  <c r="M13" i="14"/>
  <c r="Y11" i="14"/>
  <c r="M24" i="14"/>
  <c r="M19" i="14"/>
  <c r="Y10" i="14"/>
  <c r="H8" i="14"/>
  <c r="M4" i="14"/>
  <c r="H22" i="14"/>
  <c r="M6" i="14"/>
  <c r="Y23" i="14"/>
  <c r="H23" i="14"/>
  <c r="M18" i="14"/>
  <c r="T10" i="14"/>
  <c r="M25" i="14"/>
  <c r="M11" i="14"/>
  <c r="M10" i="14"/>
  <c r="T8" i="14"/>
  <c r="M20" i="14"/>
  <c r="W16" i="14"/>
  <c r="W14" i="14"/>
  <c r="W21" i="14"/>
  <c r="T22" i="14"/>
  <c r="W19" i="14"/>
  <c r="T11" i="14"/>
  <c r="T23" i="14"/>
  <c r="W13" i="14"/>
  <c r="Y6" i="14"/>
  <c r="T25" i="14"/>
  <c r="T5" i="14"/>
  <c r="Y5" i="14"/>
  <c r="M23" i="14"/>
  <c r="M3" i="14"/>
  <c r="W25" i="14"/>
  <c r="L13" i="14"/>
  <c r="L3" i="14"/>
  <c r="L21" i="14"/>
  <c r="L5" i="14"/>
  <c r="L19" i="14"/>
  <c r="L14" i="14"/>
  <c r="H13" i="14"/>
  <c r="V20" i="14"/>
  <c r="V12" i="14"/>
  <c r="V16" i="14"/>
  <c r="V11" i="14"/>
  <c r="V24" i="14"/>
  <c r="V19" i="14"/>
  <c r="V4" i="14"/>
  <c r="V17" i="14"/>
  <c r="V9" i="14"/>
  <c r="V3" i="14"/>
  <c r="V6" i="14"/>
  <c r="V8" i="14"/>
  <c r="K20" i="14"/>
  <c r="K12" i="14"/>
  <c r="K22" i="14"/>
  <c r="K16" i="14"/>
  <c r="K24" i="14"/>
  <c r="K4" i="14"/>
  <c r="K17" i="14"/>
  <c r="K14" i="14"/>
  <c r="K9" i="14"/>
  <c r="K6" i="14"/>
  <c r="K23" i="14"/>
  <c r="R20" i="14"/>
  <c r="R12" i="14"/>
  <c r="R4" i="14"/>
  <c r="R16" i="14"/>
  <c r="R11" i="14"/>
  <c r="R24" i="14"/>
  <c r="R19" i="14"/>
  <c r="R13" i="14"/>
  <c r="R9" i="14"/>
  <c r="R3" i="14"/>
  <c r="R21" i="14"/>
  <c r="R5" i="14"/>
  <c r="V10" i="14"/>
  <c r="V22" i="14"/>
  <c r="K21" i="14"/>
  <c r="V14" i="14"/>
  <c r="K13" i="14"/>
  <c r="N24" i="14"/>
  <c r="N16" i="14"/>
  <c r="N21" i="14"/>
  <c r="N12" i="14"/>
  <c r="N9" i="14"/>
  <c r="N20" i="14"/>
  <c r="N5" i="14"/>
  <c r="N13" i="14"/>
  <c r="N4" i="14"/>
  <c r="R8" i="14"/>
  <c r="V18" i="14"/>
  <c r="K15" i="14"/>
  <c r="R23" i="14"/>
  <c r="K10" i="14"/>
  <c r="Z24" i="14"/>
  <c r="Z16" i="14"/>
  <c r="Z12" i="14"/>
  <c r="Z9" i="14"/>
  <c r="Z20" i="14"/>
  <c r="Z4" i="14"/>
  <c r="Z10" i="14"/>
  <c r="Z22" i="14"/>
  <c r="Z14" i="14"/>
  <c r="K19" i="14"/>
  <c r="K11" i="14"/>
  <c r="V25" i="14"/>
  <c r="Z15" i="14"/>
  <c r="N6" i="14"/>
  <c r="V5" i="14"/>
  <c r="Z23" i="14"/>
  <c r="K18" i="14"/>
  <c r="Z18" i="14"/>
  <c r="R15" i="14"/>
  <c r="N10" i="14"/>
  <c r="K3" i="14"/>
  <c r="N23" i="14"/>
  <c r="V23" i="14"/>
  <c r="Z17" i="14"/>
  <c r="R17" i="14"/>
  <c r="N17" i="14"/>
  <c r="N22" i="14"/>
  <c r="V21" i="14"/>
  <c r="Z19" i="14"/>
  <c r="N14" i="14"/>
  <c r="V13" i="14"/>
  <c r="Z11" i="14"/>
  <c r="Z21" i="14"/>
  <c r="N19" i="14"/>
  <c r="Z13" i="14"/>
  <c r="N11" i="14"/>
  <c r="K25" i="14"/>
  <c r="R6" i="14"/>
  <c r="N18" i="14"/>
  <c r="N15" i="14"/>
  <c r="V15" i="14"/>
  <c r="Z5" i="14"/>
  <c r="N3" i="14"/>
  <c r="Z25" i="14"/>
  <c r="R25" i="14"/>
  <c r="N25" i="14"/>
  <c r="R10" i="14"/>
  <c r="K8" i="14"/>
  <c r="P2" i="9" l="1"/>
  <c r="M2" i="9" l="1"/>
  <c r="N2" i="9" s="1"/>
  <c r="O2" i="9" s="1"/>
  <c r="G2" i="9"/>
  <c r="C51" i="9" l="1"/>
  <c r="I51" i="9" s="1"/>
  <c r="C50" i="9"/>
  <c r="C49" i="9"/>
  <c r="I49" i="9" s="1"/>
  <c r="C48" i="9"/>
  <c r="I48" i="9" s="1"/>
  <c r="C47" i="9"/>
  <c r="C46" i="9"/>
  <c r="C45" i="9"/>
  <c r="C44" i="9"/>
  <c r="F44" i="9" s="1"/>
  <c r="C43" i="9"/>
  <c r="C42" i="9"/>
  <c r="C41" i="9"/>
  <c r="C40" i="9"/>
  <c r="C39" i="9"/>
  <c r="C38" i="9"/>
  <c r="C37" i="9"/>
  <c r="I37" i="9" s="1"/>
  <c r="C36" i="9"/>
  <c r="C35" i="9"/>
  <c r="C34" i="9"/>
  <c r="C33" i="9"/>
  <c r="I33" i="9" s="1"/>
  <c r="C32" i="9"/>
  <c r="F32" i="9" s="1"/>
  <c r="C31" i="9"/>
  <c r="C30" i="9"/>
  <c r="C29" i="9"/>
  <c r="C28" i="9"/>
  <c r="I28" i="9" s="1"/>
  <c r="C27" i="9"/>
  <c r="C26" i="9"/>
  <c r="C25" i="9"/>
  <c r="C24" i="9"/>
  <c r="C23" i="9"/>
  <c r="C22" i="9"/>
  <c r="C21" i="9"/>
  <c r="I21" i="9" s="1"/>
  <c r="C20" i="9"/>
  <c r="C19" i="9"/>
  <c r="C18" i="9"/>
  <c r="C17" i="9"/>
  <c r="I17" i="9" s="1"/>
  <c r="C16" i="9"/>
  <c r="I16" i="9" s="1"/>
  <c r="C15" i="9"/>
  <c r="C14" i="9"/>
  <c r="C13" i="9"/>
  <c r="C12" i="9"/>
  <c r="F12" i="9" s="1"/>
  <c r="C11" i="9"/>
  <c r="C10" i="9"/>
  <c r="C9" i="9"/>
  <c r="C8" i="9"/>
  <c r="C7" i="9"/>
  <c r="C6" i="9"/>
  <c r="C5" i="9"/>
  <c r="I5" i="9" s="1"/>
  <c r="C4" i="9"/>
  <c r="I6" i="9"/>
  <c r="I10" i="9"/>
  <c r="I14" i="9"/>
  <c r="I18" i="9"/>
  <c r="I22" i="9"/>
  <c r="I26" i="9"/>
  <c r="I30" i="9"/>
  <c r="I34" i="9"/>
  <c r="I38" i="9"/>
  <c r="I42" i="9"/>
  <c r="I46" i="9"/>
  <c r="I50" i="9"/>
  <c r="D6" i="9"/>
  <c r="F6" i="9" s="1"/>
  <c r="D10" i="9"/>
  <c r="F10" i="9" s="1"/>
  <c r="F14" i="9"/>
  <c r="F18" i="9"/>
  <c r="F22" i="9"/>
  <c r="F26" i="9"/>
  <c r="F30" i="9"/>
  <c r="F34" i="9"/>
  <c r="F38" i="9"/>
  <c r="F42" i="9"/>
  <c r="F46" i="9"/>
  <c r="F50" i="9"/>
  <c r="F28" i="9" l="1"/>
  <c r="K28" i="9" s="1"/>
  <c r="I12" i="9"/>
  <c r="F16" i="9"/>
  <c r="F48" i="9"/>
  <c r="J48" i="9" s="1"/>
  <c r="I44" i="9"/>
  <c r="I32" i="9"/>
  <c r="F49" i="9"/>
  <c r="F33" i="9"/>
  <c r="K33" i="9" s="1"/>
  <c r="F17" i="9"/>
  <c r="L17" i="9" s="1"/>
  <c r="I4" i="9"/>
  <c r="D4" i="9"/>
  <c r="F4" i="9" s="1"/>
  <c r="J4" i="9" s="1"/>
  <c r="I8" i="9"/>
  <c r="D8" i="9"/>
  <c r="F8" i="9" s="1"/>
  <c r="L8" i="9" s="1"/>
  <c r="I20" i="9"/>
  <c r="F20" i="9"/>
  <c r="J20" i="9" s="1"/>
  <c r="I24" i="9"/>
  <c r="F24" i="9"/>
  <c r="K24" i="9" s="1"/>
  <c r="I36" i="9"/>
  <c r="F36" i="9"/>
  <c r="L36" i="9" s="1"/>
  <c r="I40" i="9"/>
  <c r="F40" i="9"/>
  <c r="K40" i="9" s="1"/>
  <c r="I9" i="9"/>
  <c r="D9" i="9"/>
  <c r="F9" i="9" s="1"/>
  <c r="I13" i="9"/>
  <c r="F13" i="9"/>
  <c r="J13" i="9" s="1"/>
  <c r="I25" i="9"/>
  <c r="F25" i="9"/>
  <c r="I29" i="9"/>
  <c r="F29" i="9"/>
  <c r="L29" i="9" s="1"/>
  <c r="I41" i="9"/>
  <c r="F41" i="9"/>
  <c r="K41" i="9" s="1"/>
  <c r="I45" i="9"/>
  <c r="F45" i="9"/>
  <c r="L45" i="9" s="1"/>
  <c r="F37" i="9"/>
  <c r="F21" i="9"/>
  <c r="D5" i="9"/>
  <c r="F5" i="9" s="1"/>
  <c r="L5" i="9" s="1"/>
  <c r="I3" i="9"/>
  <c r="D3" i="9"/>
  <c r="F3" i="9" s="1"/>
  <c r="K3" i="9" s="1"/>
  <c r="I7" i="9"/>
  <c r="D7" i="9"/>
  <c r="F7" i="9" s="1"/>
  <c r="I11" i="9"/>
  <c r="D11" i="9"/>
  <c r="F11" i="9" s="1"/>
  <c r="J11" i="9" s="1"/>
  <c r="I15" i="9"/>
  <c r="F15" i="9"/>
  <c r="L15" i="9" s="1"/>
  <c r="I19" i="9"/>
  <c r="F19" i="9"/>
  <c r="K19" i="9" s="1"/>
  <c r="I23" i="9"/>
  <c r="F23" i="9"/>
  <c r="K23" i="9" s="1"/>
  <c r="I27" i="9"/>
  <c r="F27" i="9"/>
  <c r="J27" i="9" s="1"/>
  <c r="I31" i="9"/>
  <c r="F31" i="9"/>
  <c r="K31" i="9" s="1"/>
  <c r="I35" i="9"/>
  <c r="F35" i="9"/>
  <c r="J35" i="9" s="1"/>
  <c r="I39" i="9"/>
  <c r="F39" i="9"/>
  <c r="K39" i="9" s="1"/>
  <c r="I43" i="9"/>
  <c r="F43" i="9"/>
  <c r="J43" i="9" s="1"/>
  <c r="I47" i="9"/>
  <c r="F47" i="9"/>
  <c r="K47" i="9" s="1"/>
  <c r="F51" i="9"/>
  <c r="J51" i="9" s="1"/>
  <c r="E4" i="9"/>
  <c r="G4" i="9" s="1"/>
  <c r="P4" i="9" s="1"/>
  <c r="E6" i="9"/>
  <c r="G6" i="9" s="1"/>
  <c r="P6" i="9" s="1"/>
  <c r="E8" i="9"/>
  <c r="G8" i="9" s="1"/>
  <c r="P8" i="9" s="1"/>
  <c r="E10" i="9"/>
  <c r="G10" i="9" s="1"/>
  <c r="P10" i="9" s="1"/>
  <c r="E12" i="9"/>
  <c r="G12" i="9" s="1"/>
  <c r="P12" i="9" s="1"/>
  <c r="E14" i="9"/>
  <c r="G14" i="9" s="1"/>
  <c r="P14" i="9" s="1"/>
  <c r="E16" i="9"/>
  <c r="G16" i="9" s="1"/>
  <c r="P16" i="9" s="1"/>
  <c r="E18" i="9"/>
  <c r="G18" i="9" s="1"/>
  <c r="P18" i="9" s="1"/>
  <c r="E20" i="9"/>
  <c r="G20" i="9" s="1"/>
  <c r="P20" i="9" s="1"/>
  <c r="E22" i="9"/>
  <c r="G22" i="9" s="1"/>
  <c r="P22" i="9" s="1"/>
  <c r="E24" i="9"/>
  <c r="G24" i="9" s="1"/>
  <c r="P24" i="9" s="1"/>
  <c r="E26" i="9"/>
  <c r="G26" i="9" s="1"/>
  <c r="P26" i="9" s="1"/>
  <c r="E28" i="9"/>
  <c r="G28" i="9" s="1"/>
  <c r="P28" i="9" s="1"/>
  <c r="E30" i="9"/>
  <c r="G30" i="9" s="1"/>
  <c r="P30" i="9" s="1"/>
  <c r="E32" i="9"/>
  <c r="G32" i="9" s="1"/>
  <c r="P32" i="9" s="1"/>
  <c r="E34" i="9"/>
  <c r="G34" i="9" s="1"/>
  <c r="P34" i="9" s="1"/>
  <c r="E36" i="9"/>
  <c r="G36" i="9" s="1"/>
  <c r="P36" i="9" s="1"/>
  <c r="E38" i="9"/>
  <c r="G38" i="9" s="1"/>
  <c r="P38" i="9" s="1"/>
  <c r="E40" i="9"/>
  <c r="G40" i="9" s="1"/>
  <c r="P40" i="9" s="1"/>
  <c r="E42" i="9"/>
  <c r="G42" i="9" s="1"/>
  <c r="P42" i="9" s="1"/>
  <c r="E44" i="9"/>
  <c r="G44" i="9" s="1"/>
  <c r="P44" i="9" s="1"/>
  <c r="E46" i="9"/>
  <c r="G46" i="9" s="1"/>
  <c r="P46" i="9" s="1"/>
  <c r="E48" i="9"/>
  <c r="G48" i="9" s="1"/>
  <c r="P48" i="9" s="1"/>
  <c r="E50" i="9"/>
  <c r="G50" i="9" s="1"/>
  <c r="P50" i="9" s="1"/>
  <c r="E3" i="9"/>
  <c r="G3" i="9" s="1"/>
  <c r="P3" i="9" s="1"/>
  <c r="E5" i="9"/>
  <c r="G5" i="9" s="1"/>
  <c r="P5" i="9" s="1"/>
  <c r="E7" i="9"/>
  <c r="G7" i="9" s="1"/>
  <c r="P7" i="9" s="1"/>
  <c r="E9" i="9"/>
  <c r="G9" i="9" s="1"/>
  <c r="P9" i="9" s="1"/>
  <c r="E11" i="9"/>
  <c r="G11" i="9" s="1"/>
  <c r="P11" i="9" s="1"/>
  <c r="E13" i="9"/>
  <c r="G13" i="9" s="1"/>
  <c r="P13" i="9" s="1"/>
  <c r="E15" i="9"/>
  <c r="G15" i="9" s="1"/>
  <c r="P15" i="9" s="1"/>
  <c r="E17" i="9"/>
  <c r="G17" i="9" s="1"/>
  <c r="P17" i="9" s="1"/>
  <c r="E19" i="9"/>
  <c r="G19" i="9" s="1"/>
  <c r="P19" i="9" s="1"/>
  <c r="E21" i="9"/>
  <c r="G21" i="9" s="1"/>
  <c r="P21" i="9" s="1"/>
  <c r="E23" i="9"/>
  <c r="G23" i="9" s="1"/>
  <c r="P23" i="9" s="1"/>
  <c r="E25" i="9"/>
  <c r="G25" i="9" s="1"/>
  <c r="P25" i="9" s="1"/>
  <c r="E27" i="9"/>
  <c r="G27" i="9" s="1"/>
  <c r="P27" i="9" s="1"/>
  <c r="E29" i="9"/>
  <c r="G29" i="9" s="1"/>
  <c r="P29" i="9" s="1"/>
  <c r="E31" i="9"/>
  <c r="G31" i="9" s="1"/>
  <c r="P31" i="9" s="1"/>
  <c r="E33" i="9"/>
  <c r="G33" i="9" s="1"/>
  <c r="P33" i="9" s="1"/>
  <c r="E35" i="9"/>
  <c r="G35" i="9" s="1"/>
  <c r="P35" i="9" s="1"/>
  <c r="E37" i="9"/>
  <c r="G37" i="9" s="1"/>
  <c r="P37" i="9" s="1"/>
  <c r="E39" i="9"/>
  <c r="G39" i="9" s="1"/>
  <c r="E41" i="9"/>
  <c r="G41" i="9" s="1"/>
  <c r="P41" i="9" s="1"/>
  <c r="E43" i="9"/>
  <c r="G43" i="9" s="1"/>
  <c r="P43" i="9" s="1"/>
  <c r="E45" i="9"/>
  <c r="G45" i="9" s="1"/>
  <c r="P45" i="9" s="1"/>
  <c r="E47" i="9"/>
  <c r="G47" i="9" s="1"/>
  <c r="P47" i="9" s="1"/>
  <c r="E49" i="9"/>
  <c r="G49" i="9" s="1"/>
  <c r="P49" i="9" s="1"/>
  <c r="E51" i="9"/>
  <c r="G51" i="9" s="1"/>
  <c r="P51" i="9" s="1"/>
  <c r="K50" i="9"/>
  <c r="L50" i="9"/>
  <c r="J50" i="9"/>
  <c r="K46" i="9"/>
  <c r="L46" i="9"/>
  <c r="J46" i="9"/>
  <c r="K44" i="9"/>
  <c r="L44" i="9"/>
  <c r="J44" i="9"/>
  <c r="K42" i="9"/>
  <c r="L42" i="9"/>
  <c r="J42" i="9"/>
  <c r="L40" i="9"/>
  <c r="K38" i="9"/>
  <c r="L38" i="9"/>
  <c r="J38" i="9"/>
  <c r="K34" i="9"/>
  <c r="L34" i="9"/>
  <c r="J34" i="9"/>
  <c r="K32" i="9"/>
  <c r="L32" i="9"/>
  <c r="J32" i="9"/>
  <c r="K30" i="9"/>
  <c r="L30" i="9"/>
  <c r="J30" i="9"/>
  <c r="J28" i="9"/>
  <c r="K26" i="9"/>
  <c r="L26" i="9"/>
  <c r="J26" i="9"/>
  <c r="L22" i="9"/>
  <c r="J22" i="9"/>
  <c r="K22" i="9"/>
  <c r="L18" i="9"/>
  <c r="J18" i="9"/>
  <c r="K18" i="9"/>
  <c r="L16" i="9"/>
  <c r="J16" i="9"/>
  <c r="K16" i="9"/>
  <c r="L14" i="9"/>
  <c r="J14" i="9"/>
  <c r="K14" i="9"/>
  <c r="L12" i="9"/>
  <c r="J12" i="9"/>
  <c r="K12" i="9"/>
  <c r="L10" i="9"/>
  <c r="J10" i="9"/>
  <c r="K10" i="9"/>
  <c r="L6" i="9"/>
  <c r="J6" i="9"/>
  <c r="K6" i="9"/>
  <c r="L11" i="9"/>
  <c r="K11" i="9"/>
  <c r="L7" i="9"/>
  <c r="J7" i="9"/>
  <c r="K7" i="9"/>
  <c r="K5" i="9"/>
  <c r="L3" i="9"/>
  <c r="K51" i="9"/>
  <c r="L51" i="9"/>
  <c r="L47" i="9"/>
  <c r="J47" i="9"/>
  <c r="K45" i="9"/>
  <c r="K43" i="9"/>
  <c r="L43" i="9"/>
  <c r="L41" i="9"/>
  <c r="L39" i="9"/>
  <c r="J39" i="9"/>
  <c r="K35" i="9"/>
  <c r="L35" i="9"/>
  <c r="L33" i="9"/>
  <c r="J33" i="9"/>
  <c r="L31" i="9"/>
  <c r="J31" i="9"/>
  <c r="K27" i="9"/>
  <c r="L27" i="9"/>
  <c r="L23" i="9"/>
  <c r="J23" i="9"/>
  <c r="L21" i="9"/>
  <c r="J21" i="9"/>
  <c r="K21" i="9"/>
  <c r="L19" i="9"/>
  <c r="J19" i="9"/>
  <c r="J15" i="9"/>
  <c r="K15" i="9"/>
  <c r="L37" i="9" l="1"/>
  <c r="K37" i="9"/>
  <c r="J24" i="9"/>
  <c r="K29" i="9"/>
  <c r="J8" i="9"/>
  <c r="L24" i="9"/>
  <c r="L48" i="9"/>
  <c r="J29" i="9"/>
  <c r="J37" i="9"/>
  <c r="K8" i="9"/>
  <c r="K13" i="9"/>
  <c r="K17" i="9"/>
  <c r="L13" i="9"/>
  <c r="J17" i="9"/>
  <c r="J45" i="9"/>
  <c r="J40" i="9"/>
  <c r="K48" i="9"/>
  <c r="L28" i="9"/>
  <c r="K9" i="9"/>
  <c r="K53" i="9" s="1"/>
  <c r="L9" i="9"/>
  <c r="J5" i="9"/>
  <c r="L25" i="9"/>
  <c r="J25" i="9"/>
  <c r="K49" i="9"/>
  <c r="L49" i="9"/>
  <c r="J9" i="9"/>
  <c r="K25" i="9"/>
  <c r="J41" i="9"/>
  <c r="J49" i="9"/>
  <c r="J36" i="9"/>
  <c r="K36" i="9"/>
  <c r="K20" i="9"/>
  <c r="L20" i="9"/>
  <c r="K4" i="9"/>
  <c r="L4" i="9"/>
  <c r="J3" i="9"/>
  <c r="I53" i="9"/>
  <c r="P39" i="9"/>
  <c r="P53" i="9" s="1"/>
  <c r="O39" i="9"/>
  <c r="M49" i="9"/>
  <c r="O49" i="9"/>
  <c r="N49" i="9"/>
  <c r="M45" i="9"/>
  <c r="O45" i="9"/>
  <c r="N45" i="9"/>
  <c r="M41" i="9"/>
  <c r="O41" i="9"/>
  <c r="N41" i="9"/>
  <c r="M37" i="9"/>
  <c r="O37" i="9"/>
  <c r="N37" i="9"/>
  <c r="M33" i="9"/>
  <c r="O33" i="9"/>
  <c r="N33" i="9"/>
  <c r="M29" i="9"/>
  <c r="O29" i="9"/>
  <c r="N29" i="9"/>
  <c r="M25" i="9"/>
  <c r="O25" i="9"/>
  <c r="N25" i="9"/>
  <c r="M21" i="9"/>
  <c r="O21" i="9"/>
  <c r="N21" i="9"/>
  <c r="M51" i="9"/>
  <c r="O51" i="9"/>
  <c r="N51" i="9"/>
  <c r="M47" i="9"/>
  <c r="O47" i="9"/>
  <c r="N47" i="9"/>
  <c r="M43" i="9"/>
  <c r="O43" i="9"/>
  <c r="N43" i="9"/>
  <c r="M39" i="9"/>
  <c r="N39" i="9"/>
  <c r="M35" i="9"/>
  <c r="O35" i="9"/>
  <c r="N35" i="9"/>
  <c r="M31" i="9"/>
  <c r="O31" i="9"/>
  <c r="N31" i="9"/>
  <c r="M27" i="9"/>
  <c r="O27" i="9"/>
  <c r="N27" i="9"/>
  <c r="M23" i="9"/>
  <c r="O23" i="9"/>
  <c r="N23" i="9"/>
  <c r="M19" i="9"/>
  <c r="O19" i="9"/>
  <c r="N19" i="9"/>
  <c r="M17" i="9"/>
  <c r="O17" i="9"/>
  <c r="N17" i="9"/>
  <c r="M15" i="9"/>
  <c r="O15" i="9"/>
  <c r="N15" i="9"/>
  <c r="M13" i="9"/>
  <c r="O13" i="9"/>
  <c r="N13" i="9"/>
  <c r="M11" i="9"/>
  <c r="O11" i="9"/>
  <c r="N11" i="9"/>
  <c r="M9" i="9"/>
  <c r="O9" i="9"/>
  <c r="N9" i="9"/>
  <c r="M7" i="9"/>
  <c r="O7" i="9"/>
  <c r="N7" i="9"/>
  <c r="M5" i="9"/>
  <c r="O5" i="9"/>
  <c r="N5" i="9"/>
  <c r="M3" i="9"/>
  <c r="O3" i="9"/>
  <c r="N3" i="9"/>
  <c r="M48" i="9"/>
  <c r="O48" i="9"/>
  <c r="N48" i="9"/>
  <c r="M44" i="9"/>
  <c r="O44" i="9"/>
  <c r="N44" i="9"/>
  <c r="M40" i="9"/>
  <c r="O40" i="9"/>
  <c r="N40" i="9"/>
  <c r="M36" i="9"/>
  <c r="O36" i="9"/>
  <c r="N36" i="9"/>
  <c r="M32" i="9"/>
  <c r="O32" i="9"/>
  <c r="N32" i="9"/>
  <c r="M28" i="9"/>
  <c r="O28" i="9"/>
  <c r="N28" i="9"/>
  <c r="M24" i="9"/>
  <c r="O24" i="9"/>
  <c r="N24" i="9"/>
  <c r="M20" i="9"/>
  <c r="O20" i="9"/>
  <c r="N20" i="9"/>
  <c r="M16" i="9"/>
  <c r="O16" i="9"/>
  <c r="N16" i="9"/>
  <c r="M12" i="9"/>
  <c r="O12" i="9"/>
  <c r="N12" i="9"/>
  <c r="M8" i="9"/>
  <c r="O8" i="9"/>
  <c r="N8" i="9"/>
  <c r="M4" i="9"/>
  <c r="O4" i="9"/>
  <c r="N4" i="9"/>
  <c r="M50" i="9"/>
  <c r="O50" i="9"/>
  <c r="N50" i="9"/>
  <c r="M46" i="9"/>
  <c r="O46" i="9"/>
  <c r="N46" i="9"/>
  <c r="M42" i="9"/>
  <c r="O42" i="9"/>
  <c r="N42" i="9"/>
  <c r="M38" i="9"/>
  <c r="O38" i="9"/>
  <c r="N38" i="9"/>
  <c r="M34" i="9"/>
  <c r="O34" i="9"/>
  <c r="N34" i="9"/>
  <c r="M30" i="9"/>
  <c r="O30" i="9"/>
  <c r="N30" i="9"/>
  <c r="M26" i="9"/>
  <c r="O26" i="9"/>
  <c r="N26" i="9"/>
  <c r="M22" i="9"/>
  <c r="O22" i="9"/>
  <c r="N22" i="9"/>
  <c r="M18" i="9"/>
  <c r="O18" i="9"/>
  <c r="N18" i="9"/>
  <c r="M14" i="9"/>
  <c r="O14" i="9"/>
  <c r="N14" i="9"/>
  <c r="M10" i="9"/>
  <c r="O10" i="9"/>
  <c r="N10" i="9"/>
  <c r="M6" i="9"/>
  <c r="O6" i="9"/>
  <c r="N6" i="9"/>
  <c r="J53" i="9" l="1"/>
  <c r="J54" i="9" s="1"/>
  <c r="K54" i="9"/>
  <c r="L53" i="9"/>
  <c r="L54" i="9" s="1"/>
  <c r="P54" i="9"/>
  <c r="M53" i="9"/>
  <c r="M54" i="9" s="1"/>
  <c r="O53" i="9"/>
  <c r="O54" i="9" s="1"/>
  <c r="N53" i="9"/>
  <c r="N54" i="9" s="1"/>
  <c r="H18" i="18" l="1"/>
  <c r="D32" i="18"/>
  <c r="R5" i="19"/>
  <c r="J11" i="18"/>
  <c r="I17" i="18" s="1"/>
  <c r="M14" i="19" l="1"/>
  <c r="X14" i="19" s="1"/>
  <c r="M18" i="19"/>
  <c r="X18" i="19" s="1"/>
  <c r="M22" i="19"/>
  <c r="X22" i="19" s="1"/>
  <c r="M26" i="19"/>
  <c r="X26" i="19" s="1"/>
  <c r="M30" i="19"/>
  <c r="X30" i="19" s="1"/>
  <c r="M34" i="19"/>
  <c r="X34" i="19" s="1"/>
  <c r="M38" i="19"/>
  <c r="X38" i="19" s="1"/>
  <c r="M42" i="19"/>
  <c r="X42" i="19" s="1"/>
  <c r="M46" i="19"/>
  <c r="X46" i="19" s="1"/>
  <c r="M50" i="19"/>
  <c r="X50" i="19" s="1"/>
  <c r="M54" i="19"/>
  <c r="M58" i="19"/>
  <c r="M39" i="19"/>
  <c r="X39" i="19" s="1"/>
  <c r="M43" i="19"/>
  <c r="X43" i="19" s="1"/>
  <c r="M47" i="19"/>
  <c r="X47" i="19" s="1"/>
  <c r="M51" i="19"/>
  <c r="X51" i="19" s="1"/>
  <c r="M55" i="19"/>
  <c r="M10" i="19"/>
  <c r="M17" i="19"/>
  <c r="X17" i="19" s="1"/>
  <c r="M25" i="19"/>
  <c r="X25" i="19" s="1"/>
  <c r="M33" i="19"/>
  <c r="X33" i="19" s="1"/>
  <c r="M41" i="19"/>
  <c r="X41" i="19" s="1"/>
  <c r="M49" i="19"/>
  <c r="X49" i="19" s="1"/>
  <c r="M57" i="19"/>
  <c r="M11" i="19"/>
  <c r="X11" i="19" s="1"/>
  <c r="M15" i="19"/>
  <c r="X15" i="19" s="1"/>
  <c r="M19" i="19"/>
  <c r="X19" i="19" s="1"/>
  <c r="M23" i="19"/>
  <c r="X23" i="19" s="1"/>
  <c r="M27" i="19"/>
  <c r="X27" i="19" s="1"/>
  <c r="M31" i="19"/>
  <c r="X31" i="19" s="1"/>
  <c r="M35" i="19"/>
  <c r="X35" i="19" s="1"/>
  <c r="M12" i="19"/>
  <c r="X12" i="19" s="1"/>
  <c r="M16" i="19"/>
  <c r="X16" i="19" s="1"/>
  <c r="M20" i="19"/>
  <c r="X20" i="19" s="1"/>
  <c r="M24" i="19"/>
  <c r="X24" i="19" s="1"/>
  <c r="M28" i="19"/>
  <c r="X28" i="19" s="1"/>
  <c r="M32" i="19"/>
  <c r="X32" i="19" s="1"/>
  <c r="M36" i="19"/>
  <c r="X36" i="19" s="1"/>
  <c r="M40" i="19"/>
  <c r="X40" i="19" s="1"/>
  <c r="M44" i="19"/>
  <c r="X44" i="19" s="1"/>
  <c r="M48" i="19"/>
  <c r="X48" i="19" s="1"/>
  <c r="M52" i="19"/>
  <c r="M56" i="19"/>
  <c r="M13" i="19"/>
  <c r="X13" i="19" s="1"/>
  <c r="M21" i="19"/>
  <c r="X21" i="19" s="1"/>
  <c r="M29" i="19"/>
  <c r="X29" i="19" s="1"/>
  <c r="M37" i="19"/>
  <c r="X37" i="19" s="1"/>
  <c r="M45" i="19"/>
  <c r="X45" i="19" s="1"/>
  <c r="M53" i="19"/>
  <c r="R4" i="19"/>
  <c r="P61" i="19"/>
  <c r="H10" i="18"/>
  <c r="H11" i="18" s="1"/>
  <c r="R7" i="19"/>
  <c r="F16" i="18"/>
  <c r="F21" i="18"/>
  <c r="G30" i="19" l="1"/>
  <c r="F30" i="19" s="1"/>
  <c r="Q30" i="19" s="1"/>
  <c r="G54" i="19"/>
  <c r="H54" i="19" s="1"/>
  <c r="G58" i="19"/>
  <c r="H58" i="19" s="1"/>
  <c r="G53" i="19"/>
  <c r="H53" i="19" s="1"/>
  <c r="G52" i="19"/>
  <c r="H52" i="19" s="1"/>
  <c r="G55" i="19"/>
  <c r="H55" i="19" s="1"/>
  <c r="G57" i="19"/>
  <c r="H57" i="19" s="1"/>
  <c r="G56" i="19"/>
  <c r="H56" i="19" s="1"/>
  <c r="J21" i="18"/>
  <c r="J23" i="18" s="1"/>
  <c r="G23" i="18" s="1"/>
  <c r="J26" i="18" s="1"/>
  <c r="G14" i="19"/>
  <c r="I14" i="19" s="1"/>
  <c r="P14" i="19" s="1"/>
  <c r="G20" i="19"/>
  <c r="H20" i="19" s="1"/>
  <c r="G35" i="19"/>
  <c r="F35" i="19" s="1"/>
  <c r="G47" i="19"/>
  <c r="I47" i="19" s="1"/>
  <c r="P47" i="19" s="1"/>
  <c r="G19" i="19"/>
  <c r="I19" i="19" s="1"/>
  <c r="P19" i="19" s="1"/>
  <c r="G22" i="19"/>
  <c r="H22" i="19" s="1"/>
  <c r="G23" i="19"/>
  <c r="H23" i="19" s="1"/>
  <c r="G34" i="19"/>
  <c r="I34" i="19" s="1"/>
  <c r="P34" i="19" s="1"/>
  <c r="G31" i="19"/>
  <c r="H31" i="19" s="1"/>
  <c r="G48" i="19"/>
  <c r="I48" i="19" s="1"/>
  <c r="P48" i="19" s="1"/>
  <c r="G18" i="19"/>
  <c r="H18" i="19" s="1"/>
  <c r="G12" i="19"/>
  <c r="H12" i="19" s="1"/>
  <c r="G43" i="19"/>
  <c r="F43" i="19" s="1"/>
  <c r="G13" i="19"/>
  <c r="H13" i="19" s="1"/>
  <c r="G26" i="19"/>
  <c r="H26" i="19" s="1"/>
  <c r="G36" i="19"/>
  <c r="I36" i="19" s="1"/>
  <c r="P36" i="19" s="1"/>
  <c r="G45" i="19"/>
  <c r="H45" i="19" s="1"/>
  <c r="G10" i="19"/>
  <c r="H10" i="19" s="1"/>
  <c r="G16" i="19"/>
  <c r="H16" i="19" s="1"/>
  <c r="G24" i="19"/>
  <c r="F24" i="19" s="1"/>
  <c r="G32" i="19"/>
  <c r="I32" i="19" s="1"/>
  <c r="P32" i="19" s="1"/>
  <c r="G44" i="19"/>
  <c r="I44" i="19" s="1"/>
  <c r="P44" i="19" s="1"/>
  <c r="G17" i="19"/>
  <c r="H17" i="19" s="1"/>
  <c r="G39" i="19"/>
  <c r="H39" i="19" s="1"/>
  <c r="G37" i="19"/>
  <c r="H37" i="19" s="1"/>
  <c r="G51" i="19"/>
  <c r="G46" i="19"/>
  <c r="H46" i="19" s="1"/>
  <c r="G11" i="19"/>
  <c r="H11" i="19" s="1"/>
  <c r="G28" i="19"/>
  <c r="H28" i="19" s="1"/>
  <c r="G42" i="19"/>
  <c r="H42" i="19" s="1"/>
  <c r="G50" i="19"/>
  <c r="H50" i="19" s="1"/>
  <c r="G21" i="19"/>
  <c r="I21" i="19" s="1"/>
  <c r="P21" i="19" s="1"/>
  <c r="G33" i="19"/>
  <c r="I33" i="19" s="1"/>
  <c r="P33" i="19" s="1"/>
  <c r="G15" i="19"/>
  <c r="H15" i="19" s="1"/>
  <c r="G38" i="19"/>
  <c r="H38" i="19" s="1"/>
  <c r="G27" i="19"/>
  <c r="H27" i="19" s="1"/>
  <c r="G25" i="19"/>
  <c r="I25" i="19" s="1"/>
  <c r="P25" i="19" s="1"/>
  <c r="G29" i="19"/>
  <c r="H29" i="19" s="1"/>
  <c r="G40" i="19"/>
  <c r="I40" i="19" s="1"/>
  <c r="P40" i="19" s="1"/>
  <c r="G41" i="19"/>
  <c r="I41" i="19" s="1"/>
  <c r="P41" i="19" s="1"/>
  <c r="G49" i="19"/>
  <c r="I49" i="19" s="1"/>
  <c r="P49" i="19" s="1"/>
  <c r="X10" i="19"/>
  <c r="H36" i="19" l="1"/>
  <c r="H30" i="19"/>
  <c r="I51" i="19"/>
  <c r="P51" i="19" s="1"/>
  <c r="H51" i="19"/>
  <c r="N30" i="19"/>
  <c r="O30" i="19"/>
  <c r="I30" i="19"/>
  <c r="P30" i="19" s="1"/>
  <c r="F55" i="19"/>
  <c r="I55" i="19"/>
  <c r="P55" i="19" s="1"/>
  <c r="I58" i="19"/>
  <c r="P58" i="19" s="1"/>
  <c r="F58" i="19"/>
  <c r="F52" i="19"/>
  <c r="I52" i="19"/>
  <c r="P52" i="19" s="1"/>
  <c r="I53" i="19"/>
  <c r="P53" i="19" s="1"/>
  <c r="F53" i="19"/>
  <c r="I54" i="19"/>
  <c r="P54" i="19" s="1"/>
  <c r="F54" i="19"/>
  <c r="I56" i="19"/>
  <c r="P56" i="19" s="1"/>
  <c r="F56" i="19"/>
  <c r="I57" i="19"/>
  <c r="P57" i="19" s="1"/>
  <c r="F57" i="19"/>
  <c r="F19" i="19"/>
  <c r="Q19" i="19" s="1"/>
  <c r="H48" i="19"/>
  <c r="H41" i="19"/>
  <c r="F22" i="19"/>
  <c r="Q22" i="19" s="1"/>
  <c r="I28" i="19"/>
  <c r="P28" i="19" s="1"/>
  <c r="F45" i="19"/>
  <c r="O45" i="19" s="1"/>
  <c r="R60" i="19" s="1"/>
  <c r="S60" i="19" s="1"/>
  <c r="I22" i="19"/>
  <c r="P22" i="19" s="1"/>
  <c r="F13" i="19"/>
  <c r="Q13" i="19" s="1"/>
  <c r="I37" i="19"/>
  <c r="P37" i="19" s="1"/>
  <c r="I45" i="19"/>
  <c r="P45" i="19" s="1"/>
  <c r="F20" i="19"/>
  <c r="Q20" i="19" s="1"/>
  <c r="F48" i="19"/>
  <c r="N48" i="19" s="1"/>
  <c r="H24" i="19"/>
  <c r="H19" i="19"/>
  <c r="I42" i="19"/>
  <c r="P42" i="19" s="1"/>
  <c r="F14" i="19"/>
  <c r="O14" i="19" s="1"/>
  <c r="I24" i="19"/>
  <c r="P24" i="19" s="1"/>
  <c r="I43" i="19"/>
  <c r="P43" i="19" s="1"/>
  <c r="F31" i="19"/>
  <c r="N31" i="19" s="1"/>
  <c r="F36" i="19"/>
  <c r="O36" i="19" s="1"/>
  <c r="F23" i="19"/>
  <c r="O23" i="19" s="1"/>
  <c r="F32" i="19"/>
  <c r="O32" i="19" s="1"/>
  <c r="H14" i="19"/>
  <c r="H43" i="19"/>
  <c r="I31" i="19"/>
  <c r="P31" i="19" s="1"/>
  <c r="F18" i="19"/>
  <c r="Q18" i="19" s="1"/>
  <c r="H35" i="19"/>
  <c r="F28" i="19"/>
  <c r="O28" i="19" s="1"/>
  <c r="F37" i="19"/>
  <c r="Q37" i="19" s="1"/>
  <c r="F10" i="19"/>
  <c r="N10" i="19" s="1"/>
  <c r="I20" i="19"/>
  <c r="P20" i="19" s="1"/>
  <c r="H32" i="19"/>
  <c r="I13" i="19"/>
  <c r="P13" i="19" s="1"/>
  <c r="I16" i="19"/>
  <c r="P16" i="19" s="1"/>
  <c r="F12" i="19"/>
  <c r="N12" i="19" s="1"/>
  <c r="F46" i="19"/>
  <c r="N46" i="19" s="1"/>
  <c r="F33" i="19"/>
  <c r="Q33" i="19" s="1"/>
  <c r="F16" i="19"/>
  <c r="Q16" i="19" s="1"/>
  <c r="F47" i="19"/>
  <c r="Q47" i="19" s="1"/>
  <c r="H47" i="19"/>
  <c r="I12" i="19"/>
  <c r="P12" i="19" s="1"/>
  <c r="F17" i="19"/>
  <c r="N17" i="19" s="1"/>
  <c r="H34" i="19"/>
  <c r="I46" i="19"/>
  <c r="P46" i="19" s="1"/>
  <c r="I17" i="19"/>
  <c r="P17" i="19" s="1"/>
  <c r="H33" i="19"/>
  <c r="I29" i="19"/>
  <c r="P29" i="19" s="1"/>
  <c r="F34" i="19"/>
  <c r="Q34" i="19" s="1"/>
  <c r="H25" i="19"/>
  <c r="H44" i="19"/>
  <c r="I35" i="19"/>
  <c r="P35" i="19" s="1"/>
  <c r="H49" i="19"/>
  <c r="F42" i="19"/>
  <c r="O42" i="19" s="1"/>
  <c r="F51" i="19"/>
  <c r="N51" i="19" s="1"/>
  <c r="F44" i="19"/>
  <c r="Q44" i="19" s="1"/>
  <c r="I26" i="19"/>
  <c r="P26" i="19" s="1"/>
  <c r="I23" i="19"/>
  <c r="P23" i="19" s="1"/>
  <c r="I18" i="19"/>
  <c r="P18" i="19" s="1"/>
  <c r="F26" i="19"/>
  <c r="N26" i="19" s="1"/>
  <c r="I10" i="19"/>
  <c r="P10" i="19" s="1"/>
  <c r="F49" i="19"/>
  <c r="Q49" i="19" s="1"/>
  <c r="F27" i="19"/>
  <c r="O27" i="19" s="1"/>
  <c r="F25" i="19"/>
  <c r="O25" i="19" s="1"/>
  <c r="H21" i="19"/>
  <c r="F21" i="19"/>
  <c r="O21" i="19" s="1"/>
  <c r="F41" i="19"/>
  <c r="N41" i="19" s="1"/>
  <c r="G62" i="19"/>
  <c r="G63" i="19" s="1"/>
  <c r="F11" i="19"/>
  <c r="N11" i="19" s="1"/>
  <c r="I39" i="19"/>
  <c r="P39" i="19" s="1"/>
  <c r="F29" i="19"/>
  <c r="O29" i="19" s="1"/>
  <c r="I50" i="19"/>
  <c r="P50" i="19" s="1"/>
  <c r="I38" i="19"/>
  <c r="P38" i="19" s="1"/>
  <c r="I11" i="19"/>
  <c r="P11" i="19" s="1"/>
  <c r="F50" i="19"/>
  <c r="N50" i="19" s="1"/>
  <c r="F40" i="19"/>
  <c r="O40" i="19" s="1"/>
  <c r="F38" i="19"/>
  <c r="N38" i="19" s="1"/>
  <c r="F39" i="19"/>
  <c r="O39" i="19" s="1"/>
  <c r="H40" i="19"/>
  <c r="F15" i="19"/>
  <c r="N15" i="19" s="1"/>
  <c r="I27" i="19"/>
  <c r="P27" i="19" s="1"/>
  <c r="I15" i="19"/>
  <c r="P15" i="19" s="1"/>
  <c r="Q35" i="19"/>
  <c r="O35" i="19"/>
  <c r="N35" i="19"/>
  <c r="Q24" i="19"/>
  <c r="N24" i="19"/>
  <c r="O24" i="19"/>
  <c r="N43" i="19"/>
  <c r="Q43" i="19"/>
  <c r="O43" i="19"/>
  <c r="P70" i="19" l="1"/>
  <c r="P68" i="19"/>
  <c r="N74" i="19"/>
  <c r="P67" i="19"/>
  <c r="R61" i="19"/>
  <c r="O19" i="19"/>
  <c r="N19" i="19"/>
  <c r="Q56" i="19"/>
  <c r="O56" i="19"/>
  <c r="N56" i="19"/>
  <c r="O58" i="19"/>
  <c r="N58" i="19"/>
  <c r="Q58" i="19"/>
  <c r="N52" i="19"/>
  <c r="O52" i="19"/>
  <c r="Q52" i="19"/>
  <c r="N57" i="19"/>
  <c r="Q57" i="19"/>
  <c r="O57" i="19"/>
  <c r="Q54" i="19"/>
  <c r="N54" i="19"/>
  <c r="O54" i="19"/>
  <c r="Q53" i="19"/>
  <c r="N53" i="19"/>
  <c r="O53" i="19"/>
  <c r="O55" i="19"/>
  <c r="Q55" i="19"/>
  <c r="N55" i="19"/>
  <c r="O22" i="19"/>
  <c r="N22" i="19"/>
  <c r="O20" i="19"/>
  <c r="N13" i="19"/>
  <c r="O13" i="19"/>
  <c r="N20" i="19"/>
  <c r="Q48" i="19"/>
  <c r="Q45" i="19"/>
  <c r="O48" i="19"/>
  <c r="N45" i="19"/>
  <c r="N47" i="19"/>
  <c r="N32" i="19"/>
  <c r="Q28" i="19"/>
  <c r="Q32" i="19"/>
  <c r="Q36" i="19"/>
  <c r="Q31" i="19"/>
  <c r="O31" i="19"/>
  <c r="N37" i="19"/>
  <c r="Q14" i="19"/>
  <c r="N14" i="19"/>
  <c r="N28" i="19"/>
  <c r="N34" i="19"/>
  <c r="O12" i="19"/>
  <c r="O10" i="19"/>
  <c r="N36" i="19"/>
  <c r="Q23" i="19"/>
  <c r="Q17" i="19"/>
  <c r="N23" i="19"/>
  <c r="O37" i="19"/>
  <c r="N18" i="19"/>
  <c r="O18" i="19"/>
  <c r="O46" i="19"/>
  <c r="Q29" i="19"/>
  <c r="N42" i="19"/>
  <c r="Q11" i="19"/>
  <c r="N27" i="19"/>
  <c r="O16" i="19"/>
  <c r="O44" i="19"/>
  <c r="Q26" i="19"/>
  <c r="Q46" i="19"/>
  <c r="Q12" i="19"/>
  <c r="O11" i="19"/>
  <c r="Q27" i="19"/>
  <c r="O17" i="19"/>
  <c r="Q10" i="19"/>
  <c r="N16" i="19"/>
  <c r="N44" i="19"/>
  <c r="O26" i="19"/>
  <c r="O41" i="19"/>
  <c r="O49" i="19"/>
  <c r="Q61" i="19" s="1"/>
  <c r="O33" i="19"/>
  <c r="O47" i="19"/>
  <c r="P60" i="19" s="1"/>
  <c r="Q21" i="19"/>
  <c r="N33" i="19"/>
  <c r="Q25" i="19"/>
  <c r="O34" i="19"/>
  <c r="Q38" i="19"/>
  <c r="O15" i="19"/>
  <c r="Q42" i="19"/>
  <c r="N29" i="19"/>
  <c r="N21" i="19"/>
  <c r="N25" i="19"/>
  <c r="Q40" i="19"/>
  <c r="O38" i="19"/>
  <c r="N49" i="19"/>
  <c r="Q15" i="19"/>
  <c r="O51" i="19"/>
  <c r="P69" i="19" s="1"/>
  <c r="Q41" i="19"/>
  <c r="Q51" i="19"/>
  <c r="O50" i="19"/>
  <c r="Q59" i="19" s="1"/>
  <c r="Q39" i="19"/>
  <c r="Q50" i="19"/>
  <c r="N39" i="19"/>
  <c r="F62" i="19"/>
  <c r="F63" i="19" s="1"/>
  <c r="N40" i="19"/>
  <c r="N76" i="19" l="1"/>
  <c r="O71" i="19"/>
  <c r="N71" i="19" s="1"/>
  <c r="N72" i="19" s="1"/>
  <c r="N73" i="19" s="1"/>
  <c r="P66" i="19"/>
  <c r="AE13" i="19"/>
  <c r="AE14" i="19" s="1"/>
  <c r="AF13" i="19"/>
  <c r="AF14" i="19" s="1"/>
  <c r="Q60" i="19"/>
  <c r="O66" i="19"/>
  <c r="AF22" i="19"/>
  <c r="AF23" i="19" s="1"/>
  <c r="AE22" i="19"/>
  <c r="AE23" i="19" s="1"/>
  <c r="O72" i="19" l="1"/>
  <c r="O73" i="19" s="1"/>
  <c r="O74" i="19" s="1"/>
  <c r="AF24" i="19"/>
  <c r="AF26" i="19" s="1"/>
  <c r="AE24" i="19"/>
  <c r="AE26" i="19" s="1"/>
  <c r="N62" i="19" l="1"/>
  <c r="N63" i="19" s="1"/>
  <c r="L62" i="19" l="1"/>
  <c r="L63" i="19" s="1"/>
  <c r="Q62" i="19"/>
  <c r="Q63" i="19" s="1"/>
  <c r="O62" i="19"/>
  <c r="O63" i="19" s="1"/>
  <c r="O64" i="19" l="1"/>
  <c r="Q64" i="19"/>
  <c r="Q8" i="19" s="1"/>
  <c r="L64" i="19"/>
  <c r="L8" i="19" s="1"/>
  <c r="AC25" i="19"/>
  <c r="AD25" i="19"/>
  <c r="N64" i="19"/>
  <c r="N8" i="19" s="1"/>
  <c r="M62" i="19"/>
  <c r="M63" i="19" s="1"/>
  <c r="M64" i="19" s="1"/>
  <c r="M8" i="19" s="1"/>
  <c r="P62" i="19"/>
  <c r="P63" i="19" s="1"/>
  <c r="P64" i="19" s="1"/>
  <c r="P8" i="19" s="1"/>
  <c r="O8" i="19" l="1"/>
  <c r="H12" i="18" s="1"/>
  <c r="P65" i="19"/>
  <c r="H20" i="18"/>
  <c r="F24" i="18" s="1"/>
  <c r="P7" i="19" l="1"/>
  <c r="P9" i="19"/>
  <c r="R6" i="19" l="1"/>
  <c r="S54" i="19" l="1"/>
  <c r="T52" i="19" l="1"/>
  <c r="T55" i="19"/>
  <c r="T56" i="19"/>
  <c r="R32" i="19"/>
  <c r="U54" i="19"/>
  <c r="V53" i="19"/>
  <c r="U53" i="19"/>
  <c r="S57" i="19"/>
  <c r="S34" i="19"/>
  <c r="U57" i="19"/>
  <c r="W56" i="19"/>
  <c r="W57" i="19"/>
  <c r="S52" i="19"/>
  <c r="V54" i="19"/>
  <c r="R58" i="19"/>
  <c r="V58" i="19"/>
  <c r="U56" i="19"/>
  <c r="R57" i="19"/>
  <c r="R12" i="19"/>
  <c r="R52" i="19"/>
  <c r="S53" i="19"/>
  <c r="U39" i="19"/>
  <c r="W51" i="19"/>
  <c r="W52" i="19"/>
  <c r="V52" i="19"/>
  <c r="T54" i="19"/>
  <c r="S56" i="19"/>
  <c r="S58" i="19"/>
  <c r="T35" i="19"/>
  <c r="U55" i="19"/>
  <c r="V56" i="19"/>
  <c r="V46" i="19"/>
  <c r="W53" i="19"/>
  <c r="V55" i="19"/>
  <c r="W54" i="19"/>
  <c r="T57" i="19"/>
  <c r="R54" i="19"/>
  <c r="U58" i="19"/>
  <c r="R53" i="19"/>
  <c r="W55" i="19"/>
  <c r="V57" i="19"/>
  <c r="T58" i="19"/>
  <c r="U52" i="19"/>
  <c r="W58" i="19"/>
  <c r="T53" i="19"/>
  <c r="S55" i="19"/>
  <c r="T41" i="19"/>
  <c r="R55" i="19"/>
  <c r="R56" i="19"/>
  <c r="R41" i="19"/>
  <c r="V39" i="19"/>
  <c r="S26" i="19"/>
  <c r="T45" i="19"/>
  <c r="T25" i="19"/>
  <c r="U13" i="19"/>
  <c r="R27" i="19"/>
  <c r="W26" i="19"/>
  <c r="T16" i="19"/>
  <c r="V23" i="19"/>
  <c r="U32" i="19"/>
  <c r="T17" i="19"/>
  <c r="V31" i="19"/>
  <c r="S51" i="19"/>
  <c r="V47" i="19"/>
  <c r="V50" i="19"/>
  <c r="R17" i="19"/>
  <c r="U26" i="19"/>
  <c r="S37" i="19"/>
  <c r="S21" i="19"/>
  <c r="S43" i="19"/>
  <c r="T33" i="19"/>
  <c r="T27" i="19"/>
  <c r="S31" i="19"/>
  <c r="U16" i="19"/>
  <c r="V36" i="19"/>
  <c r="V43" i="19"/>
  <c r="W40" i="19"/>
  <c r="R22" i="19"/>
  <c r="W30" i="19"/>
  <c r="S11" i="19"/>
  <c r="U12" i="19"/>
  <c r="W32" i="19"/>
  <c r="S13" i="19"/>
  <c r="U17" i="19"/>
  <c r="S24" i="19"/>
  <c r="U30" i="19"/>
  <c r="R40" i="19"/>
  <c r="S42" i="19"/>
  <c r="T47" i="19"/>
  <c r="T14" i="19"/>
  <c r="T48" i="19"/>
  <c r="T31" i="19"/>
  <c r="V18" i="19"/>
  <c r="W34" i="19"/>
  <c r="R39" i="19"/>
  <c r="R42" i="19"/>
  <c r="R31" i="19"/>
  <c r="W49" i="19"/>
  <c r="W41" i="19"/>
  <c r="R19" i="19"/>
  <c r="T51" i="19"/>
  <c r="W43" i="19"/>
  <c r="W36" i="19"/>
  <c r="V35" i="19"/>
  <c r="W47" i="19"/>
  <c r="S46" i="19"/>
  <c r="S32" i="19"/>
  <c r="W28" i="19"/>
  <c r="W33" i="19"/>
  <c r="U20" i="19"/>
  <c r="W18" i="19"/>
  <c r="R26" i="19"/>
  <c r="S47" i="19"/>
  <c r="U28" i="19"/>
  <c r="T28" i="19"/>
  <c r="R38" i="19"/>
  <c r="S29" i="19"/>
  <c r="W10" i="19"/>
  <c r="U42" i="19"/>
  <c r="U38" i="19"/>
  <c r="U49" i="19"/>
  <c r="S17" i="19"/>
  <c r="W46" i="19"/>
  <c r="R15" i="19"/>
  <c r="R20" i="19"/>
  <c r="V48" i="19"/>
  <c r="S38" i="19"/>
  <c r="U43" i="19"/>
  <c r="W44" i="19"/>
  <c r="R16" i="19"/>
  <c r="U33" i="19"/>
  <c r="R44" i="19"/>
  <c r="U35" i="19"/>
  <c r="R30" i="19"/>
  <c r="T18" i="19"/>
  <c r="W35" i="19"/>
  <c r="S15" i="19"/>
  <c r="T19" i="19"/>
  <c r="S16" i="19"/>
  <c r="S45" i="19"/>
  <c r="W29" i="19"/>
  <c r="W23" i="19"/>
  <c r="R24" i="19"/>
  <c r="V45" i="19"/>
  <c r="T50" i="19"/>
  <c r="V44" i="19"/>
  <c r="S28" i="19"/>
  <c r="T34" i="19"/>
  <c r="R23" i="19"/>
  <c r="V24" i="19"/>
  <c r="V16" i="19"/>
  <c r="T11" i="19"/>
  <c r="S25" i="19"/>
  <c r="T39" i="19"/>
  <c r="U18" i="19"/>
  <c r="V33" i="19"/>
  <c r="U34" i="19"/>
  <c r="U15" i="19"/>
  <c r="S44" i="19"/>
  <c r="W11" i="19"/>
  <c r="V34" i="19"/>
  <c r="W20" i="19"/>
  <c r="R25" i="19"/>
  <c r="S14" i="19"/>
  <c r="W19" i="19"/>
  <c r="S19" i="19"/>
  <c r="T10" i="19"/>
  <c r="R45" i="19"/>
  <c r="U21" i="19"/>
  <c r="T23" i="19"/>
  <c r="U14" i="19"/>
  <c r="S12" i="19"/>
  <c r="R51" i="19"/>
  <c r="R14" i="19"/>
  <c r="R13" i="19"/>
  <c r="S39" i="19"/>
  <c r="T43" i="19"/>
  <c r="V28" i="19"/>
  <c r="S35" i="19"/>
  <c r="T21" i="19"/>
  <c r="U47" i="19"/>
  <c r="S27" i="19"/>
  <c r="R49" i="19"/>
  <c r="T44" i="19"/>
  <c r="U44" i="19"/>
  <c r="S36" i="19"/>
  <c r="W15" i="19"/>
  <c r="V21" i="19"/>
  <c r="V15" i="19"/>
  <c r="V13" i="19"/>
  <c r="U10" i="19"/>
  <c r="W39" i="19"/>
  <c r="U29" i="19"/>
  <c r="V40" i="19"/>
  <c r="S10" i="19"/>
  <c r="W38" i="19"/>
  <c r="U27" i="19"/>
  <c r="S22" i="19"/>
  <c r="R10" i="19"/>
  <c r="T36" i="19"/>
  <c r="T40" i="19"/>
  <c r="U41" i="19"/>
  <c r="V42" i="19"/>
  <c r="W24" i="19"/>
  <c r="U37" i="19"/>
  <c r="T13" i="19"/>
  <c r="S23" i="19"/>
  <c r="U48" i="19"/>
  <c r="T30" i="19"/>
  <c r="V32" i="19"/>
  <c r="R48" i="19"/>
  <c r="S33" i="19"/>
  <c r="T42" i="19"/>
  <c r="U46" i="19"/>
  <c r="V11" i="19"/>
  <c r="U51" i="19"/>
  <c r="W50" i="19"/>
  <c r="T24" i="19"/>
  <c r="R34" i="19"/>
  <c r="W25" i="19"/>
  <c r="R33" i="19"/>
  <c r="V27" i="19"/>
  <c r="W13" i="19"/>
  <c r="V22" i="19"/>
  <c r="T20" i="19"/>
  <c r="W37" i="19"/>
  <c r="W22" i="19"/>
  <c r="V41" i="19"/>
  <c r="R37" i="19"/>
  <c r="U25" i="19"/>
  <c r="S20" i="19"/>
  <c r="W42" i="19"/>
  <c r="V26" i="19"/>
  <c r="V10" i="19"/>
  <c r="U31" i="19"/>
  <c r="R18" i="19"/>
  <c r="S48" i="19"/>
  <c r="T15" i="19"/>
  <c r="U19" i="19"/>
  <c r="V29" i="19"/>
  <c r="R46" i="19"/>
  <c r="R35" i="19"/>
  <c r="W21" i="19"/>
  <c r="S18" i="19"/>
  <c r="S30" i="19"/>
  <c r="W31" i="19"/>
  <c r="U36" i="19"/>
  <c r="S40" i="19"/>
  <c r="R47" i="19"/>
  <c r="T26" i="19"/>
  <c r="T32" i="19"/>
  <c r="S49" i="19"/>
  <c r="W16" i="19"/>
  <c r="V17" i="19"/>
  <c r="T37" i="19"/>
  <c r="W45" i="19"/>
  <c r="W12" i="19"/>
  <c r="T46" i="19"/>
  <c r="W48" i="19"/>
  <c r="T22" i="19"/>
  <c r="T49" i="19"/>
  <c r="V19" i="19"/>
  <c r="W27" i="19"/>
  <c r="T38" i="19"/>
  <c r="V30" i="19"/>
  <c r="S50" i="19"/>
  <c r="V49" i="19"/>
  <c r="R50" i="19"/>
  <c r="V37" i="19"/>
  <c r="T29" i="19"/>
  <c r="V20" i="19"/>
  <c r="W17" i="19"/>
  <c r="V38" i="19"/>
  <c r="U50" i="19"/>
  <c r="U23" i="19"/>
  <c r="R28" i="19"/>
  <c r="R11" i="19"/>
  <c r="U45" i="19"/>
  <c r="U40" i="19"/>
  <c r="R43" i="19"/>
  <c r="T12" i="19"/>
  <c r="R29" i="19"/>
  <c r="V25" i="19"/>
  <c r="R21" i="19"/>
  <c r="U11" i="19"/>
  <c r="V14" i="19"/>
  <c r="V12" i="19"/>
  <c r="R36" i="19"/>
  <c r="W14" i="19"/>
  <c r="V51" i="19"/>
  <c r="S41" i="19"/>
  <c r="U24" i="19"/>
  <c r="U22" i="19"/>
  <c r="V62" i="19" l="1"/>
  <c r="V63" i="19" s="1"/>
  <c r="V64" i="19" s="1"/>
  <c r="V8" i="19" s="1"/>
  <c r="W62" i="19"/>
  <c r="W63" i="19" s="1"/>
  <c r="W64" i="19" s="1"/>
  <c r="W8" i="19" s="1"/>
  <c r="R62" i="19"/>
  <c r="R63" i="19" s="1"/>
  <c r="R64" i="19" s="1"/>
  <c r="R8" i="19" s="1"/>
  <c r="U62" i="19"/>
  <c r="U63" i="19" s="1"/>
  <c r="U64" i="19" s="1"/>
  <c r="U8" i="19" s="1"/>
  <c r="T62" i="19"/>
  <c r="T63" i="19" s="1"/>
  <c r="T64" i="19" s="1"/>
  <c r="T8" i="19" s="1"/>
  <c r="S62" i="19"/>
  <c r="S63" i="19" s="1"/>
  <c r="S64" i="19" s="1"/>
  <c r="S8" i="19" s="1"/>
  <c r="L22" i="18" s="1"/>
  <c r="Q22" i="18" l="1"/>
</calcChain>
</file>

<file path=xl/comments1.xml><?xml version="1.0" encoding="utf-8"?>
<comments xmlns="http://schemas.openxmlformats.org/spreadsheetml/2006/main">
  <authors>
    <author>Vermeij, Izak</author>
  </authors>
  <commentList>
    <comment ref="H14" authorId="0" shapeId="0">
      <text>
        <r>
          <rPr>
            <b/>
            <sz val="9"/>
            <color indexed="81"/>
            <rFont val="Tahoma"/>
            <family val="2"/>
          </rPr>
          <t xml:space="preserve">Vanwege leklucht zal de maximale reductie 95% zijn. </t>
        </r>
        <r>
          <rPr>
            <sz val="9"/>
            <color indexed="81"/>
            <rFont val="Tahoma"/>
            <family val="2"/>
          </rPr>
          <t xml:space="preserve">
</t>
        </r>
      </text>
    </comment>
    <comment ref="H19" authorId="0" shapeId="0">
      <text>
        <r>
          <rPr>
            <b/>
            <sz val="9"/>
            <color indexed="81"/>
            <rFont val="Tahoma"/>
            <family val="2"/>
          </rPr>
          <t>Vanwege leklucht zal de gerealiseerde reductie maximaal 95% zijn.</t>
        </r>
        <r>
          <rPr>
            <sz val="9"/>
            <color indexed="81"/>
            <rFont val="Tahoma"/>
            <family val="2"/>
          </rPr>
          <t xml:space="preserve">
</t>
        </r>
      </text>
    </comment>
    <comment ref="L19" authorId="0" shapeId="0">
      <text>
        <r>
          <rPr>
            <b/>
            <sz val="9"/>
            <color indexed="81"/>
            <rFont val="Tahoma"/>
            <family val="2"/>
          </rPr>
          <t>Hier staat reductiepercentage van techniek zelf. Door de combinatie met andere technieken, zal het hieronder vermelde gerealiseerde percentage lager uitvallen.</t>
        </r>
        <r>
          <rPr>
            <sz val="9"/>
            <color indexed="81"/>
            <rFont val="Tahoma"/>
            <family val="2"/>
          </rPr>
          <t xml:space="preserve">
</t>
        </r>
      </text>
    </comment>
    <comment ref="L22" authorId="0" shapeId="0">
      <text>
        <r>
          <rPr>
            <sz val="9"/>
            <color indexed="81"/>
            <rFont val="Tahoma"/>
            <family val="2"/>
          </rPr>
          <t xml:space="preserve">Dit reductiepercentage is gebaseerd op het deel van de lucht dat door de overige techniek gaat en wordt beinvloed door de voorgaande technieken.
Enkele regels hierboven staat het reductiepercentage van de techniek 'an sich'. 
</t>
        </r>
      </text>
    </comment>
  </commentList>
</comments>
</file>

<file path=xl/sharedStrings.xml><?xml version="1.0" encoding="utf-8"?>
<sst xmlns="http://schemas.openxmlformats.org/spreadsheetml/2006/main" count="321" uniqueCount="214">
  <si>
    <t>datum</t>
  </si>
  <si>
    <t>Debiet</t>
  </si>
  <si>
    <t>PM10</t>
  </si>
  <si>
    <t>Lft</t>
  </si>
  <si>
    <t>gew hen</t>
  </si>
  <si>
    <t>gew haan</t>
  </si>
  <si>
    <t>Wk</t>
  </si>
  <si>
    <t>PM10 em. norm</t>
  </si>
  <si>
    <t>WW</t>
  </si>
  <si>
    <t>gew</t>
  </si>
  <si>
    <t>vleeskuikens</t>
  </si>
  <si>
    <t>PM10 em. +WW +50%</t>
  </si>
  <si>
    <t>PM10 em. +WW +60%</t>
  </si>
  <si>
    <t>PM10 em. +WW +70%</t>
  </si>
  <si>
    <t>PM10 em. +WW +80%</t>
  </si>
  <si>
    <t>Hoofd debiet WW 0,35</t>
  </si>
  <si>
    <t>Hoofd debiet WW</t>
  </si>
  <si>
    <t>PM10 em. +WW +77%</t>
  </si>
  <si>
    <t>PM10 em. +WW +99%</t>
  </si>
  <si>
    <t>ionisatiefilter</t>
  </si>
  <si>
    <t xml:space="preserve"> </t>
  </si>
  <si>
    <t>A</t>
  </si>
  <si>
    <t>B</t>
  </si>
  <si>
    <t>C</t>
  </si>
  <si>
    <t>D</t>
  </si>
  <si>
    <t>E</t>
  </si>
  <si>
    <t>G</t>
  </si>
  <si>
    <t>H</t>
  </si>
  <si>
    <t>I</t>
  </si>
  <si>
    <t>J</t>
  </si>
  <si>
    <t>L</t>
  </si>
  <si>
    <t>serie alles
voetnoot 2</t>
  </si>
  <si>
    <t>F</t>
  </si>
  <si>
    <t>K</t>
  </si>
  <si>
    <t>M</t>
  </si>
  <si>
    <t>N</t>
  </si>
  <si>
    <t>O</t>
  </si>
  <si>
    <t>P</t>
  </si>
  <si>
    <t>Q</t>
  </si>
  <si>
    <t>R</t>
  </si>
  <si>
    <t>S</t>
  </si>
  <si>
    <t>T</t>
  </si>
  <si>
    <t>U</t>
  </si>
  <si>
    <t>V</t>
  </si>
  <si>
    <t>W</t>
  </si>
  <si>
    <t>X</t>
  </si>
  <si>
    <t>Y</t>
  </si>
  <si>
    <t>bio wasser 60%</t>
  </si>
  <si>
    <t>bio wasser 75%</t>
  </si>
  <si>
    <t>biofilter</t>
  </si>
  <si>
    <t>oliefilm</t>
  </si>
  <si>
    <t>negatieve ionisatie</t>
  </si>
  <si>
    <t>water wasser</t>
  </si>
  <si>
    <t>droogfilter</t>
  </si>
  <si>
    <t>oliefim</t>
  </si>
  <si>
    <t>strooiselschuif</t>
  </si>
  <si>
    <t>percentages berekend door 1 x (1-%)x(1-%)</t>
  </si>
  <si>
    <t>rood</t>
  </si>
  <si>
    <t>afwijkend</t>
  </si>
  <si>
    <t>paars</t>
  </si>
  <si>
    <t xml:space="preserve"> 1% afwijkend</t>
  </si>
  <si>
    <t>blauw</t>
  </si>
  <si>
    <t>kan niet gecombineerd</t>
  </si>
  <si>
    <t>chemische wasser</t>
  </si>
  <si>
    <t>warmtewisselaar zonder stof 31%</t>
  </si>
  <si>
    <t>warmtewisselaar met stof 31%</t>
  </si>
  <si>
    <t>warmtewisselaar zonder stof 13%</t>
  </si>
  <si>
    <t>warmtewisselaar met stof 13%</t>
  </si>
  <si>
    <t>warmtewisselaar zonder stof 37%</t>
  </si>
  <si>
    <t>warmtewisselaar met stof 37%</t>
  </si>
  <si>
    <t>warmtewisselaar zonder stof 50%</t>
  </si>
  <si>
    <t>warmtewisselaar met stof 50%</t>
  </si>
  <si>
    <t>Overzicht maximale waarden rekenmodel reducties fijnstof</t>
  </si>
  <si>
    <t>waarden in m3/dier/uur</t>
  </si>
  <si>
    <t>Maximale ventilatie:</t>
  </si>
  <si>
    <t>Opfok leghennen</t>
  </si>
  <si>
    <t>Leghennen</t>
  </si>
  <si>
    <t>Opfok vleeskuikenouderdieren</t>
  </si>
  <si>
    <t>Vleeskuikenouderdieren</t>
  </si>
  <si>
    <t>Vleeskuikens</t>
  </si>
  <si>
    <t>Vleeskalkoenen hennen</t>
  </si>
  <si>
    <t>Vleeskalkoenen hanen</t>
  </si>
  <si>
    <t>Vleeseenden</t>
  </si>
  <si>
    <t>Debiet door droogtunnel</t>
  </si>
  <si>
    <t>rekenwaarde</t>
  </si>
  <si>
    <t>in overzicht</t>
  </si>
  <si>
    <t>bandendroger (30%)</t>
  </si>
  <si>
    <t>Deze waarden staan (nog) niet genoemd in de beschrijvingen.</t>
  </si>
  <si>
    <t>platendroger (55%)</t>
  </si>
  <si>
    <t>Debiet door warmtewisselaar</t>
  </si>
  <si>
    <t>ZONDER FILTERS</t>
  </si>
  <si>
    <t>Reductiepercentage op stalniveau:</t>
  </si>
  <si>
    <t>MET FILTERS</t>
  </si>
  <si>
    <t>Staltechniek</t>
  </si>
  <si>
    <t>GEEN DROOGTUNNEL</t>
  </si>
  <si>
    <t>DROOGTUNNEL (PLATEN) 55%</t>
  </si>
  <si>
    <t>DROOGTUNNEL (BANDEN) 30%</t>
  </si>
  <si>
    <t>OLIEFILM</t>
  </si>
  <si>
    <t>JA</t>
  </si>
  <si>
    <t>NEE</t>
  </si>
  <si>
    <t>BIO WASSER 60%</t>
  </si>
  <si>
    <t>BIO WASSER 75%</t>
  </si>
  <si>
    <t>BIOFILTER</t>
  </si>
  <si>
    <t>DROOGFILTERWAND</t>
  </si>
  <si>
    <t>IONISATIEFILTER</t>
  </si>
  <si>
    <t>WARMTEWISSELAAR 31%</t>
  </si>
  <si>
    <t>WARMTEWISSELAAR 13%</t>
  </si>
  <si>
    <t>WARMTEWISSELAAR 37%</t>
  </si>
  <si>
    <t>WARMTEWISSELAAR 50%</t>
  </si>
  <si>
    <t>ZONDER STOFFILTER</t>
  </si>
  <si>
    <t>MET STOFFILTER</t>
  </si>
  <si>
    <t>GEEN STALTECHNIEK</t>
  </si>
  <si>
    <r>
      <t>Max. ventilatiedebiet m</t>
    </r>
    <r>
      <rPr>
        <vertAlign val="superscript"/>
        <sz val="12"/>
        <color theme="0"/>
        <rFont val="Calibri"/>
        <family val="2"/>
        <scheme val="minor"/>
      </rPr>
      <t>3</t>
    </r>
    <r>
      <rPr>
        <sz val="12"/>
        <color theme="0"/>
        <rFont val="Calibri"/>
        <family val="2"/>
        <scheme val="minor"/>
      </rPr>
      <t>/d/uur</t>
    </r>
  </si>
  <si>
    <t>GEEN TECHNIEK</t>
  </si>
  <si>
    <t>̌</t>
  </si>
  <si>
    <t>WATERLUCHTWASSYSTEEM</t>
  </si>
  <si>
    <t>ALLE VENTILATIELUCHT</t>
  </si>
  <si>
    <t>DEEL VENTILATIELUCHT</t>
  </si>
  <si>
    <r>
      <t>Kies ALLE VENTILATIELUCHT ivm vereiste NH</t>
    </r>
    <r>
      <rPr>
        <vertAlign val="subscript"/>
        <sz val="12"/>
        <color theme="0"/>
        <rFont val="Calibri"/>
        <family val="2"/>
        <scheme val="minor"/>
      </rPr>
      <t xml:space="preserve">3 </t>
    </r>
    <r>
      <rPr>
        <sz val="12"/>
        <color theme="0"/>
        <rFont val="Calibri"/>
        <family val="2"/>
        <scheme val="minor"/>
      </rPr>
      <t>reductie</t>
    </r>
  </si>
  <si>
    <t>75% VENTILATIE</t>
  </si>
  <si>
    <t>50% VENTILATIE</t>
  </si>
  <si>
    <t>25% VENTILATIE</t>
  </si>
  <si>
    <t>PARALLEL GESCHAKELD MET WARMTEWISSELAAR</t>
  </si>
  <si>
    <t>SERIE GESCHAKELD MET WARMTEWISSELAAR</t>
  </si>
  <si>
    <t>Overige technieken</t>
  </si>
  <si>
    <t>Maximale ventilatie in de stal</t>
  </si>
  <si>
    <t>naam</t>
  </si>
  <si>
    <t>adres</t>
  </si>
  <si>
    <r>
      <t>Reductiepercentage PM</t>
    </r>
    <r>
      <rPr>
        <b/>
        <vertAlign val="subscript"/>
        <sz val="24"/>
        <rFont val="Calibri"/>
        <family val="2"/>
        <scheme val="minor"/>
      </rPr>
      <t>10</t>
    </r>
  </si>
  <si>
    <t>Reductiepercentage in stal</t>
  </si>
  <si>
    <t>Reductiepercentage overige techniek</t>
  </si>
  <si>
    <t>Berekenen van het reductiepercentage van combinaties van fijnstof reducerende technieken</t>
  </si>
  <si>
    <t>Lft (dg)</t>
  </si>
  <si>
    <t>MG</t>
  </si>
  <si>
    <t>Voer (g/d)</t>
  </si>
  <si>
    <t>Totaal deb update (m3/d/u)</t>
  </si>
  <si>
    <t>Hoofd deb update minus WW (m3/d/u)</t>
  </si>
  <si>
    <t>Deb. w.wisselaar (m3/u/d)</t>
  </si>
  <si>
    <t>PM10 conc (mg/m3)</t>
  </si>
  <si>
    <t>#dieren</t>
  </si>
  <si>
    <t>Emissie PM10 zonder reductie (g/dpl/j)</t>
  </si>
  <si>
    <r>
      <t xml:space="preserve">Emissie (g/dpl/jr) bij ..% red. WW </t>
    </r>
    <r>
      <rPr>
        <b/>
        <i/>
        <u/>
        <sz val="10"/>
        <rFont val="Arial"/>
        <family val="2"/>
      </rPr>
      <t>en</t>
    </r>
    <r>
      <rPr>
        <b/>
        <sz val="10"/>
        <rFont val="Arial"/>
        <family val="2"/>
      </rPr>
      <t xml:space="preserve"> ..%red hoofddebiet</t>
    </r>
  </si>
  <si>
    <t>Berekeningen bij uitbroeden/opfokken en overplaatsen</t>
  </si>
  <si>
    <t>Achtergrond</t>
  </si>
  <si>
    <t>reductie in de stal</t>
  </si>
  <si>
    <t>max. debiet door wwlaar/droge stoffilters (m3/u/d)</t>
  </si>
  <si>
    <t>zonder reductie</t>
  </si>
  <si>
    <t>met reductie</t>
  </si>
  <si>
    <t>verhouding plaatsen</t>
  </si>
  <si>
    <t>1:2</t>
  </si>
  <si>
    <t>1:1</t>
  </si>
  <si>
    <t>trad.</t>
  </si>
  <si>
    <t>uitbroed/opfok-systeem</t>
  </si>
  <si>
    <t>gemiddelde reductie</t>
  </si>
  <si>
    <t>Overplaatsen op  .... dagen</t>
  </si>
  <si>
    <t>dagen eieren</t>
  </si>
  <si>
    <t>dagen leegstand</t>
  </si>
  <si>
    <t>dagen/ronde</t>
  </si>
  <si>
    <t># rondes/jr</t>
  </si>
  <si>
    <t>emissie/ronde  (gam)</t>
  </si>
  <si>
    <t>emissie/dpl/jr (gram)</t>
  </si>
  <si>
    <t>vervolghuisvesting</t>
  </si>
  <si>
    <t># dagen</t>
  </si>
  <si>
    <t>Groeiperiode</t>
  </si>
  <si>
    <t>Patio</t>
  </si>
  <si>
    <t>VVH</t>
  </si>
  <si>
    <t>Leegstand na vvh</t>
  </si>
  <si>
    <t># ronden</t>
  </si>
  <si>
    <t>emissie/ronde  (gram)</t>
  </si>
  <si>
    <t>samen (gr/dpl/jr)</t>
  </si>
  <si>
    <t>verschil t.o.v. trad.</t>
  </si>
  <si>
    <t>reductie</t>
  </si>
  <si>
    <t>totaal reductie debiet</t>
  </si>
  <si>
    <t>gem (- leeg)</t>
  </si>
  <si>
    <t>gem (+ leeg)</t>
  </si>
  <si>
    <t>TOTAAL DEBIET (hoofd en WW)</t>
  </si>
  <si>
    <t>reductie wwlaar zonder droge stoffilters</t>
  </si>
  <si>
    <t>beiden niet via techniek</t>
  </si>
  <si>
    <t>reductie overige techniek ALLE lucht</t>
  </si>
  <si>
    <t>Emissie alleen stoffilter</t>
  </si>
  <si>
    <t>Emissie alleen ww</t>
  </si>
  <si>
    <t>lucht ww niet via techniek</t>
  </si>
  <si>
    <t>Emissie na overige techniek (g/dpl/jr)</t>
  </si>
  <si>
    <t>lucht ww niet via techniek wel via stoffilter</t>
  </si>
  <si>
    <t>% t.o.v. maximum</t>
  </si>
  <si>
    <t>ww wel via overige techniek</t>
  </si>
  <si>
    <t>Warmtewisselaar met stoffilter?</t>
  </si>
  <si>
    <t>lucht ww i.c.m. filter via techniek</t>
  </si>
  <si>
    <t>max. debiet stoffilter stand alone</t>
  </si>
  <si>
    <t>Emissie ww + stand alone stoffilter</t>
  </si>
  <si>
    <t>Deb. Alleen Stoffilter (m3/u/d)</t>
  </si>
  <si>
    <t>Deb. Ww en Stoffilter (m3/u/d)</t>
  </si>
  <si>
    <t>Emissie Stoffilter en ww achter elkaar</t>
  </si>
  <si>
    <t>max. debiet stoffilter met ww</t>
  </si>
  <si>
    <t>Gemaakt in opdracht van het ministerie van Infrastructuur en Waterstaat</t>
  </si>
  <si>
    <t>ww incl stoffilter via techniek</t>
  </si>
  <si>
    <r>
      <t>m</t>
    </r>
    <r>
      <rPr>
        <vertAlign val="superscript"/>
        <sz val="12"/>
        <color theme="1"/>
        <rFont val="Calibri"/>
        <family val="2"/>
        <scheme val="minor"/>
      </rPr>
      <t>3</t>
    </r>
    <r>
      <rPr>
        <sz val="12"/>
        <color theme="1"/>
        <rFont val="Calibri"/>
        <family val="2"/>
        <scheme val="minor"/>
      </rPr>
      <t>/uur</t>
    </r>
  </si>
  <si>
    <r>
      <t>m</t>
    </r>
    <r>
      <rPr>
        <b/>
        <vertAlign val="superscript"/>
        <sz val="14"/>
        <color theme="0" tint="-0.499984740745262"/>
        <rFont val="Calibri"/>
        <family val="2"/>
        <scheme val="minor"/>
      </rPr>
      <t>3</t>
    </r>
    <r>
      <rPr>
        <b/>
        <sz val="14"/>
        <color theme="0" tint="-0.499984740745262"/>
        <rFont val="Calibri"/>
        <family val="2"/>
        <scheme val="minor"/>
      </rPr>
      <t>/uur</t>
    </r>
  </si>
  <si>
    <t>LUCHTCONDITIONERINGSUNIT</t>
  </si>
  <si>
    <t>IONISATIE d.m.v. KOOLSTOFBORSTELTJES</t>
  </si>
  <si>
    <r>
      <t xml:space="preserve">Bij alle </t>
    </r>
    <r>
      <rPr>
        <b/>
        <sz val="14"/>
        <color rgb="FFFFFF00"/>
        <rFont val="Calibri"/>
        <family val="2"/>
        <scheme val="minor"/>
      </rPr>
      <t xml:space="preserve">GEEL </t>
    </r>
    <r>
      <rPr>
        <b/>
        <sz val="14"/>
        <color rgb="FF0070C0"/>
        <rFont val="Calibri"/>
        <family val="2"/>
        <scheme val="minor"/>
      </rPr>
      <t xml:space="preserve">gekleurde vakjes dient een keuze gemaakt te worden. Ga op het vakje staan, klik rechts naast vakje en kies een optie.                              </t>
    </r>
  </si>
  <si>
    <r>
      <t xml:space="preserve">De gerealiseerde reductiepercentages staan in </t>
    </r>
    <r>
      <rPr>
        <b/>
        <sz val="14"/>
        <color rgb="FF00B050"/>
        <rFont val="Calibri"/>
        <family val="2"/>
        <scheme val="minor"/>
      </rPr>
      <t xml:space="preserve">GROENE </t>
    </r>
    <r>
      <rPr>
        <b/>
        <sz val="14"/>
        <color rgb="FF0070C0"/>
        <rFont val="Calibri"/>
        <family val="2"/>
        <scheme val="minor"/>
      </rPr>
      <t xml:space="preserve">blokjes vermeld. Helemaal rechts is het reductiepercentage van de combinatie van de fijnstofreducerende </t>
    </r>
  </si>
  <si>
    <r>
      <t xml:space="preserve">technieken weergegeven. Als combinaties niet mogelijk of zinvol zijn, verschijnt er tekst in </t>
    </r>
    <r>
      <rPr>
        <b/>
        <sz val="14"/>
        <color rgb="FFFF0000"/>
        <rFont val="Calibri"/>
        <family val="2"/>
        <scheme val="minor"/>
      </rPr>
      <t>ROOD</t>
    </r>
    <r>
      <rPr>
        <b/>
        <sz val="14"/>
        <color rgb="FF0070C0"/>
        <rFont val="Calibri"/>
        <family val="2"/>
        <scheme val="minor"/>
      </rPr>
      <t>. Bij 'niet mogelijk' dient u keuze(s) aan te passen.</t>
    </r>
  </si>
  <si>
    <t xml:space="preserve">Bij warmtewisselaar en stoffilter kan de ventilatiehoeveelheid door een techniek aangepast worden met de pijltjes omhoog/omlaag. </t>
  </si>
  <si>
    <t>Gew. (kg)</t>
  </si>
  <si>
    <t>HENNEN</t>
  </si>
  <si>
    <t>HANEN</t>
  </si>
  <si>
    <t>KIES HENNEN of HANEN</t>
  </si>
  <si>
    <t>Stal voor vleeseenden</t>
  </si>
  <si>
    <t>invullen</t>
  </si>
  <si>
    <t>Rekenmodel Vee-combistof - pluimvee (V2.0, 15 maart 2021)</t>
  </si>
  <si>
    <t>CHEMISCHE WASSER 35%</t>
  </si>
  <si>
    <t>CHEMISCHE WASSER 70%</t>
  </si>
  <si>
    <t>TOELICHTING GEBRUIK REKENMODEL (Er is online ook een handleiding beschikbaar).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</si>
</sst>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0.000"/>
    <numFmt numFmtId="167" formatCode="0.0%"/>
    <numFmt numFmtId="168" formatCode="#,##0.00_ ;\-#,##0.00\ "/>
    <numFmt numFmtId="169" formatCode="0.000000"/>
  </numFmts>
  <fonts count="68" x14ac:knownFonts="1">
    <font>
      <sz val="10"/>
      <name val="Arial"/>
    </font>
    <font>
      <sz val="11"/>
      <color theme="1"/>
      <name val="Calibri"/>
      <family val="2"/>
      <scheme val="minor"/>
    </font>
    <font>
      <sz val="10"/>
      <name val="Arial"/>
      <family val="2"/>
    </font>
    <font>
      <sz val="8"/>
      <name val="Arial"/>
      <family val="2"/>
    </font>
    <font>
      <b/>
      <sz val="10"/>
      <name val="Arial"/>
      <family val="2"/>
    </font>
    <font>
      <i/>
      <sz val="10"/>
      <name val="Arial"/>
      <family val="2"/>
    </font>
    <font>
      <sz val="10"/>
      <name val="Arial"/>
      <family val="2"/>
    </font>
    <font>
      <b/>
      <i/>
      <sz val="10"/>
      <name val="Arial"/>
      <family val="2"/>
    </font>
    <font>
      <b/>
      <i/>
      <u/>
      <sz val="10"/>
      <name val="Arial"/>
      <family val="2"/>
    </font>
    <font>
      <sz val="12"/>
      <color theme="1"/>
      <name val="Calibri"/>
      <family val="2"/>
      <scheme val="minor"/>
    </font>
    <font>
      <b/>
      <sz val="14"/>
      <color theme="1"/>
      <name val="Calibri"/>
      <family val="2"/>
      <scheme val="minor"/>
    </font>
    <font>
      <b/>
      <sz val="12"/>
      <name val="Calibri"/>
      <family val="2"/>
      <scheme val="minor"/>
    </font>
    <font>
      <sz val="9"/>
      <color rgb="FF000000"/>
      <name val="Verdana"/>
      <family val="2"/>
    </font>
    <font>
      <b/>
      <sz val="12"/>
      <color theme="1"/>
      <name val="Calibri"/>
      <family val="2"/>
      <scheme val="minor"/>
    </font>
    <font>
      <sz val="12"/>
      <color theme="4" tint="0.59999389629810485"/>
      <name val="Calibri"/>
      <family val="2"/>
      <scheme val="minor"/>
    </font>
    <font>
      <sz val="12"/>
      <name val="Calibri"/>
      <family val="2"/>
      <scheme val="minor"/>
    </font>
    <font>
      <sz val="12"/>
      <color rgb="FFFF0000"/>
      <name val="Calibri"/>
      <family val="2"/>
      <scheme val="minor"/>
    </font>
    <font>
      <b/>
      <sz val="13"/>
      <color theme="1"/>
      <name val="Calibri"/>
      <family val="2"/>
      <scheme val="minor"/>
    </font>
    <font>
      <vertAlign val="superscript"/>
      <sz val="12"/>
      <color theme="1"/>
      <name val="Calibri"/>
      <family val="2"/>
      <scheme val="minor"/>
    </font>
    <font>
      <sz val="14"/>
      <name val="Calibri"/>
      <family val="2"/>
      <scheme val="minor"/>
    </font>
    <font>
      <sz val="18"/>
      <color theme="1"/>
      <name val="Calibri"/>
      <family val="2"/>
      <scheme val="minor"/>
    </font>
    <font>
      <sz val="10"/>
      <name val="Arial"/>
      <family val="2"/>
    </font>
    <font>
      <sz val="14"/>
      <color rgb="FFFF0000"/>
      <name val="Calibri"/>
      <family val="2"/>
      <scheme val="minor"/>
    </font>
    <font>
      <sz val="9"/>
      <color theme="1"/>
      <name val="Verdana"/>
      <family val="2"/>
    </font>
    <font>
      <b/>
      <u/>
      <sz val="9"/>
      <color theme="1"/>
      <name val="Verdana"/>
      <family val="2"/>
    </font>
    <font>
      <b/>
      <i/>
      <sz val="9"/>
      <color theme="1"/>
      <name val="Verdana"/>
      <family val="2"/>
    </font>
    <font>
      <u/>
      <sz val="9"/>
      <color theme="1"/>
      <name val="Verdana"/>
      <family val="2"/>
    </font>
    <font>
      <i/>
      <sz val="9"/>
      <color theme="1"/>
      <name val="Verdana"/>
      <family val="2"/>
    </font>
    <font>
      <b/>
      <sz val="14"/>
      <color rgb="FFFF0000"/>
      <name val="Calibri"/>
      <family val="2"/>
      <scheme val="minor"/>
    </font>
    <font>
      <b/>
      <sz val="12"/>
      <color rgb="FFFF0000"/>
      <name val="Calibri"/>
      <family val="2"/>
      <scheme val="minor"/>
    </font>
    <font>
      <sz val="14"/>
      <color theme="1"/>
      <name val="Calibri"/>
      <family val="2"/>
      <scheme val="minor"/>
    </font>
    <font>
      <sz val="12"/>
      <color theme="0"/>
      <name val="Calibri"/>
      <family val="2"/>
      <scheme val="minor"/>
    </font>
    <font>
      <vertAlign val="superscript"/>
      <sz val="12"/>
      <color theme="0"/>
      <name val="Calibri"/>
      <family val="2"/>
      <scheme val="minor"/>
    </font>
    <font>
      <b/>
      <sz val="12"/>
      <color theme="0"/>
      <name val="Calibri"/>
      <family val="2"/>
      <scheme val="minor"/>
    </font>
    <font>
      <sz val="12"/>
      <color theme="1"/>
      <name val="Calibri"/>
      <family val="2"/>
    </font>
    <font>
      <b/>
      <sz val="22"/>
      <color theme="1"/>
      <name val="Calibri"/>
      <family val="2"/>
      <scheme val="minor"/>
    </font>
    <font>
      <sz val="10"/>
      <color rgb="FFFF0000"/>
      <name val="Arial"/>
      <family val="2"/>
    </font>
    <font>
      <sz val="12"/>
      <name val="Arial"/>
      <family val="2"/>
    </font>
    <font>
      <b/>
      <sz val="14"/>
      <name val="Arial"/>
      <family val="2"/>
    </font>
    <font>
      <sz val="14"/>
      <name val="Arial"/>
      <family val="2"/>
    </font>
    <font>
      <b/>
      <sz val="13"/>
      <color rgb="FFFF0000"/>
      <name val="Calibri"/>
      <family val="2"/>
      <scheme val="minor"/>
    </font>
    <font>
      <sz val="23"/>
      <color theme="1"/>
      <name val="Calibri"/>
      <family val="2"/>
      <scheme val="minor"/>
    </font>
    <font>
      <b/>
      <sz val="24"/>
      <name val="Calibri"/>
      <family val="2"/>
      <scheme val="minor"/>
    </font>
    <font>
      <b/>
      <sz val="16"/>
      <color rgb="FFFF0000"/>
      <name val="Calibri"/>
      <family val="2"/>
      <scheme val="minor"/>
    </font>
    <font>
      <vertAlign val="subscript"/>
      <sz val="12"/>
      <color theme="0"/>
      <name val="Calibri"/>
      <family val="2"/>
      <scheme val="minor"/>
    </font>
    <font>
      <sz val="10"/>
      <color theme="0"/>
      <name val="Arial"/>
      <family val="2"/>
    </font>
    <font>
      <b/>
      <sz val="20"/>
      <color theme="3" tint="0.39997558519241921"/>
      <name val="Calibri"/>
      <family val="2"/>
      <scheme val="minor"/>
    </font>
    <font>
      <sz val="18"/>
      <name val="Calibri"/>
      <family val="2"/>
      <scheme val="minor"/>
    </font>
    <font>
      <b/>
      <sz val="14"/>
      <color theme="0" tint="-0.499984740745262"/>
      <name val="Calibri"/>
      <family val="2"/>
      <scheme val="minor"/>
    </font>
    <font>
      <b/>
      <vertAlign val="superscript"/>
      <sz val="14"/>
      <color theme="0" tint="-0.499984740745262"/>
      <name val="Calibri"/>
      <family val="2"/>
      <scheme val="minor"/>
    </font>
    <font>
      <b/>
      <sz val="14"/>
      <color rgb="FF0070C0"/>
      <name val="Calibri"/>
      <family val="2"/>
      <scheme val="minor"/>
    </font>
    <font>
      <b/>
      <sz val="14"/>
      <color rgb="FF00B050"/>
      <name val="Calibri"/>
      <family val="2"/>
      <scheme val="minor"/>
    </font>
    <font>
      <b/>
      <sz val="14"/>
      <name val="Calibri"/>
      <family val="2"/>
      <scheme val="minor"/>
    </font>
    <font>
      <b/>
      <sz val="14"/>
      <color rgb="FF002060"/>
      <name val="Calibri"/>
      <family val="2"/>
      <scheme val="minor"/>
    </font>
    <font>
      <b/>
      <vertAlign val="subscript"/>
      <sz val="24"/>
      <name val="Calibri"/>
      <family val="2"/>
      <scheme val="minor"/>
    </font>
    <font>
      <sz val="9"/>
      <color indexed="81"/>
      <name val="Tahoma"/>
      <family val="2"/>
    </font>
    <font>
      <b/>
      <sz val="9"/>
      <color indexed="81"/>
      <name val="Tahoma"/>
      <family val="2"/>
    </font>
    <font>
      <b/>
      <sz val="14"/>
      <color rgb="FFFFFF00"/>
      <name val="Calibri"/>
      <family val="2"/>
      <scheme val="minor"/>
    </font>
    <font>
      <b/>
      <sz val="15"/>
      <name val="Calibri"/>
      <family val="2"/>
      <scheme val="minor"/>
    </font>
    <font>
      <sz val="15"/>
      <name val="Arial"/>
      <family val="2"/>
    </font>
    <font>
      <b/>
      <sz val="12"/>
      <color rgb="FFFFFF00"/>
      <name val="Calibri"/>
      <family val="2"/>
      <scheme val="minor"/>
    </font>
    <font>
      <sz val="12"/>
      <color rgb="FFFFFF00"/>
      <name val="Calibri"/>
      <family val="2"/>
      <scheme val="minor"/>
    </font>
    <font>
      <b/>
      <sz val="14"/>
      <color rgb="FFFF0000"/>
      <name val="Arial"/>
      <family val="2"/>
    </font>
    <font>
      <b/>
      <sz val="12"/>
      <color rgb="FFFF0000"/>
      <name val="Verdana"/>
      <family val="2"/>
    </font>
    <font>
      <sz val="12"/>
      <color rgb="FF222222"/>
      <name val="Calibri"/>
      <family val="2"/>
      <scheme val="minor"/>
    </font>
    <font>
      <b/>
      <sz val="12"/>
      <color rgb="FF00B0F0"/>
      <name val="Calibri"/>
      <family val="2"/>
      <scheme val="minor"/>
    </font>
    <font>
      <b/>
      <sz val="10"/>
      <color rgb="FF00B0F0"/>
      <name val="Arial"/>
      <family val="2"/>
    </font>
    <font>
      <b/>
      <sz val="14"/>
      <color rgb="FF0070C0"/>
      <name val="Arial"/>
      <family val="2"/>
    </font>
  </fonts>
  <fills count="2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13"/>
        <bgColor indexed="64"/>
      </patternFill>
    </fill>
    <fill>
      <patternFill patternType="solid">
        <fgColor rgb="FFCCFFCC"/>
        <bgColor indexed="64"/>
      </patternFill>
    </fill>
    <fill>
      <patternFill patternType="solid">
        <fgColor indexed="42"/>
        <bgColor indexed="64"/>
      </patternFill>
    </fill>
    <fill>
      <patternFill patternType="solid">
        <fgColor theme="7"/>
        <bgColor indexed="64"/>
      </patternFill>
    </fill>
    <fill>
      <patternFill patternType="solid">
        <fgColor rgb="FFFF0000"/>
        <bgColor indexed="64"/>
      </patternFill>
    </fill>
    <fill>
      <patternFill patternType="solid">
        <fgColor rgb="FF8064A2"/>
        <bgColor indexed="64"/>
      </patternFill>
    </fill>
    <fill>
      <patternFill patternType="solid">
        <fgColor rgb="FF0070C0"/>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9" fontId="2"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0" fontId="12" fillId="0" borderId="0"/>
    <xf numFmtId="164" fontId="21" fillId="0" borderId="0" applyFont="0" applyFill="0" applyBorder="0" applyAlignment="0" applyProtection="0"/>
    <xf numFmtId="0" fontId="23" fillId="0" borderId="0"/>
  </cellStyleXfs>
  <cellXfs count="292">
    <xf numFmtId="0" fontId="0" fillId="0" borderId="0" xfId="0"/>
    <xf numFmtId="0" fontId="0" fillId="0" borderId="0" xfId="0"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horizontal="center"/>
    </xf>
    <xf numFmtId="2" fontId="6" fillId="0" borderId="0" xfId="0" applyNumberFormat="1" applyFont="1" applyAlignment="1">
      <alignment horizontal="center"/>
    </xf>
    <xf numFmtId="2" fontId="4" fillId="0" borderId="0" xfId="0" applyNumberFormat="1"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4" fillId="0" borderId="0" xfId="0" applyFont="1" applyAlignment="1">
      <alignment horizontal="center" vertical="top" wrapText="1"/>
    </xf>
    <xf numFmtId="2" fontId="4" fillId="0" borderId="0" xfId="0" applyNumberFormat="1" applyFont="1" applyAlignment="1">
      <alignment horizontal="center"/>
    </xf>
    <xf numFmtId="0" fontId="5" fillId="0" borderId="0" xfId="0" applyFont="1" applyAlignment="1">
      <alignment horizontal="center"/>
    </xf>
    <xf numFmtId="167" fontId="2" fillId="0" borderId="0" xfId="1" applyNumberFormat="1" applyAlignment="1">
      <alignment horizontal="center"/>
    </xf>
    <xf numFmtId="167" fontId="4" fillId="0" borderId="0" xfId="1" applyNumberFormat="1" applyFont="1" applyAlignment="1">
      <alignment horizontal="center"/>
    </xf>
    <xf numFmtId="0" fontId="0" fillId="0" borderId="0" xfId="0" applyNumberFormat="1" applyAlignment="1">
      <alignment horizontal="center"/>
    </xf>
    <xf numFmtId="166" fontId="4" fillId="0" borderId="0" xfId="0" applyNumberFormat="1" applyFont="1" applyAlignment="1">
      <alignment horizontal="center"/>
    </xf>
    <xf numFmtId="0" fontId="4" fillId="0" borderId="0" xfId="0" applyFont="1" applyAlignment="1">
      <alignment vertical="top" wrapText="1"/>
    </xf>
    <xf numFmtId="0" fontId="4" fillId="0" borderId="0" xfId="0" applyNumberFormat="1" applyFont="1" applyAlignment="1">
      <alignment horizontal="center" vertical="top" wrapText="1"/>
    </xf>
    <xf numFmtId="2" fontId="0" fillId="0" borderId="0" xfId="0" applyNumberFormat="1" applyAlignment="1">
      <alignment horizontal="center" vertical="top" wrapText="1"/>
    </xf>
    <xf numFmtId="166" fontId="0" fillId="0" borderId="0" xfId="0" applyNumberFormat="1" applyAlignment="1">
      <alignment horizontal="center" vertical="top" wrapText="1"/>
    </xf>
    <xf numFmtId="0" fontId="0" fillId="2" borderId="0" xfId="0" applyFill="1" applyAlignment="1">
      <alignment horizontal="center"/>
    </xf>
    <xf numFmtId="2" fontId="6" fillId="2" borderId="0" xfId="0" applyNumberFormat="1" applyFont="1" applyFill="1" applyAlignment="1">
      <alignment horizontal="center"/>
    </xf>
    <xf numFmtId="0" fontId="4" fillId="2" borderId="0" xfId="0" applyFont="1" applyFill="1" applyAlignment="1">
      <alignment horizontal="center" vertical="top" wrapText="1"/>
    </xf>
    <xf numFmtId="167" fontId="4" fillId="2" borderId="0" xfId="1" applyNumberFormat="1" applyFont="1" applyFill="1" applyAlignment="1">
      <alignment horizontal="center"/>
    </xf>
    <xf numFmtId="0" fontId="5" fillId="2" borderId="0" xfId="0" applyFont="1" applyFill="1" applyAlignment="1">
      <alignment horizontal="center"/>
    </xf>
    <xf numFmtId="2" fontId="0" fillId="2" borderId="0" xfId="0" applyNumberFormat="1" applyFill="1" applyAlignment="1">
      <alignment horizontal="center"/>
    </xf>
    <xf numFmtId="2" fontId="4" fillId="2" borderId="0" xfId="0" applyNumberFormat="1" applyFont="1" applyFill="1" applyAlignment="1">
      <alignment horizontal="center"/>
    </xf>
    <xf numFmtId="167" fontId="2" fillId="2" borderId="0" xfId="1" applyNumberFormat="1" applyFill="1" applyAlignment="1">
      <alignment horizontal="center"/>
    </xf>
    <xf numFmtId="0" fontId="4" fillId="0" borderId="1" xfId="0" applyFont="1" applyBorder="1" applyAlignment="1">
      <alignment horizontal="center" vertical="top" wrapText="1"/>
    </xf>
    <xf numFmtId="0" fontId="4" fillId="0" borderId="1" xfId="0" applyNumberFormat="1" applyFont="1" applyBorder="1" applyAlignment="1">
      <alignment horizontal="center" vertical="top" wrapText="1"/>
    </xf>
    <xf numFmtId="165" fontId="4" fillId="2" borderId="1" xfId="0" applyNumberFormat="1" applyFont="1" applyFill="1" applyBorder="1" applyAlignment="1">
      <alignment horizontal="center" vertical="top" wrapText="1"/>
    </xf>
    <xf numFmtId="165" fontId="4" fillId="0" borderId="1" xfId="0" applyNumberFormat="1" applyFont="1" applyBorder="1" applyAlignment="1">
      <alignment horizontal="center" vertical="top" wrapText="1"/>
    </xf>
    <xf numFmtId="0" fontId="4" fillId="3" borderId="0" xfId="0" applyFont="1" applyFill="1" applyAlignment="1">
      <alignment horizontal="center" vertical="top" wrapText="1"/>
    </xf>
    <xf numFmtId="167" fontId="4" fillId="3" borderId="0" xfId="1" applyNumberFormat="1" applyFont="1" applyFill="1" applyAlignment="1">
      <alignment horizontal="center"/>
    </xf>
    <xf numFmtId="0" fontId="0" fillId="3" borderId="0" xfId="0" applyFill="1" applyAlignment="1">
      <alignment horizontal="center"/>
    </xf>
    <xf numFmtId="2" fontId="0" fillId="3" borderId="0" xfId="0" applyNumberFormat="1" applyFill="1" applyAlignment="1">
      <alignment horizontal="center"/>
    </xf>
    <xf numFmtId="2" fontId="4" fillId="3" borderId="0" xfId="0" applyNumberFormat="1" applyFont="1" applyFill="1" applyAlignment="1">
      <alignment horizontal="center"/>
    </xf>
    <xf numFmtId="165" fontId="4" fillId="3" borderId="1" xfId="0" applyNumberFormat="1" applyFont="1" applyFill="1" applyBorder="1" applyAlignment="1">
      <alignment horizontal="center" vertical="top" wrapText="1"/>
    </xf>
    <xf numFmtId="167" fontId="2" fillId="3" borderId="0" xfId="1" applyNumberFormat="1" applyFill="1" applyAlignment="1">
      <alignment horizontal="center"/>
    </xf>
    <xf numFmtId="0" fontId="2" fillId="0" borderId="0" xfId="0" applyFont="1"/>
    <xf numFmtId="0" fontId="2" fillId="0" borderId="0" xfId="0" applyFont="1" applyAlignment="1">
      <alignment horizontal="center"/>
    </xf>
    <xf numFmtId="2" fontId="4" fillId="4" borderId="1" xfId="0" applyNumberFormat="1" applyFont="1" applyFill="1" applyBorder="1" applyAlignment="1">
      <alignment horizontal="center" vertical="top" wrapText="1"/>
    </xf>
    <xf numFmtId="166" fontId="0" fillId="0" borderId="0" xfId="0" applyNumberFormat="1"/>
    <xf numFmtId="0" fontId="9" fillId="0" borderId="0" xfId="2"/>
    <xf numFmtId="0" fontId="9" fillId="5" borderId="0" xfId="2" applyFill="1"/>
    <xf numFmtId="9" fontId="9" fillId="0" borderId="0" xfId="2" applyNumberFormat="1"/>
    <xf numFmtId="1" fontId="9" fillId="0" borderId="0" xfId="2" applyNumberFormat="1"/>
    <xf numFmtId="0" fontId="9" fillId="0" borderId="0" xfId="2" applyAlignment="1">
      <alignment wrapText="1"/>
    </xf>
    <xf numFmtId="9" fontId="9" fillId="5" borderId="0" xfId="2" applyNumberFormat="1" applyFill="1"/>
    <xf numFmtId="2" fontId="9" fillId="5" borderId="0" xfId="2" applyNumberFormat="1" applyFill="1"/>
    <xf numFmtId="9" fontId="14" fillId="7" borderId="0" xfId="2" applyNumberFormat="1" applyFont="1" applyFill="1"/>
    <xf numFmtId="9" fontId="14" fillId="8" borderId="0" xfId="2" applyNumberFormat="1" applyFont="1" applyFill="1"/>
    <xf numFmtId="9" fontId="15" fillId="9" borderId="0" xfId="2" applyNumberFormat="1" applyFont="1" applyFill="1"/>
    <xf numFmtId="9" fontId="9" fillId="0" borderId="0" xfId="2" applyNumberFormat="1" applyFill="1"/>
    <xf numFmtId="9" fontId="9" fillId="9" borderId="0" xfId="2" applyNumberFormat="1" applyFill="1"/>
    <xf numFmtId="9" fontId="16" fillId="0" borderId="0" xfId="2" applyNumberFormat="1" applyFont="1" applyFill="1"/>
    <xf numFmtId="9" fontId="15" fillId="0" borderId="0" xfId="2" applyNumberFormat="1" applyFont="1" applyFill="1"/>
    <xf numFmtId="1" fontId="9" fillId="0" borderId="0" xfId="2" applyNumberFormat="1" applyFill="1"/>
    <xf numFmtId="1" fontId="16" fillId="0" borderId="0" xfId="2" applyNumberFormat="1" applyFont="1"/>
    <xf numFmtId="2" fontId="9" fillId="0" borderId="0" xfId="2" applyNumberFormat="1"/>
    <xf numFmtId="0" fontId="9" fillId="0" borderId="0" xfId="2" applyFill="1" applyBorder="1"/>
    <xf numFmtId="0" fontId="9" fillId="0" borderId="0" xfId="2" applyFill="1"/>
    <xf numFmtId="0" fontId="13" fillId="0" borderId="0" xfId="2" applyFont="1" applyFill="1" applyAlignment="1">
      <alignment horizontal="center"/>
    </xf>
    <xf numFmtId="2" fontId="13" fillId="0" borderId="0" xfId="2" applyNumberFormat="1" applyFont="1"/>
    <xf numFmtId="0" fontId="0" fillId="0" borderId="0" xfId="0" applyFill="1"/>
    <xf numFmtId="0" fontId="19" fillId="10" borderId="0" xfId="2" applyFont="1" applyFill="1" applyAlignment="1">
      <alignment horizontal="center"/>
    </xf>
    <xf numFmtId="0" fontId="22" fillId="0" borderId="0" xfId="2" applyFont="1"/>
    <xf numFmtId="0" fontId="24" fillId="0" borderId="0" xfId="7" applyFont="1"/>
    <xf numFmtId="0" fontId="23" fillId="0" borderId="0" xfId="7"/>
    <xf numFmtId="0" fontId="25" fillId="0" borderId="0" xfId="7" applyFont="1"/>
    <xf numFmtId="0" fontId="23" fillId="0" borderId="0" xfId="7" applyFont="1"/>
    <xf numFmtId="0" fontId="26" fillId="0" borderId="0" xfId="7" applyFont="1"/>
    <xf numFmtId="0" fontId="23" fillId="0" borderId="0" xfId="7" applyAlignment="1">
      <alignment horizontal="right"/>
    </xf>
    <xf numFmtId="166" fontId="23" fillId="0" borderId="0" xfId="7" applyNumberFormat="1"/>
    <xf numFmtId="0" fontId="23" fillId="4" borderId="0" xfId="7" applyFill="1"/>
    <xf numFmtId="2" fontId="23" fillId="0" borderId="0" xfId="7" applyNumberFormat="1"/>
    <xf numFmtId="0" fontId="27" fillId="0" borderId="0" xfId="7" applyFont="1"/>
    <xf numFmtId="9" fontId="27" fillId="0" borderId="0" xfId="7" applyNumberFormat="1" applyFont="1"/>
    <xf numFmtId="165" fontId="23" fillId="0" borderId="0" xfId="7" applyNumberFormat="1"/>
    <xf numFmtId="0" fontId="9" fillId="0" borderId="0" xfId="2" applyAlignment="1"/>
    <xf numFmtId="0" fontId="0" fillId="0" borderId="0" xfId="0" applyBorder="1" applyAlignment="1"/>
    <xf numFmtId="168" fontId="9" fillId="0" borderId="0" xfId="6" applyNumberFormat="1" applyFont="1"/>
    <xf numFmtId="0" fontId="19" fillId="5" borderId="10" xfId="2" applyFont="1" applyFill="1" applyBorder="1" applyAlignment="1">
      <alignment horizontal="center"/>
    </xf>
    <xf numFmtId="0" fontId="0" fillId="0" borderId="0" xfId="0" applyFill="1" applyBorder="1" applyAlignment="1">
      <alignment vertical="top"/>
    </xf>
    <xf numFmtId="0" fontId="13" fillId="4" borderId="11" xfId="3" applyFont="1" applyFill="1" applyBorder="1" applyAlignment="1" applyProtection="1">
      <alignment horizontal="center" vertical="center"/>
      <protection locked="0"/>
    </xf>
    <xf numFmtId="0" fontId="31" fillId="0" borderId="0" xfId="2" applyFont="1"/>
    <xf numFmtId="164" fontId="31" fillId="0" borderId="0" xfId="2" applyNumberFormat="1" applyFont="1"/>
    <xf numFmtId="0" fontId="28" fillId="0" borderId="0" xfId="2" applyFont="1" applyAlignment="1">
      <alignment horizontal="left"/>
    </xf>
    <xf numFmtId="0" fontId="34" fillId="0" borderId="0" xfId="2" applyFont="1"/>
    <xf numFmtId="0" fontId="0" fillId="12" borderId="0" xfId="0" applyFill="1"/>
    <xf numFmtId="0" fontId="9" fillId="12" borderId="0" xfId="2" applyFill="1"/>
    <xf numFmtId="9" fontId="9" fillId="12" borderId="0" xfId="1" applyFont="1" applyFill="1"/>
    <xf numFmtId="9" fontId="10" fillId="12" borderId="0" xfId="4" applyFont="1" applyFill="1"/>
    <xf numFmtId="2" fontId="9" fillId="12" borderId="0" xfId="2" applyNumberFormat="1" applyFill="1"/>
    <xf numFmtId="0" fontId="41" fillId="12" borderId="0" xfId="2" applyFont="1" applyFill="1"/>
    <xf numFmtId="0" fontId="43" fillId="0" borderId="0" xfId="2" applyFont="1" applyAlignment="1">
      <alignment wrapText="1"/>
    </xf>
    <xf numFmtId="165" fontId="0" fillId="0" borderId="0" xfId="0" applyNumberFormat="1" applyBorder="1" applyAlignment="1">
      <alignment horizontal="center"/>
    </xf>
    <xf numFmtId="165" fontId="2" fillId="0" borderId="0" xfId="0" applyNumberFormat="1" applyFont="1" applyBorder="1" applyAlignment="1">
      <alignment horizontal="left"/>
    </xf>
    <xf numFmtId="9" fontId="15" fillId="0" borderId="0" xfId="1" applyFont="1" applyFill="1" applyBorder="1" applyAlignment="1">
      <alignment horizontal="center"/>
    </xf>
    <xf numFmtId="0" fontId="9" fillId="13" borderId="0" xfId="2" applyFill="1"/>
    <xf numFmtId="0" fontId="0" fillId="13" borderId="0" xfId="0" applyFill="1"/>
    <xf numFmtId="9" fontId="0" fillId="13" borderId="0" xfId="4" applyFont="1" applyFill="1"/>
    <xf numFmtId="0" fontId="30" fillId="6" borderId="23" xfId="2" applyFont="1" applyFill="1" applyBorder="1" applyAlignment="1">
      <alignment horizontal="center" wrapText="1"/>
    </xf>
    <xf numFmtId="0" fontId="48" fillId="0" borderId="0" xfId="2" applyFont="1" applyAlignment="1">
      <alignment horizontal="left"/>
    </xf>
    <xf numFmtId="2" fontId="48" fillId="0" borderId="0" xfId="2" applyNumberFormat="1" applyFont="1"/>
    <xf numFmtId="0" fontId="48" fillId="0" borderId="0" xfId="2" applyFont="1"/>
    <xf numFmtId="9" fontId="35" fillId="2" borderId="12" xfId="1" applyNumberFormat="1" applyFont="1" applyFill="1" applyBorder="1" applyAlignment="1">
      <alignment horizontal="center"/>
    </xf>
    <xf numFmtId="0" fontId="9" fillId="2" borderId="11" xfId="2" applyFill="1" applyBorder="1"/>
    <xf numFmtId="0" fontId="9" fillId="0" borderId="0" xfId="2" quotePrefix="1"/>
    <xf numFmtId="0" fontId="52" fillId="5" borderId="18" xfId="2" applyFont="1" applyFill="1" applyBorder="1" applyProtection="1"/>
    <xf numFmtId="0" fontId="52" fillId="5" borderId="14" xfId="2" applyFont="1" applyFill="1" applyBorder="1" applyProtection="1"/>
    <xf numFmtId="14" fontId="53" fillId="5" borderId="20" xfId="2" applyNumberFormat="1" applyFont="1" applyFill="1" applyBorder="1" applyAlignment="1" applyProtection="1">
      <alignment horizontal="left"/>
    </xf>
    <xf numFmtId="14" fontId="53" fillId="5" borderId="21" xfId="2" applyNumberFormat="1" applyFont="1" applyFill="1" applyBorder="1" applyAlignment="1" applyProtection="1">
      <alignment horizontal="left"/>
    </xf>
    <xf numFmtId="2" fontId="2" fillId="0" borderId="0" xfId="0" applyNumberFormat="1" applyFont="1" applyAlignment="1">
      <alignment horizontal="center"/>
    </xf>
    <xf numFmtId="166" fontId="2" fillId="0" borderId="0" xfId="0" applyNumberFormat="1" applyFont="1" applyAlignment="1">
      <alignment horizontal="center"/>
    </xf>
    <xf numFmtId="166" fontId="0" fillId="0" borderId="0" xfId="1" applyNumberFormat="1" applyFont="1" applyAlignment="1">
      <alignment horizontal="center"/>
    </xf>
    <xf numFmtId="166" fontId="4" fillId="0" borderId="0" xfId="0" applyNumberFormat="1" applyFont="1" applyAlignment="1">
      <alignment horizontal="center" vertical="top" wrapText="1"/>
    </xf>
    <xf numFmtId="0" fontId="4" fillId="7" borderId="0" xfId="0" applyFont="1" applyFill="1" applyAlignment="1">
      <alignment horizontal="center" vertical="top" wrapText="1"/>
    </xf>
    <xf numFmtId="0" fontId="4" fillId="0" borderId="0" xfId="0" applyFont="1" applyFill="1" applyAlignment="1">
      <alignment vertical="top"/>
    </xf>
    <xf numFmtId="9" fontId="4" fillId="4" borderId="0" xfId="0" applyNumberFormat="1" applyFont="1" applyFill="1" applyAlignment="1">
      <alignment horizontal="center" vertical="top" wrapText="1"/>
    </xf>
    <xf numFmtId="0" fontId="4" fillId="0" borderId="0" xfId="0" applyFont="1" applyAlignment="1">
      <alignment horizontal="left" vertical="top"/>
    </xf>
    <xf numFmtId="0" fontId="4" fillId="14" borderId="0" xfId="0" applyFont="1" applyFill="1" applyAlignment="1">
      <alignment horizontal="left" vertical="top"/>
    </xf>
    <xf numFmtId="9" fontId="4" fillId="4" borderId="0" xfId="1" applyFont="1" applyFill="1" applyAlignment="1">
      <alignment horizontal="center" vertical="top" wrapText="1"/>
    </xf>
    <xf numFmtId="0" fontId="4" fillId="0" borderId="0" xfId="0" applyFont="1" applyAlignment="1">
      <alignment horizontal="left" vertical="top" wrapText="1"/>
    </xf>
    <xf numFmtId="20" fontId="0" fillId="0" borderId="4" xfId="0" quotePrefix="1" applyNumberFormat="1" applyBorder="1" applyAlignment="1">
      <alignment horizontal="right"/>
    </xf>
    <xf numFmtId="20" fontId="2" fillId="0" borderId="5" xfId="0" quotePrefix="1" applyNumberFormat="1" applyFont="1" applyBorder="1" applyAlignment="1">
      <alignment horizontal="right"/>
    </xf>
    <xf numFmtId="0" fontId="0" fillId="0" borderId="6" xfId="0" applyBorder="1"/>
    <xf numFmtId="0" fontId="0" fillId="0" borderId="7" xfId="0" applyBorder="1"/>
    <xf numFmtId="0" fontId="4" fillId="0" borderId="22" xfId="0" applyFont="1" applyBorder="1"/>
    <xf numFmtId="0" fontId="4" fillId="0" borderId="4" xfId="0" applyFont="1" applyBorder="1" applyAlignment="1">
      <alignment horizontal="right"/>
    </xf>
    <xf numFmtId="0" fontId="4" fillId="0" borderId="5" xfId="0" applyFont="1" applyBorder="1" applyAlignment="1">
      <alignment horizontal="right"/>
    </xf>
    <xf numFmtId="0" fontId="4" fillId="0" borderId="0" xfId="0" applyFont="1" applyAlignment="1">
      <alignment vertical="top"/>
    </xf>
    <xf numFmtId="0" fontId="2" fillId="0" borderId="23" xfId="0" applyFont="1" applyBorder="1"/>
    <xf numFmtId="0" fontId="0" fillId="15" borderId="6" xfId="0" applyFill="1" applyBorder="1"/>
    <xf numFmtId="0" fontId="0" fillId="15" borderId="7" xfId="0" applyFill="1" applyBorder="1"/>
    <xf numFmtId="167" fontId="2" fillId="0" borderId="0" xfId="1" applyNumberFormat="1" applyFont="1" applyAlignment="1">
      <alignment horizontal="center"/>
    </xf>
    <xf numFmtId="0" fontId="0" fillId="0" borderId="23" xfId="0" applyBorder="1"/>
    <xf numFmtId="166" fontId="0" fillId="7" borderId="0" xfId="0" applyNumberFormat="1" applyFill="1" applyAlignment="1">
      <alignment horizontal="center"/>
    </xf>
    <xf numFmtId="167" fontId="0" fillId="0" borderId="0" xfId="1" applyNumberFormat="1" applyFont="1" applyAlignment="1">
      <alignment horizontal="center"/>
    </xf>
    <xf numFmtId="165" fontId="0" fillId="0" borderId="6" xfId="0" applyNumberFormat="1" applyBorder="1"/>
    <xf numFmtId="165" fontId="0" fillId="0" borderId="7" xfId="0" applyNumberFormat="1" applyBorder="1"/>
    <xf numFmtId="0" fontId="2" fillId="0" borderId="13" xfId="0" applyFont="1" applyBorder="1"/>
    <xf numFmtId="165" fontId="0" fillId="16" borderId="8" xfId="0" applyNumberFormat="1" applyFill="1" applyBorder="1"/>
    <xf numFmtId="165" fontId="0" fillId="17" borderId="9" xfId="0" applyNumberFormat="1" applyFill="1" applyBorder="1"/>
    <xf numFmtId="0" fontId="0" fillId="0" borderId="4" xfId="0" applyBorder="1"/>
    <xf numFmtId="0" fontId="0" fillId="0" borderId="5" xfId="0" applyBorder="1"/>
    <xf numFmtId="1" fontId="0" fillId="0" borderId="6" xfId="0" applyNumberFormat="1" applyBorder="1" applyAlignment="1"/>
    <xf numFmtId="1" fontId="0" fillId="0" borderId="7" xfId="0" applyNumberFormat="1" applyBorder="1" applyAlignment="1"/>
    <xf numFmtId="0" fontId="0" fillId="15" borderId="6" xfId="0" applyFill="1" applyBorder="1" applyAlignment="1"/>
    <xf numFmtId="0" fontId="0" fillId="15" borderId="7" xfId="0" applyFill="1" applyBorder="1" applyAlignment="1"/>
    <xf numFmtId="165" fontId="0" fillId="0" borderId="6" xfId="0" applyNumberFormat="1" applyBorder="1" applyAlignment="1"/>
    <xf numFmtId="165" fontId="0" fillId="0" borderId="7" xfId="0" applyNumberFormat="1" applyBorder="1" applyAlignment="1"/>
    <xf numFmtId="0" fontId="0" fillId="14" borderId="24" xfId="0" applyFill="1" applyBorder="1" applyAlignment="1">
      <alignment horizontal="center"/>
    </xf>
    <xf numFmtId="0" fontId="0" fillId="14" borderId="25" xfId="0" applyFill="1" applyBorder="1" applyAlignment="1">
      <alignment horizontal="center"/>
    </xf>
    <xf numFmtId="166" fontId="0" fillId="14" borderId="25" xfId="0" applyNumberFormat="1" applyFill="1" applyBorder="1" applyAlignment="1">
      <alignment horizontal="center"/>
    </xf>
    <xf numFmtId="2" fontId="0" fillId="14" borderId="25" xfId="0" applyNumberFormat="1" applyFill="1" applyBorder="1" applyAlignment="1">
      <alignment horizontal="center"/>
    </xf>
    <xf numFmtId="0" fontId="4" fillId="0" borderId="26" xfId="0" applyFont="1" applyBorder="1" applyAlignment="1">
      <alignment horizontal="left"/>
    </xf>
    <xf numFmtId="165" fontId="0" fillId="16" borderId="2" xfId="0" applyNumberFormat="1" applyFill="1" applyBorder="1" applyAlignment="1">
      <alignment horizontal="right"/>
    </xf>
    <xf numFmtId="165" fontId="0" fillId="16" borderId="3" xfId="0" applyNumberFormat="1" applyFill="1" applyBorder="1" applyAlignment="1">
      <alignment horizontal="right"/>
    </xf>
    <xf numFmtId="0" fontId="4" fillId="0" borderId="0" xfId="0" applyFont="1" applyAlignment="1">
      <alignment horizontal="left"/>
    </xf>
    <xf numFmtId="9" fontId="0" fillId="0" borderId="0" xfId="1" applyFont="1" applyAlignment="1">
      <alignment horizontal="right"/>
    </xf>
    <xf numFmtId="0" fontId="7" fillId="0" borderId="0" xfId="0" applyFont="1" applyAlignment="1">
      <alignment horizontal="left"/>
    </xf>
    <xf numFmtId="167" fontId="7" fillId="7" borderId="0" xfId="1" applyNumberFormat="1" applyFont="1" applyFill="1" applyAlignment="1">
      <alignment horizontal="right"/>
    </xf>
    <xf numFmtId="9" fontId="0" fillId="0" borderId="0" xfId="0" applyNumberFormat="1" applyAlignment="1">
      <alignment horizontal="center"/>
    </xf>
    <xf numFmtId="2" fontId="0" fillId="7" borderId="0" xfId="0" applyNumberFormat="1" applyFill="1" applyAlignment="1">
      <alignment horizontal="center"/>
    </xf>
    <xf numFmtId="10" fontId="4" fillId="7" borderId="0" xfId="1" applyNumberFormat="1" applyFont="1" applyFill="1" applyAlignment="1">
      <alignment horizontal="center"/>
    </xf>
    <xf numFmtId="2" fontId="4" fillId="4" borderId="0" xfId="0" applyNumberFormat="1" applyFont="1" applyFill="1" applyAlignment="1">
      <alignment horizontal="center" vertical="top" wrapText="1"/>
    </xf>
    <xf numFmtId="0" fontId="20" fillId="0" borderId="10" xfId="2" applyFont="1" applyFill="1" applyBorder="1" applyAlignment="1">
      <alignment horizontal="center"/>
    </xf>
    <xf numFmtId="0" fontId="2" fillId="0" borderId="0" xfId="0" quotePrefix="1" applyFont="1" applyAlignment="1">
      <alignment horizontal="left"/>
    </xf>
    <xf numFmtId="9" fontId="9" fillId="0" borderId="0" xfId="1" applyFont="1"/>
    <xf numFmtId="0" fontId="2" fillId="0" borderId="0" xfId="0" applyFont="1" applyAlignment="1">
      <alignment horizontal="left" wrapText="1"/>
    </xf>
    <xf numFmtId="0" fontId="2" fillId="0" borderId="0" xfId="0" applyFont="1" applyAlignment="1">
      <alignment horizontal="center" wrapText="1"/>
    </xf>
    <xf numFmtId="0" fontId="9" fillId="0" borderId="0" xfId="2" applyAlignment="1">
      <alignment horizontal="left"/>
    </xf>
    <xf numFmtId="0" fontId="4" fillId="7" borderId="0" xfId="0" applyFont="1" applyFill="1" applyAlignment="1">
      <alignment horizontal="center" vertical="top" wrapText="1"/>
    </xf>
    <xf numFmtId="167" fontId="4" fillId="4" borderId="0" xfId="1" applyNumberFormat="1" applyFont="1" applyFill="1" applyAlignment="1">
      <alignment horizontal="center" vertical="top" wrapText="1"/>
    </xf>
    <xf numFmtId="167" fontId="2" fillId="0" borderId="0" xfId="0" applyNumberFormat="1" applyFont="1" applyAlignment="1">
      <alignment horizontal="center" wrapText="1"/>
    </xf>
    <xf numFmtId="9" fontId="13" fillId="2" borderId="0" xfId="1" applyFont="1" applyFill="1" applyAlignment="1">
      <alignment horizontal="center"/>
    </xf>
    <xf numFmtId="0" fontId="2" fillId="19" borderId="0" xfId="0" applyFont="1" applyFill="1" applyAlignment="1">
      <alignment horizontal="center" wrapText="1"/>
    </xf>
    <xf numFmtId="166" fontId="0" fillId="19" borderId="0" xfId="0" applyNumberFormat="1" applyFill="1" applyAlignment="1">
      <alignment horizontal="center"/>
    </xf>
    <xf numFmtId="0" fontId="0" fillId="19" borderId="0" xfId="0" applyFill="1" applyAlignment="1">
      <alignment horizontal="center"/>
    </xf>
    <xf numFmtId="0" fontId="2" fillId="19" borderId="0" xfId="0" applyFont="1" applyFill="1" applyAlignment="1">
      <alignment horizontal="center"/>
    </xf>
    <xf numFmtId="2" fontId="0" fillId="19" borderId="0" xfId="0" applyNumberFormat="1" applyFill="1" applyAlignment="1">
      <alignment horizontal="center"/>
    </xf>
    <xf numFmtId="10" fontId="4" fillId="19" borderId="0" xfId="1" applyNumberFormat="1" applyFont="1" applyFill="1" applyAlignment="1">
      <alignment horizontal="center"/>
    </xf>
    <xf numFmtId="166" fontId="0" fillId="5" borderId="0" xfId="0" applyNumberFormat="1" applyFill="1" applyAlignment="1">
      <alignment horizontal="center"/>
    </xf>
    <xf numFmtId="167" fontId="9" fillId="2" borderId="12" xfId="1" applyNumberFormat="1" applyFont="1" applyFill="1" applyBorder="1"/>
    <xf numFmtId="2" fontId="2" fillId="5" borderId="0" xfId="0" applyNumberFormat="1" applyFont="1" applyFill="1" applyAlignment="1">
      <alignment horizontal="center"/>
    </xf>
    <xf numFmtId="2" fontId="13" fillId="0" borderId="0" xfId="2" applyNumberFormat="1" applyFont="1" applyProtection="1">
      <protection locked="0"/>
    </xf>
    <xf numFmtId="2" fontId="40" fillId="0" borderId="0" xfId="2" applyNumberFormat="1" applyFont="1" applyAlignment="1" applyProtection="1">
      <protection locked="0"/>
    </xf>
    <xf numFmtId="0" fontId="9" fillId="0" borderId="0" xfId="2" applyProtection="1">
      <protection locked="0"/>
    </xf>
    <xf numFmtId="0" fontId="9" fillId="0" borderId="0" xfId="2" applyBorder="1"/>
    <xf numFmtId="2" fontId="9" fillId="0" borderId="0" xfId="2" applyNumberFormat="1" applyBorder="1"/>
    <xf numFmtId="9" fontId="13" fillId="2" borderId="12" xfId="3" applyNumberFormat="1" applyFont="1" applyFill="1" applyBorder="1" applyAlignment="1" applyProtection="1">
      <alignment horizontal="center" vertical="center"/>
      <protection locked="0"/>
    </xf>
    <xf numFmtId="10" fontId="9" fillId="12" borderId="0" xfId="2" quotePrefix="1" applyNumberFormat="1" applyFill="1"/>
    <xf numFmtId="0" fontId="0" fillId="2" borderId="0" xfId="0" applyFill="1" applyAlignment="1">
      <alignment wrapText="1"/>
    </xf>
    <xf numFmtId="166" fontId="0" fillId="2" borderId="0" xfId="1" applyNumberFormat="1" applyFont="1" applyFill="1" applyAlignment="1">
      <alignment horizontal="center"/>
    </xf>
    <xf numFmtId="167" fontId="4" fillId="2" borderId="0" xfId="1" applyNumberFormat="1" applyFont="1" applyFill="1" applyAlignment="1">
      <alignment horizontal="center" vertical="top" wrapText="1"/>
    </xf>
    <xf numFmtId="0" fontId="2" fillId="2" borderId="0" xfId="0" applyFont="1" applyFill="1" applyAlignment="1">
      <alignment horizontal="center"/>
    </xf>
    <xf numFmtId="166" fontId="0" fillId="2" borderId="0" xfId="0" applyNumberFormat="1" applyFill="1" applyAlignment="1">
      <alignment horizontal="center"/>
    </xf>
    <xf numFmtId="10" fontId="4" fillId="2" borderId="0" xfId="1" applyNumberFormat="1" applyFont="1" applyFill="1" applyAlignment="1">
      <alignment horizontal="center"/>
    </xf>
    <xf numFmtId="167" fontId="4" fillId="19" borderId="0" xfId="1" applyNumberFormat="1" applyFont="1" applyFill="1" applyAlignment="1">
      <alignment horizontal="center" vertical="top" wrapText="1"/>
    </xf>
    <xf numFmtId="0" fontId="9" fillId="13" borderId="0" xfId="2" applyFill="1" applyBorder="1"/>
    <xf numFmtId="0" fontId="13" fillId="4" borderId="0" xfId="3" applyFont="1" applyFill="1" applyBorder="1" applyAlignment="1" applyProtection="1">
      <alignment horizontal="center" vertical="center"/>
      <protection locked="0"/>
    </xf>
    <xf numFmtId="0" fontId="9" fillId="4" borderId="28" xfId="2" applyFill="1" applyBorder="1"/>
    <xf numFmtId="0" fontId="9" fillId="4" borderId="29" xfId="2" applyFill="1" applyBorder="1"/>
    <xf numFmtId="0" fontId="9" fillId="4" borderId="30" xfId="2" applyFill="1" applyBorder="1"/>
    <xf numFmtId="169" fontId="0" fillId="2" borderId="0" xfId="0" applyNumberFormat="1" applyFill="1" applyAlignment="1">
      <alignment horizontal="center"/>
    </xf>
    <xf numFmtId="166" fontId="2" fillId="2" borderId="0" xfId="0" applyNumberFormat="1" applyFont="1" applyFill="1" applyAlignment="1">
      <alignment horizontal="center"/>
    </xf>
    <xf numFmtId="166" fontId="4" fillId="2" borderId="0" xfId="0" applyNumberFormat="1" applyFont="1" applyFill="1" applyAlignment="1">
      <alignment horizontal="center" vertical="top" wrapText="1"/>
    </xf>
    <xf numFmtId="167" fontId="2" fillId="2" borderId="0" xfId="0" applyNumberFormat="1" applyFont="1" applyFill="1" applyAlignment="1">
      <alignment horizontal="center"/>
    </xf>
    <xf numFmtId="2" fontId="4" fillId="4" borderId="0" xfId="1" applyNumberFormat="1" applyFont="1" applyFill="1" applyAlignment="1">
      <alignment horizontal="center" vertical="top" wrapText="1"/>
    </xf>
    <xf numFmtId="167" fontId="4" fillId="2" borderId="0" xfId="0" applyNumberFormat="1" applyFont="1" applyFill="1" applyAlignment="1">
      <alignment horizontal="center" vertical="top" wrapText="1"/>
    </xf>
    <xf numFmtId="166" fontId="2" fillId="5" borderId="0" xfId="0" applyNumberFormat="1" applyFont="1" applyFill="1" applyAlignment="1">
      <alignment horizontal="center"/>
    </xf>
    <xf numFmtId="0" fontId="29" fillId="0" borderId="0" xfId="2" applyFont="1"/>
    <xf numFmtId="0" fontId="0" fillId="0" borderId="0" xfId="0" applyFill="1" applyBorder="1" applyAlignment="1">
      <alignment horizontal="center"/>
    </xf>
    <xf numFmtId="0" fontId="11" fillId="13" borderId="0" xfId="2" applyFont="1" applyFill="1"/>
    <xf numFmtId="0" fontId="9" fillId="11" borderId="0" xfId="2" applyFill="1"/>
    <xf numFmtId="0" fontId="46" fillId="11" borderId="0" xfId="0" applyFont="1" applyFill="1"/>
    <xf numFmtId="0" fontId="47" fillId="11" borderId="0" xfId="0" applyFont="1" applyFill="1"/>
    <xf numFmtId="0" fontId="10" fillId="0" borderId="0" xfId="2" applyFont="1" applyFill="1"/>
    <xf numFmtId="0" fontId="11" fillId="0" borderId="0" xfId="2" applyFont="1" applyFill="1"/>
    <xf numFmtId="0" fontId="60" fillId="20" borderId="27" xfId="2" applyFont="1" applyFill="1" applyBorder="1"/>
    <xf numFmtId="0" fontId="61" fillId="18" borderId="12" xfId="2" applyFont="1" applyFill="1" applyBorder="1" applyAlignment="1">
      <alignment horizontal="center"/>
    </xf>
    <xf numFmtId="0" fontId="57" fillId="21" borderId="10" xfId="2" applyFont="1" applyFill="1" applyBorder="1" applyAlignment="1">
      <alignment horizontal="center"/>
    </xf>
    <xf numFmtId="9" fontId="0" fillId="0" borderId="0" xfId="1" applyFont="1" applyAlignment="1">
      <alignment horizontal="center"/>
    </xf>
    <xf numFmtId="10" fontId="0" fillId="0" borderId="0" xfId="0" applyNumberFormat="1" applyAlignment="1">
      <alignment horizontal="center"/>
    </xf>
    <xf numFmtId="0" fontId="57" fillId="21" borderId="22" xfId="2" applyFont="1" applyFill="1" applyBorder="1" applyAlignment="1">
      <alignment horizontal="center"/>
    </xf>
    <xf numFmtId="0" fontId="61" fillId="18" borderId="13" xfId="2" applyFont="1" applyFill="1" applyBorder="1" applyAlignment="1">
      <alignment horizontal="center"/>
    </xf>
    <xf numFmtId="0" fontId="63" fillId="13" borderId="0" xfId="0" applyFont="1" applyFill="1"/>
    <xf numFmtId="0" fontId="9" fillId="13" borderId="0" xfId="2" quotePrefix="1" applyFill="1"/>
    <xf numFmtId="0" fontId="28" fillId="0" borderId="0" xfId="2" applyFont="1"/>
    <xf numFmtId="0" fontId="64" fillId="0" borderId="0" xfId="0" applyFont="1"/>
    <xf numFmtId="0" fontId="36" fillId="0" borderId="0" xfId="0" applyFont="1" applyAlignment="1"/>
    <xf numFmtId="0" fontId="36" fillId="0" borderId="14" xfId="0" applyFont="1" applyBorder="1" applyAlignment="1"/>
    <xf numFmtId="0" fontId="28" fillId="0" borderId="0" xfId="2" applyFont="1" applyBorder="1" applyAlignment="1">
      <alignment horizontal="center" vertical="center" wrapText="1"/>
    </xf>
    <xf numFmtId="0" fontId="28" fillId="0" borderId="0" xfId="2" applyFont="1" applyBorder="1" applyAlignment="1">
      <alignment vertical="center" wrapText="1"/>
    </xf>
    <xf numFmtId="0" fontId="38" fillId="0" borderId="0" xfId="0" applyFont="1" applyAlignment="1">
      <alignment vertical="center"/>
    </xf>
    <xf numFmtId="0" fontId="39" fillId="0" borderId="0" xfId="0" applyFont="1" applyBorder="1" applyAlignment="1">
      <alignment horizontal="center" vertical="center"/>
    </xf>
    <xf numFmtId="0" fontId="59" fillId="12" borderId="0" xfId="0" applyFont="1" applyFill="1" applyAlignment="1">
      <alignment horizontal="left"/>
    </xf>
    <xf numFmtId="165" fontId="23" fillId="19" borderId="0" xfId="7" applyNumberFormat="1" applyFill="1"/>
    <xf numFmtId="0" fontId="65" fillId="0" borderId="0" xfId="2" quotePrefix="1" applyFont="1"/>
    <xf numFmtId="9" fontId="11" fillId="2" borderId="13" xfId="1" applyNumberFormat="1" applyFont="1" applyFill="1" applyBorder="1" applyAlignment="1">
      <alignment horizontal="center"/>
    </xf>
    <xf numFmtId="9" fontId="13" fillId="2" borderId="11" xfId="1" applyNumberFormat="1" applyFont="1" applyFill="1" applyBorder="1" applyAlignment="1">
      <alignment horizontal="center"/>
    </xf>
    <xf numFmtId="9" fontId="9" fillId="0" borderId="0" xfId="1" applyFont="1" applyAlignment="1">
      <alignment horizontal="center" vertical="top"/>
    </xf>
    <xf numFmtId="0" fontId="17" fillId="0" borderId="12" xfId="3" applyFont="1" applyFill="1" applyBorder="1" applyAlignment="1" applyProtection="1">
      <alignment horizontal="center" vertical="center" wrapText="1"/>
      <protection locked="0"/>
    </xf>
    <xf numFmtId="0" fontId="52" fillId="4" borderId="17" xfId="2" applyFont="1" applyFill="1" applyBorder="1" applyProtection="1">
      <protection locked="0"/>
    </xf>
    <xf numFmtId="0" fontId="52" fillId="4" borderId="19" xfId="2" applyFont="1" applyFill="1" applyBorder="1" applyProtection="1">
      <protection locked="0"/>
    </xf>
    <xf numFmtId="0" fontId="39" fillId="5" borderId="16" xfId="0" applyFont="1" applyFill="1" applyBorder="1" applyAlignment="1"/>
    <xf numFmtId="0" fontId="39" fillId="5" borderId="18" xfId="0" applyFont="1" applyFill="1" applyBorder="1" applyAlignment="1"/>
    <xf numFmtId="0" fontId="39" fillId="5" borderId="0" xfId="0" applyFont="1" applyFill="1" applyBorder="1" applyAlignment="1">
      <alignment horizontal="left" vertical="center"/>
    </xf>
    <xf numFmtId="0" fontId="39" fillId="5" borderId="14" xfId="0" applyFont="1" applyFill="1" applyBorder="1" applyAlignment="1">
      <alignment horizontal="left" vertical="center"/>
    </xf>
    <xf numFmtId="0" fontId="50" fillId="5" borderId="19" xfId="2" applyFont="1" applyFill="1" applyBorder="1" applyAlignment="1">
      <alignment horizontal="left" vertical="center"/>
    </xf>
    <xf numFmtId="0" fontId="50" fillId="5" borderId="19" xfId="2" applyFont="1" applyFill="1" applyBorder="1" applyAlignment="1"/>
    <xf numFmtId="0" fontId="67" fillId="5" borderId="14" xfId="0" applyFont="1" applyFill="1" applyBorder="1" applyAlignment="1"/>
    <xf numFmtId="0" fontId="50" fillId="5" borderId="20" xfId="2" applyFont="1" applyFill="1" applyBorder="1" applyAlignment="1"/>
    <xf numFmtId="0" fontId="0" fillId="5" borderId="15" xfId="0" applyFill="1" applyBorder="1" applyAlignment="1"/>
    <xf numFmtId="0" fontId="9" fillId="5" borderId="15" xfId="2" applyFill="1" applyBorder="1" applyAlignment="1"/>
    <xf numFmtId="0" fontId="9" fillId="5" borderId="21" xfId="2" applyFill="1" applyBorder="1" applyAlignment="1"/>
    <xf numFmtId="167" fontId="9" fillId="12" borderId="0" xfId="2" applyNumberFormat="1" applyFill="1"/>
    <xf numFmtId="0" fontId="39" fillId="5" borderId="0" xfId="0" applyFont="1" applyFill="1" applyBorder="1" applyAlignment="1"/>
    <xf numFmtId="0" fontId="67" fillId="5" borderId="0" xfId="0" applyFont="1" applyFill="1" applyBorder="1" applyAlignment="1"/>
    <xf numFmtId="0" fontId="39" fillId="5" borderId="14" xfId="0" applyFont="1" applyFill="1" applyBorder="1" applyAlignment="1"/>
    <xf numFmtId="0" fontId="10" fillId="5" borderId="17" xfId="2" applyFont="1" applyFill="1" applyBorder="1"/>
    <xf numFmtId="0" fontId="28" fillId="0" borderId="0" xfId="2" applyFont="1" applyAlignment="1">
      <alignment vertical="center" wrapText="1"/>
    </xf>
    <xf numFmtId="0" fontId="0" fillId="0" borderId="0" xfId="0" applyAlignment="1">
      <alignment wrapText="1"/>
    </xf>
    <xf numFmtId="0" fontId="13" fillId="0" borderId="0" xfId="2" applyFont="1" applyBorder="1" applyAlignment="1">
      <alignment wrapText="1"/>
    </xf>
    <xf numFmtId="0" fontId="4" fillId="0" borderId="0" xfId="0" applyFont="1" applyAlignment="1">
      <alignment wrapText="1"/>
    </xf>
    <xf numFmtId="0" fontId="65" fillId="0" borderId="0" xfId="2" applyFont="1" applyAlignment="1">
      <alignment horizontal="left" wrapText="1"/>
    </xf>
    <xf numFmtId="0" fontId="66" fillId="0" borderId="0" xfId="0" applyFont="1" applyAlignment="1">
      <alignment horizontal="left" wrapText="1"/>
    </xf>
    <xf numFmtId="165" fontId="28" fillId="0" borderId="6" xfId="2" applyNumberFormat="1" applyFont="1" applyBorder="1" applyAlignment="1">
      <alignment horizontal="center" wrapText="1"/>
    </xf>
    <xf numFmtId="0" fontId="62" fillId="0" borderId="0" xfId="0" applyFont="1" applyAlignment="1">
      <alignment wrapText="1"/>
    </xf>
    <xf numFmtId="0" fontId="62" fillId="0" borderId="14" xfId="0" applyFont="1" applyBorder="1" applyAlignment="1">
      <alignment wrapText="1"/>
    </xf>
    <xf numFmtId="0" fontId="42" fillId="2" borderId="10" xfId="2" applyFont="1" applyFill="1" applyBorder="1" applyAlignment="1">
      <alignment horizontal="center" vertical="center" textRotation="180"/>
    </xf>
    <xf numFmtId="0" fontId="0" fillId="0" borderId="12" xfId="0" applyBorder="1" applyAlignment="1"/>
    <xf numFmtId="0" fontId="28" fillId="0" borderId="0" xfId="2" applyFont="1" applyAlignment="1">
      <alignment wrapText="1"/>
    </xf>
    <xf numFmtId="0" fontId="0" fillId="0" borderId="0" xfId="0" applyAlignment="1"/>
    <xf numFmtId="0" fontId="0" fillId="0" borderId="14" xfId="0" applyBorder="1" applyAlignment="1"/>
    <xf numFmtId="0" fontId="17" fillId="0" borderId="0" xfId="3" applyFont="1" applyFill="1" applyBorder="1" applyAlignment="1" applyProtection="1">
      <alignment horizontal="center" vertical="center" wrapText="1"/>
      <protection locked="0"/>
    </xf>
    <xf numFmtId="0" fontId="17" fillId="0" borderId="15" xfId="3" applyFont="1" applyFill="1" applyBorder="1" applyAlignment="1" applyProtection="1">
      <alignment horizontal="center" vertical="center" wrapText="1"/>
      <protection locked="0"/>
    </xf>
    <xf numFmtId="0" fontId="33" fillId="0" borderId="0" xfId="2" applyFont="1" applyFill="1" applyBorder="1" applyAlignment="1">
      <alignment wrapText="1"/>
    </xf>
    <xf numFmtId="0" fontId="45" fillId="0" borderId="0" xfId="0" applyFont="1" applyFill="1" applyBorder="1" applyAlignment="1">
      <alignment wrapText="1"/>
    </xf>
    <xf numFmtId="0" fontId="29" fillId="10" borderId="0" xfId="2" applyFont="1" applyFill="1" applyAlignment="1">
      <alignment horizontal="center" vertical="center" wrapText="1"/>
    </xf>
    <xf numFmtId="0" fontId="37" fillId="0" borderId="0" xfId="0" applyFont="1" applyAlignment="1">
      <alignment vertical="center" wrapText="1"/>
    </xf>
    <xf numFmtId="0" fontId="58" fillId="12" borderId="0" xfId="0" applyFont="1" applyFill="1" applyAlignment="1">
      <alignment horizontal="left" wrapText="1"/>
    </xf>
    <xf numFmtId="0" fontId="0" fillId="0" borderId="0" xfId="0" applyAlignment="1">
      <alignment horizontal="left" wrapText="1"/>
    </xf>
    <xf numFmtId="0" fontId="28" fillId="0" borderId="0" xfId="2" applyFont="1" applyAlignment="1"/>
    <xf numFmtId="0" fontId="62" fillId="0" borderId="0" xfId="0" applyFont="1" applyAlignment="1"/>
    <xf numFmtId="0" fontId="28" fillId="0" borderId="19" xfId="2" quotePrefix="1" applyFont="1" applyBorder="1" applyAlignment="1">
      <alignment wrapText="1"/>
    </xf>
    <xf numFmtId="0" fontId="38" fillId="0" borderId="0" xfId="0" applyFont="1" applyAlignment="1"/>
    <xf numFmtId="0" fontId="38" fillId="0" borderId="7" xfId="0" applyFont="1" applyBorder="1" applyAlignment="1"/>
    <xf numFmtId="0" fontId="4" fillId="14" borderId="0" xfId="0" applyFont="1" applyFill="1" applyAlignment="1">
      <alignment horizontal="left" vertical="top"/>
    </xf>
    <xf numFmtId="0" fontId="4" fillId="0" borderId="0" xfId="0" applyFont="1" applyFill="1" applyAlignment="1">
      <alignment horizontal="center" vertical="top" wrapText="1"/>
    </xf>
    <xf numFmtId="0" fontId="4" fillId="7" borderId="0" xfId="0" applyFont="1" applyFill="1" applyAlignment="1">
      <alignment horizontal="center" vertical="top" wrapText="1"/>
    </xf>
  </cellXfs>
  <cellStyles count="8">
    <cellStyle name="Komma" xfId="6" builtinId="3"/>
    <cellStyle name="Procent" xfId="1" builtinId="5"/>
    <cellStyle name="Procent 2" xfId="4"/>
    <cellStyle name="Standaard" xfId="0" builtinId="0"/>
    <cellStyle name="Standaard 2" xfId="2"/>
    <cellStyle name="Standaard 2 2" xfId="3"/>
    <cellStyle name="Standaard 3" xfId="5"/>
    <cellStyle name="Standaard 4" xfId="7"/>
  </cellStyles>
  <dxfs count="1">
    <dxf>
      <font>
        <strike val="0"/>
        <condense val="0"/>
        <extend val="0"/>
        <color indexed="9"/>
      </font>
    </dxf>
  </dxfs>
  <tableStyles count="0" defaultTableStyle="TableStyleMedium2" defaultPivotStyle="PivotStyleLight16"/>
  <colors>
    <mruColors>
      <color rgb="FF0070C0"/>
      <color rgb="FF8064A2"/>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Spin" dx="26" fmlaLink="$D$14" inc="10" max="1260" page="10" val="0"/>
</file>

<file path=xl/ctrlProps/ctrlProp2.xml><?xml version="1.0" encoding="utf-8"?>
<formControlPr xmlns="http://schemas.microsoft.com/office/spreadsheetml/2009/9/main" objectType="Spin" dx="26" fmlaLink="$D$19" inc="10" max="1260" page="10" val="0"/>
</file>

<file path=xl/ctrlProps/ctrlProp3.xml><?xml version="1.0" encoding="utf-8"?>
<formControlPr xmlns="http://schemas.microsoft.com/office/spreadsheetml/2009/9/main" objectType="Spin" dx="26" inc="5" max="620" page="10"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293077</xdr:colOff>
      <xdr:row>20</xdr:row>
      <xdr:rowOff>279246</xdr:rowOff>
    </xdr:from>
    <xdr:to>
      <xdr:col>7</xdr:col>
      <xdr:colOff>1974512</xdr:colOff>
      <xdr:row>22</xdr:row>
      <xdr:rowOff>166082</xdr:rowOff>
    </xdr:to>
    <xdr:sp macro="" textlink="">
      <xdr:nvSpPr>
        <xdr:cNvPr id="3" name="Gebogen pijl 2">
          <a:extLst>
            <a:ext uri="{FF2B5EF4-FFF2-40B4-BE49-F238E27FC236}">
              <a16:creationId xmlns:a16="http://schemas.microsoft.com/office/drawing/2014/main" id="{00000000-0008-0000-0200-000003000000}"/>
            </a:ext>
          </a:extLst>
        </xdr:cNvPr>
        <xdr:cNvSpPr/>
      </xdr:nvSpPr>
      <xdr:spPr>
        <a:xfrm rot="5400000">
          <a:off x="4956415" y="5424215"/>
          <a:ext cx="756298" cy="1681435"/>
        </a:xfrm>
        <a:prstGeom prst="bentArrow">
          <a:avLst>
            <a:gd name="adj1" fmla="val 25000"/>
            <a:gd name="adj2" fmla="val 22210"/>
            <a:gd name="adj3" fmla="val 25000"/>
            <a:gd name="adj4" fmla="val 4375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2371712</xdr:colOff>
      <xdr:row>20</xdr:row>
      <xdr:rowOff>49694</xdr:rowOff>
    </xdr:from>
    <xdr:to>
      <xdr:col>11</xdr:col>
      <xdr:colOff>7274</xdr:colOff>
      <xdr:row>21</xdr:row>
      <xdr:rowOff>289300</xdr:rowOff>
    </xdr:to>
    <xdr:sp macro="" textlink="">
      <xdr:nvSpPr>
        <xdr:cNvPr id="5" name="Pijl-rechts 4">
          <a:extLst>
            <a:ext uri="{FF2B5EF4-FFF2-40B4-BE49-F238E27FC236}">
              <a16:creationId xmlns:a16="http://schemas.microsoft.com/office/drawing/2014/main" id="{00000000-0008-0000-0200-000005000000}"/>
            </a:ext>
          </a:extLst>
        </xdr:cNvPr>
        <xdr:cNvSpPr/>
      </xdr:nvSpPr>
      <xdr:spPr>
        <a:xfrm>
          <a:off x="2831000" y="4997475"/>
          <a:ext cx="5840110" cy="751085"/>
        </a:xfrm>
        <a:prstGeom prst="rightArrow">
          <a:avLst/>
        </a:prstGeom>
        <a:solidFill>
          <a:schemeClr val="tx2">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203790</xdr:colOff>
      <xdr:row>7</xdr:row>
      <xdr:rowOff>45720</xdr:rowOff>
    </xdr:from>
    <xdr:to>
      <xdr:col>5</xdr:col>
      <xdr:colOff>-1</xdr:colOff>
      <xdr:row>12</xdr:row>
      <xdr:rowOff>0</xdr:rowOff>
    </xdr:to>
    <xdr:sp macro="" textlink="">
      <xdr:nvSpPr>
        <xdr:cNvPr id="6" name="Gelijkbenige driehoek 5">
          <a:extLst>
            <a:ext uri="{FF2B5EF4-FFF2-40B4-BE49-F238E27FC236}">
              <a16:creationId xmlns:a16="http://schemas.microsoft.com/office/drawing/2014/main" id="{00000000-0008-0000-0200-000006000000}"/>
            </a:ext>
          </a:extLst>
        </xdr:cNvPr>
        <xdr:cNvSpPr/>
      </xdr:nvSpPr>
      <xdr:spPr>
        <a:xfrm>
          <a:off x="447630" y="1706880"/>
          <a:ext cx="2379389" cy="1874520"/>
        </a:xfrm>
        <a:prstGeom prst="triangle">
          <a:avLst>
            <a:gd name="adj" fmla="val 50000"/>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3447</xdr:colOff>
      <xdr:row>12</xdr:row>
      <xdr:rowOff>1</xdr:rowOff>
    </xdr:from>
    <xdr:to>
      <xdr:col>5</xdr:col>
      <xdr:colOff>0</xdr:colOff>
      <xdr:row>22</xdr:row>
      <xdr:rowOff>235858</xdr:rowOff>
    </xdr:to>
    <xdr:sp macro="" textlink="">
      <xdr:nvSpPr>
        <xdr:cNvPr id="7" name="Rechthoek 6">
          <a:extLst>
            <a:ext uri="{FF2B5EF4-FFF2-40B4-BE49-F238E27FC236}">
              <a16:creationId xmlns:a16="http://schemas.microsoft.com/office/drawing/2014/main" id="{00000000-0008-0000-0200-000007000000}"/>
            </a:ext>
          </a:extLst>
        </xdr:cNvPr>
        <xdr:cNvSpPr/>
      </xdr:nvSpPr>
      <xdr:spPr>
        <a:xfrm>
          <a:off x="466090" y="2966358"/>
          <a:ext cx="2418624" cy="32657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5715</xdr:colOff>
      <xdr:row>12</xdr:row>
      <xdr:rowOff>201084</xdr:rowOff>
    </xdr:from>
    <xdr:to>
      <xdr:col>6</xdr:col>
      <xdr:colOff>628651</xdr:colOff>
      <xdr:row>14</xdr:row>
      <xdr:rowOff>132504</xdr:rowOff>
    </xdr:to>
    <xdr:sp macro="" textlink="">
      <xdr:nvSpPr>
        <xdr:cNvPr id="8" name="Pijl-rechts 7">
          <a:extLst>
            <a:ext uri="{FF2B5EF4-FFF2-40B4-BE49-F238E27FC236}">
              <a16:creationId xmlns:a16="http://schemas.microsoft.com/office/drawing/2014/main" id="{00000000-0008-0000-0200-000008000000}"/>
            </a:ext>
          </a:extLst>
        </xdr:cNvPr>
        <xdr:cNvSpPr/>
      </xdr:nvSpPr>
      <xdr:spPr>
        <a:xfrm>
          <a:off x="2877869" y="3698469"/>
          <a:ext cx="1297013" cy="498035"/>
        </a:xfrm>
        <a:prstGeom prst="rightArrow">
          <a:avLst/>
        </a:prstGeom>
        <a:solidFill>
          <a:srgbClr val="FFFF00">
            <a:alpha val="4392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9770</xdr:colOff>
      <xdr:row>9</xdr:row>
      <xdr:rowOff>138699</xdr:rowOff>
    </xdr:from>
    <xdr:to>
      <xdr:col>16</xdr:col>
      <xdr:colOff>2</xdr:colOff>
      <xdr:row>11</xdr:row>
      <xdr:rowOff>91840</xdr:rowOff>
    </xdr:to>
    <xdr:sp macro="" textlink="">
      <xdr:nvSpPr>
        <xdr:cNvPr id="11" name="Pijl-omhoog 10">
          <a:extLst>
            <a:ext uri="{FF2B5EF4-FFF2-40B4-BE49-F238E27FC236}">
              <a16:creationId xmlns:a16="http://schemas.microsoft.com/office/drawing/2014/main" id="{00000000-0008-0000-0200-00000B000000}"/>
            </a:ext>
          </a:extLst>
        </xdr:cNvPr>
        <xdr:cNvSpPr/>
      </xdr:nvSpPr>
      <xdr:spPr>
        <a:xfrm rot="5400000">
          <a:off x="10786803" y="-2294434"/>
          <a:ext cx="429391" cy="9296157"/>
        </a:xfrm>
        <a:prstGeom prst="upArrow">
          <a:avLst/>
        </a:prstGeom>
        <a:solidFill>
          <a:schemeClr val="accent5">
            <a:lumMod val="20000"/>
            <a:lumOff val="80000"/>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1615996</xdr:colOff>
      <xdr:row>19</xdr:row>
      <xdr:rowOff>293077</xdr:rowOff>
    </xdr:from>
    <xdr:to>
      <xdr:col>16</xdr:col>
      <xdr:colOff>9525</xdr:colOff>
      <xdr:row>23</xdr:row>
      <xdr:rowOff>172426</xdr:rowOff>
    </xdr:to>
    <xdr:sp macro="" textlink="">
      <xdr:nvSpPr>
        <xdr:cNvPr id="12" name="Gebogen pijl 11">
          <a:extLst>
            <a:ext uri="{FF2B5EF4-FFF2-40B4-BE49-F238E27FC236}">
              <a16:creationId xmlns:a16="http://schemas.microsoft.com/office/drawing/2014/main" id="{00000000-0008-0000-0200-00000C000000}"/>
            </a:ext>
          </a:extLst>
        </xdr:cNvPr>
        <xdr:cNvSpPr/>
      </xdr:nvSpPr>
      <xdr:spPr>
        <a:xfrm rot="10800000" flipH="1">
          <a:off x="5749846" y="4941277"/>
          <a:ext cx="7347029" cy="1250949"/>
        </a:xfrm>
        <a:prstGeom prst="bentArrow">
          <a:avLst>
            <a:gd name="adj1" fmla="val 25000"/>
            <a:gd name="adj2" fmla="val 21747"/>
            <a:gd name="adj3" fmla="val 25000"/>
            <a:gd name="adj4" fmla="val 4375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11</xdr:col>
      <xdr:colOff>1127352</xdr:colOff>
      <xdr:row>26</xdr:row>
      <xdr:rowOff>86741</xdr:rowOff>
    </xdr:from>
    <xdr:to>
      <xdr:col>14</xdr:col>
      <xdr:colOff>145677</xdr:colOff>
      <xdr:row>29</xdr:row>
      <xdr:rowOff>324970</xdr:rowOff>
    </xdr:to>
    <xdr:sp macro="[0]!Macro1" textlink="">
      <xdr:nvSpPr>
        <xdr:cNvPr id="13" name="Afgeronde rechthoek 12">
          <a:extLst>
            <a:ext uri="{FF2B5EF4-FFF2-40B4-BE49-F238E27FC236}">
              <a16:creationId xmlns:a16="http://schemas.microsoft.com/office/drawing/2014/main" id="{00000000-0008-0000-0200-00000D000000}"/>
            </a:ext>
          </a:extLst>
        </xdr:cNvPr>
        <xdr:cNvSpPr/>
      </xdr:nvSpPr>
      <xdr:spPr>
        <a:xfrm>
          <a:off x="9767087" y="6765447"/>
          <a:ext cx="2178384" cy="910582"/>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t>Opslaan als PDF</a:t>
          </a:r>
        </a:p>
        <a:p>
          <a:pPr algn="l"/>
          <a:r>
            <a:rPr lang="en-GB" sz="1400"/>
            <a:t>(</a:t>
          </a:r>
          <a:r>
            <a:rPr lang="en-GB" sz="1200"/>
            <a:t>Sla eerst </a:t>
          </a:r>
          <a:r>
            <a:rPr lang="en-GB" sz="1200" baseline="0"/>
            <a:t>Excelfile op. PDF komt in dezelfde map.)</a:t>
          </a:r>
          <a:r>
            <a:rPr lang="en-GB" sz="1400"/>
            <a:t> </a:t>
          </a:r>
        </a:p>
      </xdr:txBody>
    </xdr:sp>
    <xdr:clientData/>
  </xdr:twoCellAnchor>
  <xdr:twoCellAnchor editAs="oneCell">
    <xdr:from>
      <xdr:col>13</xdr:col>
      <xdr:colOff>80885</xdr:colOff>
      <xdr:row>29</xdr:row>
      <xdr:rowOff>207874</xdr:rowOff>
    </xdr:from>
    <xdr:to>
      <xdr:col>13</xdr:col>
      <xdr:colOff>516109</xdr:colOff>
      <xdr:row>30</xdr:row>
      <xdr:rowOff>94351</xdr:rowOff>
    </xdr:to>
    <xdr:pic macro="[0]!Macro1">
      <xdr:nvPicPr>
        <xdr:cNvPr id="14" name="Afbeelding 13" descr="Afbeeldingsresultaat voor handje muisklik">
          <a:extLst>
            <a:ext uri="{FF2B5EF4-FFF2-40B4-BE49-F238E27FC236}">
              <a16:creationId xmlns:a16="http://schemas.microsoft.com/office/drawing/2014/main" id="{00000000-0008-0000-0200-00000E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31" t="49567"/>
        <a:stretch/>
      </xdr:blipFill>
      <xdr:spPr bwMode="auto">
        <a:xfrm>
          <a:off x="11282285" y="7627849"/>
          <a:ext cx="435224" cy="438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243354</xdr:colOff>
      <xdr:row>26</xdr:row>
      <xdr:rowOff>14645</xdr:rowOff>
    </xdr:from>
    <xdr:to>
      <xdr:col>11</xdr:col>
      <xdr:colOff>38100</xdr:colOff>
      <xdr:row>29</xdr:row>
      <xdr:rowOff>335181</xdr:rowOff>
    </xdr:to>
    <xdr:pic>
      <xdr:nvPicPr>
        <xdr:cNvPr id="15" name="Afbeelding 14">
          <a:extLst>
            <a:ext uri="{FF2B5EF4-FFF2-40B4-BE49-F238E27FC236}">
              <a16:creationId xmlns:a16="http://schemas.microsoft.com/office/drawing/2014/main" id="{00000000-0008-0000-0200-00000F000000}"/>
            </a:ext>
          </a:extLst>
        </xdr:cNvPr>
        <xdr:cNvPicPr/>
      </xdr:nvPicPr>
      <xdr:blipFill rotWithShape="1">
        <a:blip xmlns:r="http://schemas.openxmlformats.org/officeDocument/2006/relationships" r:embed="rId2"/>
        <a:srcRect l="8846" t="26044" r="79683" b="33170"/>
        <a:stretch/>
      </xdr:blipFill>
      <xdr:spPr bwMode="auto">
        <a:xfrm>
          <a:off x="8101479" y="6720245"/>
          <a:ext cx="585321" cy="996811"/>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9896</xdr:colOff>
      <xdr:row>18</xdr:row>
      <xdr:rowOff>2</xdr:rowOff>
    </xdr:from>
    <xdr:to>
      <xdr:col>16</xdr:col>
      <xdr:colOff>0</xdr:colOff>
      <xdr:row>19</xdr:row>
      <xdr:rowOff>57643</xdr:rowOff>
    </xdr:to>
    <xdr:sp macro="" textlink="">
      <xdr:nvSpPr>
        <xdr:cNvPr id="16" name="Pijl-omhoog 15">
          <a:extLst>
            <a:ext uri="{FF2B5EF4-FFF2-40B4-BE49-F238E27FC236}">
              <a16:creationId xmlns:a16="http://schemas.microsoft.com/office/drawing/2014/main" id="{00000000-0008-0000-0200-000010000000}"/>
            </a:ext>
          </a:extLst>
        </xdr:cNvPr>
        <xdr:cNvSpPr/>
      </xdr:nvSpPr>
      <xdr:spPr>
        <a:xfrm rot="5400000">
          <a:off x="11409937" y="3961881"/>
          <a:ext cx="438641" cy="2283724"/>
        </a:xfrm>
        <a:prstGeom prst="upArrow">
          <a:avLst/>
        </a:prstGeom>
        <a:solidFill>
          <a:schemeClr val="accent5">
            <a:lumMod val="20000"/>
            <a:lumOff val="80000"/>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6</xdr:col>
          <xdr:colOff>76200</xdr:colOff>
          <xdr:row>11</xdr:row>
          <xdr:rowOff>47625</xdr:rowOff>
        </xdr:from>
        <xdr:to>
          <xdr:col>6</xdr:col>
          <xdr:colOff>361950</xdr:colOff>
          <xdr:row>13</xdr:row>
          <xdr:rowOff>19050</xdr:rowOff>
        </xdr:to>
        <xdr:sp macro="" textlink="">
          <xdr:nvSpPr>
            <xdr:cNvPr id="3077" name="Spinner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xdr:col>
      <xdr:colOff>19050</xdr:colOff>
      <xdr:row>18</xdr:row>
      <xdr:rowOff>284529</xdr:rowOff>
    </xdr:from>
    <xdr:to>
      <xdr:col>7</xdr:col>
      <xdr:colOff>3811</xdr:colOff>
      <xdr:row>20</xdr:row>
      <xdr:rowOff>92124</xdr:rowOff>
    </xdr:to>
    <xdr:sp macro="" textlink="">
      <xdr:nvSpPr>
        <xdr:cNvPr id="19" name="Pijl-rechts 18">
          <a:extLst>
            <a:ext uri="{FF2B5EF4-FFF2-40B4-BE49-F238E27FC236}">
              <a16:creationId xmlns:a16="http://schemas.microsoft.com/office/drawing/2014/main" id="{00000000-0008-0000-0200-000013000000}"/>
            </a:ext>
          </a:extLst>
        </xdr:cNvPr>
        <xdr:cNvSpPr/>
      </xdr:nvSpPr>
      <xdr:spPr>
        <a:xfrm>
          <a:off x="2891204" y="5276606"/>
          <a:ext cx="1313376" cy="491441"/>
        </a:xfrm>
        <a:prstGeom prst="rightArrow">
          <a:avLst/>
        </a:prstGeom>
        <a:solidFill>
          <a:srgbClr val="FFFF00">
            <a:alpha val="4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6</xdr:col>
          <xdr:colOff>19050</xdr:colOff>
          <xdr:row>17</xdr:row>
          <xdr:rowOff>209550</xdr:rowOff>
        </xdr:from>
        <xdr:to>
          <xdr:col>6</xdr:col>
          <xdr:colOff>323850</xdr:colOff>
          <xdr:row>19</xdr:row>
          <xdr:rowOff>38100</xdr:rowOff>
        </xdr:to>
        <xdr:sp macro="" textlink="">
          <xdr:nvSpPr>
            <xdr:cNvPr id="3080" name="Spinner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8</xdr:col>
      <xdr:colOff>19537</xdr:colOff>
      <xdr:row>13</xdr:row>
      <xdr:rowOff>28615</xdr:rowOff>
    </xdr:from>
    <xdr:to>
      <xdr:col>11</xdr:col>
      <xdr:colOff>1299305</xdr:colOff>
      <xdr:row>17</xdr:row>
      <xdr:rowOff>38382</xdr:rowOff>
    </xdr:to>
    <xdr:sp macro="" textlink="">
      <xdr:nvSpPr>
        <xdr:cNvPr id="22" name="Gebogen pijl 2">
          <a:extLst>
            <a:ext uri="{FF2B5EF4-FFF2-40B4-BE49-F238E27FC236}">
              <a16:creationId xmlns:a16="http://schemas.microsoft.com/office/drawing/2014/main" id="{00000000-0008-0000-0200-000016000000}"/>
            </a:ext>
          </a:extLst>
        </xdr:cNvPr>
        <xdr:cNvSpPr/>
      </xdr:nvSpPr>
      <xdr:spPr>
        <a:xfrm rot="5400000">
          <a:off x="7742115" y="1977576"/>
          <a:ext cx="1094152" cy="3624383"/>
        </a:xfrm>
        <a:prstGeom prst="bentArrow">
          <a:avLst>
            <a:gd name="adj1" fmla="val 25000"/>
            <a:gd name="adj2" fmla="val 31654"/>
            <a:gd name="adj3" fmla="val 25000"/>
            <a:gd name="adj4" fmla="val 43750"/>
          </a:avLst>
        </a:prstGeom>
        <a:solidFill>
          <a:schemeClr val="accent1">
            <a:alpha val="6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15</xdr:col>
          <xdr:colOff>2105025</xdr:colOff>
          <xdr:row>6</xdr:row>
          <xdr:rowOff>76200</xdr:rowOff>
        </xdr:from>
        <xdr:to>
          <xdr:col>15</xdr:col>
          <xdr:colOff>2362200</xdr:colOff>
          <xdr:row>9</xdr:row>
          <xdr:rowOff>9525</xdr:rowOff>
        </xdr:to>
        <xdr:sp macro="" textlink="">
          <xdr:nvSpPr>
            <xdr:cNvPr id="3093" name="Spinner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147954</xdr:colOff>
      <xdr:row>15</xdr:row>
      <xdr:rowOff>245432</xdr:rowOff>
    </xdr:from>
    <xdr:to>
      <xdr:col>6</xdr:col>
      <xdr:colOff>2221</xdr:colOff>
      <xdr:row>17</xdr:row>
      <xdr:rowOff>245114</xdr:rowOff>
    </xdr:to>
    <xdr:pic macro="[0]!ZetventilatieWWenstoffilteropnul">
      <xdr:nvPicPr>
        <xdr:cNvPr id="21" name="Afbeelding 13" descr="Afbeeldingsresultaat voor handje muisklik">
          <a:extLst>
            <a:ext uri="{FF2B5EF4-FFF2-40B4-BE49-F238E27FC236}">
              <a16:creationId xmlns:a16="http://schemas.microsoft.com/office/drawing/2014/main" id="{00000000-0008-0000-0200-00001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031" t="49567"/>
        <a:stretch/>
      </xdr:blipFill>
      <xdr:spPr bwMode="auto">
        <a:xfrm rot="10800000">
          <a:off x="2976879" y="3779207"/>
          <a:ext cx="521017" cy="493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752475</xdr:colOff>
      <xdr:row>7</xdr:row>
      <xdr:rowOff>147229</xdr:rowOff>
    </xdr:from>
    <xdr:to>
      <xdr:col>4</xdr:col>
      <xdr:colOff>1739167</xdr:colOff>
      <xdr:row>11</xdr:row>
      <xdr:rowOff>188593</xdr:rowOff>
    </xdr:to>
    <xdr:pic>
      <xdr:nvPicPr>
        <xdr:cNvPr id="23" name="Picture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0150" y="1785529"/>
          <a:ext cx="986692" cy="879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W69"/>
  <sheetViews>
    <sheetView showGridLines="0" tabSelected="1" zoomScale="73" zoomScaleNormal="73" zoomScaleSheetLayoutView="80" workbookViewId="0">
      <selection activeCell="E4" sqref="E4"/>
    </sheetView>
  </sheetViews>
  <sheetFormatPr defaultColWidth="8.85546875" defaultRowHeight="15.75" x14ac:dyDescent="0.25"/>
  <cols>
    <col min="1" max="1" width="1" style="43" customWidth="1"/>
    <col min="2" max="2" width="2.5703125" style="43" customWidth="1"/>
    <col min="3" max="3" width="3" style="43" customWidth="1"/>
    <col min="4" max="4" width="14.85546875" style="43" hidden="1" customWidth="1"/>
    <col min="5" max="5" width="34.7109375" style="43" customWidth="1"/>
    <col min="6" max="6" width="9.7109375" style="43" customWidth="1"/>
    <col min="7" max="7" width="9.28515625" style="43" customWidth="1"/>
    <col min="8" max="8" width="32.28515625" style="43" customWidth="1"/>
    <col min="9" max="9" width="12.85546875" style="43" customWidth="1"/>
    <col min="10" max="10" width="9.140625" style="43" customWidth="1"/>
    <col min="11" max="11" width="11.5703125" style="43" customWidth="1"/>
    <col min="12" max="12" width="31.28515625" style="43" customWidth="1"/>
    <col min="13" max="13" width="6" style="43" customWidth="1"/>
    <col min="14" max="14" width="11.42578125" style="43" customWidth="1"/>
    <col min="15" max="15" width="16.85546875" style="43" customWidth="1"/>
    <col min="16" max="16" width="36.5703125" style="43" customWidth="1"/>
    <col min="17" max="17" width="14.7109375" style="43" customWidth="1"/>
    <col min="18" max="18" width="4.28515625" style="43" customWidth="1"/>
    <col min="19" max="20" width="9.7109375" style="43" bestFit="1" customWidth="1"/>
    <col min="21" max="16384" width="8.85546875" style="43"/>
  </cols>
  <sheetData>
    <row r="1" spans="1:49" ht="25.15" customHeight="1" x14ac:dyDescent="0.4">
      <c r="A1" s="215"/>
      <c r="B1" s="215"/>
      <c r="C1" s="215"/>
      <c r="D1" s="215"/>
      <c r="E1" s="216" t="s">
        <v>210</v>
      </c>
      <c r="F1" s="215"/>
      <c r="G1" s="215"/>
      <c r="H1" s="215"/>
      <c r="I1" s="215"/>
      <c r="J1" s="217" t="s">
        <v>131</v>
      </c>
      <c r="K1" s="215"/>
      <c r="L1" s="215"/>
      <c r="M1" s="90"/>
      <c r="N1" s="90"/>
      <c r="O1" s="90"/>
      <c r="P1" s="90"/>
      <c r="Q1" s="90"/>
      <c r="R1" s="215"/>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row>
    <row r="2" spans="1:49" ht="8.4499999999999993" customHeight="1" thickBot="1" x14ac:dyDescent="0.3">
      <c r="A2" s="215"/>
      <c r="B2" s="215"/>
      <c r="C2" s="215"/>
      <c r="D2" s="215"/>
      <c r="E2" s="215"/>
      <c r="F2" s="215"/>
      <c r="G2" s="215"/>
      <c r="H2" s="215"/>
      <c r="I2" s="215"/>
      <c r="J2" s="215"/>
      <c r="K2" s="215"/>
      <c r="L2" s="215"/>
      <c r="M2" s="90"/>
      <c r="N2" s="90"/>
      <c r="O2" s="90"/>
      <c r="P2" s="90"/>
      <c r="Q2" s="90"/>
      <c r="R2" s="215"/>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row>
    <row r="3" spans="1:49" ht="20.45" customHeight="1" thickBot="1" x14ac:dyDescent="0.35">
      <c r="F3" s="99"/>
      <c r="G3" s="99"/>
      <c r="H3" s="261" t="s">
        <v>213</v>
      </c>
      <c r="I3" s="246"/>
      <c r="J3" s="246"/>
      <c r="K3" s="246"/>
      <c r="L3" s="246"/>
      <c r="M3" s="246"/>
      <c r="N3" s="246"/>
      <c r="O3" s="246"/>
      <c r="P3" s="246"/>
      <c r="Q3" s="247"/>
      <c r="R3" s="99"/>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pans="1:49" ht="18" customHeight="1" x14ac:dyDescent="0.3">
      <c r="E4" s="244" t="s">
        <v>209</v>
      </c>
      <c r="F4" s="109" t="s">
        <v>126</v>
      </c>
      <c r="H4" s="251" t="s">
        <v>200</v>
      </c>
      <c r="I4" s="258"/>
      <c r="J4" s="258"/>
      <c r="K4" s="258"/>
      <c r="L4" s="258"/>
      <c r="M4" s="258"/>
      <c r="N4" s="258"/>
      <c r="O4" s="258"/>
      <c r="P4" s="258"/>
      <c r="Q4" s="260"/>
      <c r="R4" s="99"/>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8" customHeight="1" x14ac:dyDescent="0.3">
      <c r="E5" s="245" t="s">
        <v>209</v>
      </c>
      <c r="F5" s="110" t="s">
        <v>127</v>
      </c>
      <c r="H5" s="250" t="s">
        <v>201</v>
      </c>
      <c r="I5" s="248"/>
      <c r="J5" s="248"/>
      <c r="K5" s="248"/>
      <c r="L5" s="248"/>
      <c r="M5" s="248"/>
      <c r="N5" s="248"/>
      <c r="O5" s="248"/>
      <c r="P5" s="248"/>
      <c r="Q5" s="249"/>
      <c r="R5" s="99"/>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17.45" customHeight="1" thickBot="1" x14ac:dyDescent="0.35">
      <c r="D6" s="43" t="s">
        <v>207</v>
      </c>
      <c r="E6" s="111">
        <f ca="1">TODAY()</f>
        <v>44267</v>
      </c>
      <c r="F6" s="112" t="s">
        <v>0</v>
      </c>
      <c r="H6" s="251" t="s">
        <v>202</v>
      </c>
      <c r="I6" s="259"/>
      <c r="J6" s="259"/>
      <c r="K6" s="259"/>
      <c r="L6" s="259"/>
      <c r="M6" s="259"/>
      <c r="N6" s="259"/>
      <c r="O6" s="259"/>
      <c r="P6" s="259"/>
      <c r="Q6" s="252"/>
      <c r="R6" s="99"/>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8" customHeight="1" thickBot="1" x14ac:dyDescent="0.35">
      <c r="D7" s="43" t="s">
        <v>205</v>
      </c>
      <c r="E7" s="43" t="s">
        <v>20</v>
      </c>
      <c r="H7" s="253" t="s">
        <v>203</v>
      </c>
      <c r="I7" s="254"/>
      <c r="J7" s="254"/>
      <c r="K7" s="255"/>
      <c r="L7" s="254"/>
      <c r="M7" s="255"/>
      <c r="N7" s="255"/>
      <c r="O7" s="255"/>
      <c r="P7" s="255"/>
      <c r="Q7" s="256"/>
      <c r="R7" s="99"/>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13.15" customHeight="1" x14ac:dyDescent="0.25">
      <c r="D8" s="43" t="s">
        <v>206</v>
      </c>
      <c r="F8" s="108"/>
      <c r="H8" s="233"/>
      <c r="I8" s="234"/>
      <c r="J8" s="235"/>
      <c r="K8" s="235"/>
      <c r="R8" s="99"/>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 customHeight="1" thickBot="1" x14ac:dyDescent="0.4">
      <c r="E9" s="62"/>
      <c r="F9" s="239"/>
      <c r="H9" s="236"/>
      <c r="I9" s="235"/>
      <c r="J9" s="235"/>
      <c r="K9" s="235"/>
      <c r="L9" s="262"/>
      <c r="M9" s="263"/>
      <c r="N9" s="263"/>
      <c r="O9" s="95"/>
      <c r="R9" s="99"/>
      <c r="S9" s="90"/>
      <c r="T9" s="192"/>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row>
    <row r="10" spans="1:49" ht="19.899999999999999" customHeight="1" x14ac:dyDescent="0.3">
      <c r="C10" s="88" t="s">
        <v>114</v>
      </c>
      <c r="E10" s="62"/>
      <c r="H10" s="222" t="str">
        <f>IF(F14+H16=0,"Geen warmtewisselaar","Warmtewisselaar")</f>
        <v>Geen warmtewisselaar</v>
      </c>
      <c r="I10" s="83"/>
      <c r="J10" s="81"/>
      <c r="L10" s="87"/>
      <c r="Q10" s="271" t="s">
        <v>128</v>
      </c>
      <c r="R10" s="99"/>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18" customHeight="1" thickBot="1" x14ac:dyDescent="0.3">
      <c r="F11" s="63"/>
      <c r="H11" s="221" t="str">
        <f>IF(H10="warmtewisselaar","Reductiepercentage WW 80%","   ")</f>
        <v xml:space="preserve">   </v>
      </c>
      <c r="I11" s="60"/>
      <c r="J11" s="59">
        <f>IF(L20="geen techniek",F14+H16,IF(J13="ja",0,F14+H16))</f>
        <v>0</v>
      </c>
      <c r="K11" s="172" t="s">
        <v>196</v>
      </c>
      <c r="L11" s="284" t="str">
        <f>IF(L20="Biofilter",IF(F11+J14&gt;0,"Combinatie met warmtewisselaar is niet zinvol","     "),IF(L20="bio wasser 60%",IF(F11+J14&gt;0,"Combinatie met warmtewisselaar is niet zinvol","   "),IF(L20="bio wasser 75%",IF(F11+J14&gt;0,"Combinatie met warmtewisselaar is niet zinvol","   "),"   ")))</f>
        <v xml:space="preserve">   </v>
      </c>
      <c r="M11" s="285"/>
      <c r="N11" s="285"/>
      <c r="O11" s="285"/>
      <c r="Q11" s="272"/>
      <c r="R11" s="99"/>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19.149999999999999" customHeight="1" thickBot="1" x14ac:dyDescent="0.3">
      <c r="H12" s="191">
        <f>ROUND(IF(H15="nee",'wisselend debiet_eend'!$O$8*(1-E23),IF(H15="ja",'wisselend debiet_eend'!$Q$8*(1-E23))),3)</f>
        <v>0</v>
      </c>
      <c r="I12" s="202" t="str">
        <f>"Lucht WW door overige techniek?"</f>
        <v>Lucht WW door overige techniek?</v>
      </c>
      <c r="J12" s="203"/>
      <c r="K12" s="204"/>
      <c r="L12" s="285"/>
      <c r="M12" s="285"/>
      <c r="N12" s="285"/>
      <c r="O12" s="285"/>
      <c r="Q12" s="272"/>
      <c r="R12" s="99"/>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19.149999999999999" customHeight="1" x14ac:dyDescent="0.35">
      <c r="E13" s="167" t="s">
        <v>208</v>
      </c>
      <c r="H13" s="220" t="s">
        <v>186</v>
      </c>
      <c r="I13" s="200"/>
      <c r="J13" s="201" t="s">
        <v>99</v>
      </c>
      <c r="L13" s="285"/>
      <c r="M13" s="285"/>
      <c r="N13" s="285"/>
      <c r="O13" s="285"/>
      <c r="Q13" s="272"/>
      <c r="R13" s="99"/>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21" customHeight="1" x14ac:dyDescent="0.25">
      <c r="D14" s="188">
        <v>0</v>
      </c>
      <c r="E14" s="276"/>
      <c r="F14" s="186">
        <f>MAX(0,IF(D14+D19&gt;J25*100,(J25-F20),D14/100))</f>
        <v>0</v>
      </c>
      <c r="G14" s="43" t="s">
        <v>196</v>
      </c>
      <c r="H14" s="221" t="str">
        <f>IF(F15=0,"    ","Reductie% stoffilter 99%")</f>
        <v>Reductie% stoffilter 99%</v>
      </c>
      <c r="J14" s="190">
        <f>IF(L20="geen techniek",0,IF(J13="ja",F14+H16,0))</f>
        <v>0</v>
      </c>
      <c r="K14" s="189" t="s">
        <v>196</v>
      </c>
      <c r="Q14" s="272"/>
      <c r="R14" s="99"/>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24" customHeight="1" thickBot="1" x14ac:dyDescent="0.3">
      <c r="D15" s="188">
        <v>75</v>
      </c>
      <c r="E15" s="276"/>
      <c r="F15" s="43" t="s">
        <v>184</v>
      </c>
      <c r="H15" s="84" t="s">
        <v>99</v>
      </c>
      <c r="I15" s="264" t="str">
        <f>IF(J13="nee","     ",IF(L20="geen techniek",IF(J13="ja","Indien 'geen techniek', dan is er geen luchtstroom"),"   "))</f>
        <v xml:space="preserve">     </v>
      </c>
      <c r="J15" s="265"/>
      <c r="K15" s="265"/>
      <c r="M15" s="273" t="str">
        <f>IF(F14&gt;0,IF(L20="Luchtconditioneringsunit","Twee keer eenzelfde type techniek in de uitgaande luchtstroom is niet logisch","    "),"   ")</f>
        <v xml:space="preserve">   </v>
      </c>
      <c r="N15" s="269"/>
      <c r="O15" s="269"/>
      <c r="P15" s="270"/>
      <c r="Q15" s="272"/>
      <c r="R15" s="99"/>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row>
    <row r="16" spans="1:49" ht="15.6" customHeight="1" thickBot="1" x14ac:dyDescent="0.3">
      <c r="E16" s="277"/>
      <c r="F16" s="242">
        <f>F14/J25</f>
        <v>0</v>
      </c>
      <c r="G16" s="266" t="str">
        <f>IF(F14&gt;0,"Reset: Zet ventilatie door WW en/of stoffilter in 1 klik op 0 m3",IF(F20&gt;0,"Zet ventilatie door WW en/of stoffilter in 1 klik op 0 m3","  "))</f>
        <v xml:space="preserve">  </v>
      </c>
      <c r="H16" s="267"/>
      <c r="I16" s="265"/>
      <c r="J16" s="265"/>
      <c r="K16" s="265"/>
      <c r="M16" s="274"/>
      <c r="N16" s="274"/>
      <c r="O16" s="274"/>
      <c r="P16" s="275"/>
      <c r="Q16" s="272"/>
      <c r="R16" s="99"/>
      <c r="S16" s="257"/>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row>
    <row r="17" spans="3:49" ht="19.899999999999999" customHeight="1" thickBot="1" x14ac:dyDescent="0.3">
      <c r="E17" s="213"/>
      <c r="F17" s="212"/>
      <c r="G17" s="267"/>
      <c r="H17" s="267"/>
      <c r="I17" s="273" t="str">
        <f>IF(J11=0,"   ",IF(L20="chemische wasser 35%","Alle lucht moet door overige techniek vanwege ammoniak en/of fijn stof",IF(L20="chemische wasser 70%","Alle lucht moet door overige techniek vanwege ammoniak en/of fijn stof",IF(L20="Bio wasser 60%","Alle lucht moet door overige techniek vanwege ammoniak en/of fijn stof",IF(L20="Bio wasser 75%","Alle lucht moet door overige techniek vanwege ammoniak en/of fijn stof",IF(L20="Biofilter","Alle lucht moet door overige techniek vanwege ammoniak en/of fijn stof","   "))))))</f>
        <v xml:space="preserve">   </v>
      </c>
      <c r="J17" s="269"/>
      <c r="K17" s="269"/>
      <c r="Q17" s="272"/>
      <c r="R17" s="99"/>
      <c r="S17" s="257"/>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row>
    <row r="18" spans="3:49" ht="20.45" customHeight="1" x14ac:dyDescent="0.3">
      <c r="E18" s="82" t="s">
        <v>93</v>
      </c>
      <c r="H18" s="222" t="str">
        <f>IF(F20=0,"Geen stoffilter","Droog stoffilter")</f>
        <v>Geen stoffilter</v>
      </c>
      <c r="I18" s="269"/>
      <c r="J18" s="269"/>
      <c r="K18" s="269"/>
      <c r="L18" s="225" t="s">
        <v>124</v>
      </c>
      <c r="M18" s="80"/>
      <c r="N18" s="80"/>
      <c r="Q18" s="272"/>
      <c r="R18" s="99"/>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row>
    <row r="19" spans="3:49" ht="31.9" customHeight="1" x14ac:dyDescent="0.3">
      <c r="D19" s="187">
        <v>0</v>
      </c>
      <c r="E19" s="243" t="s">
        <v>111</v>
      </c>
      <c r="H19" s="221" t="str">
        <f>IF(F20=0,"    ","Reductie% stoffilter 99%")</f>
        <v xml:space="preserve">    </v>
      </c>
      <c r="I19" s="286" t="str">
        <f>IF(F20=0,"   ",IF(L20="chemische wasser 35%","Alle lucht moet door overige techniek vanwege ammoniak en/of fijn stof",IF(L20="chemische wasser 70%","Alle lucht moet door overige techniek vanwege ammoniak en/of fijn stof",IF(L20="Bio wasser 60%","Alle lucht moet door overige techniek vanwege ammoniak en/of fijn stof",IF(L20="Bio wasser 75%","Alle lucht moet door overige techniek vanwege ammoniak en/of fijn stof",IF(L20="Biofilter","Alle lucht moet door overige techniek vanwege ammoniak en/of fijn stof","   "))))))</f>
        <v xml:space="preserve">   </v>
      </c>
      <c r="J19" s="287"/>
      <c r="K19" s="288"/>
      <c r="L19" s="226" t="str">
        <f>IF(L20="chemische wasser 35%","Potentieel reductie: 35%",IF(L20="chemische wasser 70%","Potentieel reductie: 70%",IF(L20="bio wasser 60%","Potentieel reductie: 60%",IF(L20="bio wasser 75%","Potentieel reductie: 75%",IF(L20="biofilter","Potentieel reductie: 80%",IF(L20="waterluchtwassysteem","Potentieel reductie: 33%",IF(L20="droogfilterwand","Potentieel reductie: 40%",IF(L20="ionisatiefilter","Potentieel reductie: 57%",IF(L20="luchtconditioneringsunit","Potentieel reductie: 80%","  ")))))))))</f>
        <v xml:space="preserve">  </v>
      </c>
      <c r="M19" s="96"/>
      <c r="N19" s="97"/>
      <c r="O19" s="278"/>
      <c r="Q19" s="272"/>
      <c r="R19" s="99"/>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row>
    <row r="20" spans="3:49" ht="24" customHeight="1" thickBot="1" x14ac:dyDescent="0.35">
      <c r="E20" s="280" t="str">
        <f>IF(E19="geen staltechniek","    ",IF(E19="negatieve ionisatie",IF(E14="vleeskuikens","   ","Deze techniek kan alleen bij vleeskuikens"),IF(E19="strooiselschuif",IF(E14="leghennen voliere","   ","Deze techniek kan alleen bij leghennen voliere"),IF(E19="oliefilm bij voliere dmv leidingen",IF(E14="leghennen voliere","   ",IF(E14="opfok leghennen voliere","     ",IF(E14="Vleeskuikenouderdieren voliere","    ","Deze techniek kan alleen bij (opfok)leghennen en vleeskuikenouderdieren voliere"))),IF(E19="strooiselschuif icm oliefilm bij voliere dmv leidingen",IF(E14="leghennen voliere","   ","Deze techniek kan alleen bij leghennen voliere"),IF(E19="oliefilm dmv olierobot",IF(E14="opfok leghennen grondhuisvesting","    ",IF(E14="leghennen grondhuisvesting","    ",IF(E14="vleeskuikenouderdieren grondhuisvesting","    ","Deze techniek kan alleen bij (opfok)leghennen en vleeskuikenouderdieren grondhuisvesting"))),"   "))))))</f>
        <v xml:space="preserve">    </v>
      </c>
      <c r="F20" s="187">
        <f>MAX(0,IF(D14+D19&gt;J25*100,(J25*100-D14)/100,D19/100))</f>
        <v>0</v>
      </c>
      <c r="G20" s="43" t="s">
        <v>196</v>
      </c>
      <c r="H20" s="241">
        <f>ROUND(IF(F14=0,'wisselend debiet_eend'!$M$8*(1-E23),'wisselend debiet_eend'!$P$8*(1-E23)),3)</f>
        <v>0</v>
      </c>
      <c r="J20" s="231"/>
      <c r="K20" s="232"/>
      <c r="L20" s="84" t="s">
        <v>113</v>
      </c>
      <c r="O20" s="279"/>
      <c r="Q20" s="272"/>
      <c r="R20" s="99"/>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row>
    <row r="21" spans="3:49" ht="40.15" customHeight="1" x14ac:dyDescent="0.3">
      <c r="E21" s="281"/>
      <c r="F21" s="63">
        <f>J25-F14-F20</f>
        <v>12.56</v>
      </c>
      <c r="G21" s="43" t="s">
        <v>196</v>
      </c>
      <c r="H21" s="85"/>
      <c r="J21" s="59">
        <f>IF(L20="geen techniek",0,F21)</f>
        <v>0</v>
      </c>
      <c r="K21" s="79" t="s">
        <v>196</v>
      </c>
      <c r="L21" s="102" t="s">
        <v>130</v>
      </c>
      <c r="M21" s="268" t="str">
        <f>IF(L20="luchtconditioneringsunit","   ",IF(L20="geen techniek","    ",IF(L20="chemische wasser 35%","    ",IF(L20="chemische wasser 70%","    ",IF(L20="bio wasser 60%","    ",IF(L20="bio wasser 75%","    ",IF(L20="waterluchtwassysteem","   ",IF(L25="biofilter","    ",IF(L20="Droogfilterwand","   ",IF(L20="ionisatiefilter",IF(E19="ionisatie d.m.v. koolstofborsteltjes","Combinatie van ionisatietechnieken is niet zinvol",IF(E19="ionisatie d.m.v. koolstof-borsteltjes icm strooiselschuif","Combinatie van ionisatietechnieken is niet zinvol","   ")),"  "))))))))))</f>
        <v xml:space="preserve">    </v>
      </c>
      <c r="N21" s="269"/>
      <c r="O21" s="269"/>
      <c r="P21" s="270"/>
      <c r="Q21" s="272"/>
      <c r="R21" s="99"/>
      <c r="S21" s="257"/>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row>
    <row r="22" spans="3:49" ht="24.4" customHeight="1" x14ac:dyDescent="0.45">
      <c r="C22" s="61"/>
      <c r="D22" s="61"/>
      <c r="E22" s="65" t="s">
        <v>129</v>
      </c>
      <c r="F22" s="85" t="s">
        <v>112</v>
      </c>
      <c r="G22" s="85"/>
      <c r="H22" s="85" t="s">
        <v>20</v>
      </c>
      <c r="J22" s="59"/>
      <c r="L22" s="240">
        <f>IF(M15="Twee keer eenzelfde type techniek in de uitgaande luchtstroom is niet logisch","error",IF(F24="Niet alle lucht gaat door luchtconditioneringsunit, dus niet combineren met droog stoffilter","error",(IF(I17="Alle lucht moet door overige techniek vanwege ammoniak en/of fijn stof","error",IF(I19="Alle lucht moet door overige techniek vanwege ammoniak en/of fijn stof","error",IF(L11="Combinatie met warmtewisselaar is niet toegestaan","error",IF(F20=0,IF(J13="ja",'wisselend debiet_eend'!$U$8*(1-E23),'wisselend debiet_eend'!$S$8*(1-E23)),IF(F14=0,'wisselend debiet_eend'!$T$8*(1-E23),IF(F14&gt;0,IF(F20&gt;0,IF(J14=0,'wisselend debiet_eend'!$V$8*(1-E23),IF(J14&gt;0,'wisselend debiet_eend'!$U$8*(1-E23),'wisselend debiet_eend'!$W$8*(1-E23)))))))))))))</f>
        <v>0</v>
      </c>
      <c r="N22" s="169"/>
      <c r="O22" s="98"/>
      <c r="Q22" s="106">
        <f>ROUNDDOWN(100%-(1-E23)+(H20+H12)+L22,2)</f>
        <v>0</v>
      </c>
      <c r="R22" s="99"/>
      <c r="S22" s="257"/>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row>
    <row r="23" spans="3:49" ht="19.899999999999999" customHeight="1" x14ac:dyDescent="0.25">
      <c r="C23" s="61"/>
      <c r="D23" s="61"/>
      <c r="E23" s="176">
        <f>IF(E19="ionisatieSYSTEEM MET NEGATIEVE CORONADRADEN",49%,IF(E19="ionisatie d.m.v. koolstofborsteltjes",31%,IF(E19="ionisatie d.m.v. coronadraden",52%,IF(E19="ionisatie d.m.v. ionisatie-units",16%,0))))</f>
        <v>0</v>
      </c>
      <c r="F23" s="59"/>
      <c r="G23" s="86">
        <f>J11+J14+J21+J23</f>
        <v>12.56</v>
      </c>
      <c r="H23" s="85"/>
      <c r="J23" s="59">
        <f>F20+F21-H16-J21</f>
        <v>12.56</v>
      </c>
      <c r="K23" s="43" t="s">
        <v>196</v>
      </c>
      <c r="L23" s="169"/>
      <c r="Q23" s="184"/>
      <c r="R23" s="99"/>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row>
    <row r="24" spans="3:49" ht="21.6" customHeight="1" thickBot="1" x14ac:dyDescent="0.35">
      <c r="C24" s="61"/>
      <c r="D24" s="61"/>
      <c r="E24" s="227"/>
      <c r="F24" s="229" t="str">
        <f>IF(L20="Luchtconditioneringsunit",IF(H20&gt;0,"Niet alle lucht gaat door luchtconditioneringsunit, dus niet combineren met droog stoffilter","    "),"   ")</f>
        <v xml:space="preserve">   </v>
      </c>
      <c r="Q24" s="107"/>
      <c r="R24" s="99"/>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row>
    <row r="25" spans="3:49" ht="21" x14ac:dyDescent="0.3">
      <c r="C25" s="61"/>
      <c r="D25" s="61" t="s">
        <v>111</v>
      </c>
      <c r="F25" s="100"/>
      <c r="G25" s="101"/>
      <c r="H25" s="103" t="s">
        <v>125</v>
      </c>
      <c r="J25" s="104">
        <f>'Max waarden'!$B$13</f>
        <v>12.56</v>
      </c>
      <c r="K25" s="105" t="s">
        <v>197</v>
      </c>
      <c r="L25" s="228"/>
      <c r="R25" s="99"/>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row>
    <row r="26" spans="3:49" ht="15.6" customHeight="1" x14ac:dyDescent="0.3">
      <c r="C26" s="61"/>
      <c r="D26" s="230" t="s">
        <v>199</v>
      </c>
      <c r="E26" s="61"/>
      <c r="F26" s="61"/>
      <c r="G26" s="61"/>
      <c r="H26" s="61"/>
      <c r="I26" s="61"/>
      <c r="J26" s="66" t="str">
        <f>IF(G23&lt;&gt;J25,"Optelsom debiet klopt niet","   ")</f>
        <v xml:space="preserve">   </v>
      </c>
      <c r="K26" s="61"/>
      <c r="L26" s="61"/>
      <c r="M26" s="61"/>
      <c r="N26" s="61"/>
      <c r="O26" s="61"/>
      <c r="P26" s="61"/>
      <c r="Q26" s="61"/>
      <c r="R26" s="99"/>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row>
    <row r="27" spans="3:49" ht="16.5" x14ac:dyDescent="0.3">
      <c r="C27" s="61"/>
      <c r="D27" s="230"/>
      <c r="E27" s="282" t="s">
        <v>194</v>
      </c>
      <c r="F27" s="283"/>
      <c r="G27" s="283"/>
      <c r="H27" s="283"/>
      <c r="I27" s="274"/>
      <c r="J27" s="90"/>
      <c r="K27" s="90"/>
      <c r="L27" s="90"/>
      <c r="M27" s="90"/>
      <c r="N27" s="90"/>
      <c r="O27" s="91"/>
      <c r="P27" s="90"/>
      <c r="Q27" s="90"/>
      <c r="R27" s="99"/>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row>
    <row r="28" spans="3:49" ht="18.75" x14ac:dyDescent="0.25">
      <c r="C28" s="61"/>
      <c r="D28" s="230"/>
      <c r="E28" s="237"/>
      <c r="F28" s="237"/>
      <c r="G28" s="237"/>
      <c r="H28" s="237"/>
      <c r="I28" s="90"/>
      <c r="J28" s="90"/>
      <c r="K28" s="90"/>
      <c r="L28" s="90"/>
      <c r="M28" s="90"/>
      <c r="N28" s="90"/>
      <c r="O28" s="91"/>
      <c r="P28" s="90"/>
      <c r="Q28" s="90"/>
      <c r="R28" s="99"/>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row>
    <row r="29" spans="3:49" ht="18.75" x14ac:dyDescent="0.3">
      <c r="C29" s="218"/>
      <c r="D29" s="230"/>
      <c r="E29" s="89"/>
      <c r="F29" s="89"/>
      <c r="G29" s="92"/>
      <c r="H29" s="93"/>
      <c r="I29" s="90"/>
      <c r="J29" s="90"/>
      <c r="K29" s="90"/>
      <c r="L29" s="90"/>
      <c r="M29" s="90"/>
      <c r="N29" s="90"/>
      <c r="O29" s="90"/>
      <c r="P29" s="90"/>
      <c r="Q29" s="90"/>
      <c r="R29" s="99"/>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row>
    <row r="30" spans="3:49" ht="43.9" customHeight="1" x14ac:dyDescent="0.45">
      <c r="C30" s="61"/>
      <c r="E30" s="94"/>
      <c r="F30" s="89"/>
      <c r="G30" s="90"/>
      <c r="H30" s="90" t="s">
        <v>20</v>
      </c>
      <c r="I30" s="90"/>
      <c r="J30" s="90"/>
      <c r="K30" s="90"/>
      <c r="L30" s="90"/>
      <c r="M30" s="90"/>
      <c r="N30" s="90"/>
      <c r="O30" s="90"/>
      <c r="P30" s="90"/>
      <c r="Q30" s="90"/>
      <c r="R30" s="99"/>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row>
    <row r="31" spans="3:49" x14ac:dyDescent="0.25">
      <c r="C31" s="219"/>
      <c r="D31" s="61"/>
      <c r="E31" s="64"/>
      <c r="F31" s="64"/>
      <c r="G31" s="219"/>
      <c r="H31" s="61"/>
      <c r="I31" s="61"/>
      <c r="J31" s="61"/>
      <c r="K31" s="61"/>
      <c r="L31" s="61"/>
      <c r="M31" s="61"/>
      <c r="N31" s="61"/>
      <c r="O31" s="61"/>
      <c r="P31" s="61"/>
      <c r="Q31" s="61"/>
      <c r="R31" s="99"/>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row>
    <row r="32" spans="3:49" x14ac:dyDescent="0.25">
      <c r="C32" s="99"/>
      <c r="D32" s="214">
        <f>IF(H19="zonder stoffilter",IF(D33="opfok leghennen",IF(H12="warmtewisselaar 13%",0.2,IF(H12="warmtewisselaar 31%",0.43,IF(H12="warmtewisselaar 37%",0.55,IF(H12="warmtewisselaar 50%",0.78)))),IF(D33="leghennen",IF(H12="warmtewisselaar 13%",0.4,IF(H12="warmtewisselaar 31%",1,IF(H12="warmtewisselaar 37%",1.25,IF(H12="warmtewisselaar 50%",1.8)))),IF(E14="opfok vleeskuikenouderdieren",IF(H12="warmtewisselaar 13%",0.4,IF(H12="warmtewisselaar 31%",1,IF(H12="warmtewisselaar 37%",1.3,IF(H12="warmtewisselaar 50%",1.9)))),IF(D33="vleeskuikenouderdieren",IF(H12="warmtewisselaar 13%",0.6,IF(H12="warmtewisselaar 31%",1.5,IF(H12="warmtewisselaar 37%",1.85,IF(H12="warmtewisselaar 50%",2.9))))))+IF(E14="vleeskuikens",IF(H12="warmtewisselaar 13%",0.35,IF(H12="warmtewisselaar 31%",1,IF(H12="warmtewisselaar 37%",1.3,IF(H12="warmtewisselaar 50%",2,0)))))+IF(E14="vleeseenden",IF(H12="warmtewisselaar 13%",0.8,IF(H12="warmtewisselaar 31%",2.3,IF(H12="warmtewisselaar 37%",3.15,IF(H12="warmtewisselaar 50%",4.8)))))))+IF(E14="kalkoen hennen",IF(H12="warmtewisselaar 13%",1.1,IF(H12="warmtewisselaar 31%",3,IF(H12="warmtewisselaar 37%",3.85,IF(H12="warmtewisselaar 50%",5.6)))))+IF(E14="kalkoen hanen",IF(H12="warmtewisselaar 13%",2.5,IF(H12="warmtewisselaar 31%",6.2,IF(H12="warmtewisselaar 37%",8.2,IF(H12="warmtewisselaar 50%",11.7))))),0)+IF(H19="met stoffilter",IF(D33="opfok leghennen",IF(H12="warmtewisselaar 13%",0.15,IF(H12="warmtewisselaar 31%",0.35,IF(H12="warmtewisselaar 37%",0.4,IF(H12="warmtewisselaar 50%",0.6)))),IF(D33="leghennen",IF(H12="warmtewisselaar 13%",0.35,IF(H12="warmtewisselaar 31%",0.85,IF(H12="warmtewisselaar 37%",1,IF(H12="warmtewisselaar 50%",1.4)))),IF(E14="leghennen grondhuisvesting",IF(H12="warmtewisselaar 13%",0.35,IF(H12="warmtewisselaar 31%",0.85,IF(H12="warmtewisselaar 37%",1,IF(H12="warmtewisselaar 50%",1.4)))),IF(E14="opfok vleeskuikenouderdieren",IF(H12="warmtewisselaar 13%",0.35,IF(H12="warmtewisselaar 31%",0.85,IF(H12="warmtewisselaar 37%",1.1,IF(H12="warmtewisselaar 50%",1.45)))),IF(D33="vleeskuikenouderdieren",IF(H12="warmtewisselaar 13%",0.5,IF(H12="warmtewisselaar 31%",1.2,IF(H12="warmtewisselaar 37%",1.5,IF(H12="warmtewisselaar 50%",2.1))))))+IF(E14="vleeskuikens",IF(H12="warmtewisselaar 13%",0.3,IF(H12="warmtewisselaar 31%",0.75,IF(H12="warmtewisselaar 37%",1,IF(H12="warmtewisselaar 50%",1.45,0)))))+IF(E14="vleeseenden",IF(H12="warmtewisselaar 13%",0.7,IF(H12="warmtewisselaar 31%",1.9,IF(H12="warmtewisselaar 37%",2.3,IF(H12="warmtewisselaar 50%",3.6)))))))+IF(E14="kalkoen hennen",IF(H12="warmtewisselaar 13%",0.9,IF(H12="warmtewisselaar 31%",2.5,IF(H12="warmtewisselaar 37%",3,IF(H12="warmtewisselaar 50%",4.3)))))+IF(E14="kalkoen hanen",IF(H12="warmtewisselaar 13%",2.2,IF(H12="warmtewisselaar 31%",5.3,IF(H12="warmtewisselaar 37%",6.2,IF(H12="warmtewisselaar 50%",9)))))),0)</f>
        <v>0</v>
      </c>
      <c r="E32" s="99"/>
      <c r="F32" s="100"/>
      <c r="G32" s="99"/>
      <c r="H32" s="99"/>
      <c r="I32" s="99"/>
      <c r="J32" s="99"/>
      <c r="K32" s="99" t="s">
        <v>20</v>
      </c>
      <c r="L32" s="99"/>
      <c r="M32" s="99"/>
      <c r="N32" s="99"/>
      <c r="O32" s="99"/>
      <c r="P32" s="99"/>
      <c r="Q32" s="99"/>
      <c r="R32" s="99"/>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row>
    <row r="33" spans="3:49" x14ac:dyDescent="0.25">
      <c r="C33" s="99"/>
      <c r="D33" s="99">
        <f>IF(E14="OPFOK LEGHENNEN KOOI/KOLONIE","opfok leghennen",IF(E14="opfok leghennen grondhuisvesting","opfok leghennen",IF(E14="opfok leghennen voliere","opfok leghennen",IF(E14="leghennen verrijkte kooi/kolonie","leghennen",IF(E14="leghennen grondhuisvesting","leghennen",IF(E14="leghennen voliere","leghennen",IF(E14="vleeskuikenouderdieren groepskooi","vleeskuikenouderdieren",IF(E14="vleeskuikenouderdieren grondhuisvesting","vleeskuikenouderdieren",IF(E14="vleeskuikenouderdieren voliere","vleeskuikenouderdieren",0)))))))))</f>
        <v>0</v>
      </c>
      <c r="E33" s="99"/>
      <c r="F33" s="99"/>
      <c r="G33" s="99"/>
      <c r="H33" s="99"/>
      <c r="I33" s="99"/>
      <c r="J33" s="99"/>
      <c r="K33" s="99"/>
      <c r="L33" s="99"/>
      <c r="M33" s="99"/>
      <c r="N33" s="99"/>
      <c r="O33" s="99"/>
      <c r="P33" s="99"/>
      <c r="Q33" s="99"/>
      <c r="R33" s="9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row>
    <row r="34" spans="3:49" x14ac:dyDescent="0.25">
      <c r="C34" s="99"/>
      <c r="D34" s="99"/>
      <c r="E34" s="99"/>
      <c r="F34" s="99"/>
      <c r="G34" s="99"/>
      <c r="H34" s="99"/>
      <c r="I34" s="99"/>
      <c r="J34" s="99"/>
      <c r="K34" s="99"/>
      <c r="L34" s="99"/>
      <c r="M34" s="99"/>
      <c r="N34" s="99"/>
      <c r="O34" s="99"/>
      <c r="P34" s="99"/>
      <c r="Q34" s="99"/>
      <c r="R34" s="9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row>
    <row r="35" spans="3:49" x14ac:dyDescent="0.25">
      <c r="R35" s="9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row>
    <row r="36" spans="3:49" x14ac:dyDescent="0.25">
      <c r="R36" s="99"/>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row>
    <row r="37" spans="3:49" x14ac:dyDescent="0.25">
      <c r="R37" s="99"/>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row>
    <row r="38" spans="3:49" x14ac:dyDescent="0.25">
      <c r="R38" s="99"/>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row>
    <row r="39" spans="3:49" x14ac:dyDescent="0.25">
      <c r="R39" s="99"/>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row>
    <row r="40" spans="3:49" x14ac:dyDescent="0.25">
      <c r="R40" s="99"/>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row>
    <row r="41" spans="3:49" x14ac:dyDescent="0.25">
      <c r="R41" s="99"/>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row>
    <row r="42" spans="3:49" ht="18.75" x14ac:dyDescent="0.35">
      <c r="L42" s="85" t="s">
        <v>118</v>
      </c>
      <c r="R42" s="99"/>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row>
    <row r="43" spans="3:49" x14ac:dyDescent="0.25">
      <c r="R43" s="99"/>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row>
    <row r="44" spans="3:49" x14ac:dyDescent="0.25">
      <c r="R44" s="99"/>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row>
    <row r="45" spans="3:49" x14ac:dyDescent="0.25">
      <c r="R45" s="99"/>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row>
    <row r="46" spans="3:49" x14ac:dyDescent="0.25">
      <c r="R46" s="99"/>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row>
    <row r="47" spans="3:49" x14ac:dyDescent="0.25">
      <c r="R47" s="99"/>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row>
    <row r="48" spans="3:49" x14ac:dyDescent="0.25">
      <c r="R48" s="99"/>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row>
    <row r="49" spans="18:49" x14ac:dyDescent="0.25">
      <c r="R49" s="99"/>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row>
    <row r="50" spans="18:49" x14ac:dyDescent="0.25">
      <c r="R50" s="99"/>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row>
    <row r="51" spans="18:49" x14ac:dyDescent="0.25">
      <c r="R51" s="99"/>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row>
    <row r="52" spans="18:49" x14ac:dyDescent="0.25">
      <c r="R52" s="99"/>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row>
    <row r="53" spans="18:49" x14ac:dyDescent="0.25">
      <c r="R53" s="99"/>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row>
    <row r="54" spans="18:49" x14ac:dyDescent="0.25">
      <c r="R54" s="99"/>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row>
    <row r="55" spans="18:49" x14ac:dyDescent="0.25">
      <c r="R55" s="99"/>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row>
    <row r="56" spans="18:49" x14ac:dyDescent="0.25">
      <c r="R56" s="99"/>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row>
    <row r="57" spans="18:49" x14ac:dyDescent="0.25">
      <c r="R57" s="99"/>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row>
    <row r="58" spans="18:49" x14ac:dyDescent="0.25">
      <c r="R58" s="9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row>
    <row r="59" spans="18:49" x14ac:dyDescent="0.25">
      <c r="R59" s="9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row>
    <row r="60" spans="18:49" x14ac:dyDescent="0.25">
      <c r="R60" s="9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row>
    <row r="61" spans="18:49" x14ac:dyDescent="0.25">
      <c r="R61" s="9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row>
    <row r="62" spans="18:49" x14ac:dyDescent="0.25">
      <c r="R62" s="99"/>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row>
    <row r="63" spans="18:49" x14ac:dyDescent="0.25">
      <c r="R63" s="99"/>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row>
    <row r="64" spans="18:49" x14ac:dyDescent="0.25">
      <c r="R64" s="99"/>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row>
    <row r="65" spans="18:49" x14ac:dyDescent="0.25">
      <c r="R65" s="99"/>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row>
    <row r="66" spans="18:49" x14ac:dyDescent="0.25">
      <c r="R66" s="99"/>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row>
    <row r="67" spans="18:49" x14ac:dyDescent="0.25">
      <c r="R67" s="99"/>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row>
    <row r="68" spans="18:49" x14ac:dyDescent="0.25">
      <c r="R68" s="99"/>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row>
    <row r="69" spans="18:49" x14ac:dyDescent="0.25">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row>
  </sheetData>
  <sheetProtection algorithmName="SHA-512" hashValue="llGnNYfTsle+xl+NPuPZ4jYpmA4dU/MJev/ULa0q1i5RsGa4rrEvrrpoMx8fCXmZRgcnpnmZ206pJuCHqv69vQ==" saltValue="zAWO4r5hMmlWBdcw3622xA==" spinCount="100000" sheet="1" objects="1" scenarios="1"/>
  <mergeCells count="13">
    <mergeCell ref="E14:E16"/>
    <mergeCell ref="O19:O20"/>
    <mergeCell ref="E20:E21"/>
    <mergeCell ref="E27:I27"/>
    <mergeCell ref="L11:O13"/>
    <mergeCell ref="I19:K19"/>
    <mergeCell ref="I17:K18"/>
    <mergeCell ref="L9:N9"/>
    <mergeCell ref="I15:K16"/>
    <mergeCell ref="G16:H17"/>
    <mergeCell ref="M21:P21"/>
    <mergeCell ref="Q10:Q21"/>
    <mergeCell ref="M15:P16"/>
  </mergeCells>
  <dataValidations count="1">
    <dataValidation type="list" allowBlank="1" showInputMessage="1" showErrorMessage="1" errorTitle="Keuze onjuist" error="Vul dit in met ja of nee." sqref="E19">
      <formula1>$D$25:$D$25</formula1>
    </dataValidation>
  </dataValidations>
  <pageMargins left="0.7" right="0.7" top="0.75" bottom="0.75" header="0.3" footer="0.3"/>
  <pageSetup paperSize="9" scale="55" orientation="landscape" r:id="rId1"/>
  <rowBreaks count="1" manualBreakCount="1">
    <brk id="34" max="16383" man="1"/>
  </rowBreaks>
  <ignoredErrors>
    <ignoredError sqref="F20 F14 H12" unlockedFormula="1"/>
    <ignoredError sqref="Q2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77" r:id="rId4" name="Spinner 5">
              <controlPr defaultSize="0" autoPict="0">
                <anchor moveWithCells="1" sizeWithCells="1">
                  <from>
                    <xdr:col>6</xdr:col>
                    <xdr:colOff>76200</xdr:colOff>
                    <xdr:row>11</xdr:row>
                    <xdr:rowOff>47625</xdr:rowOff>
                  </from>
                  <to>
                    <xdr:col>6</xdr:col>
                    <xdr:colOff>361950</xdr:colOff>
                    <xdr:row>13</xdr:row>
                    <xdr:rowOff>19050</xdr:rowOff>
                  </to>
                </anchor>
              </controlPr>
            </control>
          </mc:Choice>
        </mc:AlternateContent>
        <mc:AlternateContent xmlns:mc="http://schemas.openxmlformats.org/markup-compatibility/2006">
          <mc:Choice Requires="x14">
            <control shapeId="3080" r:id="rId5" name="Spinner 8">
              <controlPr defaultSize="0" autoPict="0">
                <anchor moveWithCells="1" sizeWithCells="1">
                  <from>
                    <xdr:col>6</xdr:col>
                    <xdr:colOff>19050</xdr:colOff>
                    <xdr:row>17</xdr:row>
                    <xdr:rowOff>209550</xdr:rowOff>
                  </from>
                  <to>
                    <xdr:col>6</xdr:col>
                    <xdr:colOff>323850</xdr:colOff>
                    <xdr:row>19</xdr:row>
                    <xdr:rowOff>38100</xdr:rowOff>
                  </to>
                </anchor>
              </controlPr>
            </control>
          </mc:Choice>
        </mc:AlternateContent>
        <mc:AlternateContent xmlns:mc="http://schemas.openxmlformats.org/markup-compatibility/2006">
          <mc:Choice Requires="x14">
            <control shapeId="3093" r:id="rId6" name="Spinner 21">
              <controlPr defaultSize="0" autoPict="0">
                <anchor moveWithCells="1" sizeWithCells="1">
                  <from>
                    <xdr:col>15</xdr:col>
                    <xdr:colOff>2105025</xdr:colOff>
                    <xdr:row>6</xdr:row>
                    <xdr:rowOff>76200</xdr:rowOff>
                  </from>
                  <to>
                    <xdr:col>15</xdr:col>
                    <xdr:colOff>2362200</xdr:colOff>
                    <xdr:row>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errorTitle="Keuze onjuist" error="Vul dit in met ja of nee.">
          <x14:formula1>
            <xm:f>Reductietechnieken!$B$32:$B$41</xm:f>
          </x14:formula1>
          <xm:sqref>L20</xm:sqref>
        </x14:dataValidation>
        <x14:dataValidation type="list" allowBlank="1" showInputMessage="1" showErrorMessage="1" errorTitle="Keuze onjuist" error="Vul dit in met ja of nee.">
          <x14:formula1>
            <xm:f>Reductietechnieken!$B$52:$B$53</xm:f>
          </x14:formula1>
          <xm:sqref>H15</xm:sqref>
        </x14:dataValidation>
        <x14:dataValidation type="list" allowBlank="1" showInputMessage="1" showErrorMessage="1" errorTitle="Keuze onjuist" error="Vul dit in met ja of nee.">
          <x14:formula1>
            <xm:f>Reductietechnieken!$C$52:$C$53</xm:f>
          </x14:formula1>
          <xm:sqref>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6"/>
  <sheetViews>
    <sheetView zoomScale="80" zoomScaleNormal="80" workbookViewId="0">
      <pane xSplit="1" ySplit="8" topLeftCell="P9" activePane="bottomRight" state="frozen"/>
      <selection pane="topRight" activeCell="B1" sqref="B1"/>
      <selection pane="bottomLeft" activeCell="A9" sqref="A9"/>
      <selection pane="bottomRight" sqref="A1:AH1048576"/>
    </sheetView>
  </sheetViews>
  <sheetFormatPr defaultColWidth="10.7109375" defaultRowHeight="12.75" x14ac:dyDescent="0.2"/>
  <cols>
    <col min="1" max="2" width="10.5703125" style="1" hidden="1" customWidth="1"/>
    <col min="3" max="3" width="10.5703125" style="3" hidden="1" customWidth="1"/>
    <col min="4" max="22" width="10.5703125" style="1" hidden="1" customWidth="1"/>
    <col min="23" max="23" width="10.5703125" hidden="1" customWidth="1"/>
    <col min="24" max="34" width="10.5703125" style="1" hidden="1" customWidth="1"/>
    <col min="35" max="39" width="10.5703125" style="1" customWidth="1"/>
    <col min="40" max="16384" width="10.7109375" style="1"/>
  </cols>
  <sheetData>
    <row r="1" spans="1:32" s="9" customFormat="1" ht="73.150000000000006" customHeight="1" x14ac:dyDescent="0.2">
      <c r="A1" s="9" t="s">
        <v>132</v>
      </c>
      <c r="B1" s="9" t="s">
        <v>204</v>
      </c>
      <c r="C1" s="116" t="s">
        <v>133</v>
      </c>
      <c r="D1" s="9" t="s">
        <v>134</v>
      </c>
      <c r="E1" s="9" t="s">
        <v>135</v>
      </c>
      <c r="F1" s="9" t="s">
        <v>136</v>
      </c>
      <c r="G1" s="9" t="s">
        <v>137</v>
      </c>
      <c r="H1" s="9" t="s">
        <v>190</v>
      </c>
      <c r="I1" s="9" t="s">
        <v>191</v>
      </c>
      <c r="J1" s="9" t="s">
        <v>138</v>
      </c>
      <c r="K1" s="9" t="s">
        <v>139</v>
      </c>
      <c r="L1" s="9" t="s">
        <v>140</v>
      </c>
      <c r="M1" s="22" t="s">
        <v>179</v>
      </c>
      <c r="N1" s="117" t="s">
        <v>141</v>
      </c>
      <c r="O1" s="22" t="s">
        <v>180</v>
      </c>
      <c r="P1" s="22" t="s">
        <v>189</v>
      </c>
      <c r="Q1" s="173" t="s">
        <v>192</v>
      </c>
      <c r="R1" s="16" t="s">
        <v>182</v>
      </c>
      <c r="X1" s="118"/>
      <c r="Y1" s="118"/>
      <c r="Z1" s="118"/>
      <c r="AA1" s="118"/>
      <c r="AB1" s="289" t="s">
        <v>142</v>
      </c>
      <c r="AC1" s="289"/>
      <c r="AD1" s="289"/>
      <c r="AE1" s="289"/>
      <c r="AF1" s="289"/>
    </row>
    <row r="2" spans="1:32" s="9" customFormat="1" ht="16.899999999999999" customHeight="1" x14ac:dyDescent="0.2">
      <c r="C2" s="116"/>
      <c r="J2" s="1" t="s">
        <v>143</v>
      </c>
      <c r="M2" s="22"/>
      <c r="O2" s="22"/>
      <c r="P2" s="22"/>
      <c r="R2" s="119">
        <v>0</v>
      </c>
      <c r="S2" s="120" t="s">
        <v>144</v>
      </c>
      <c r="T2" s="120"/>
      <c r="X2" s="118"/>
      <c r="Y2" s="118"/>
      <c r="Z2" s="118"/>
      <c r="AA2" s="118"/>
      <c r="AB2" s="121"/>
      <c r="AC2" s="121"/>
      <c r="AD2" s="121"/>
      <c r="AE2" s="121"/>
      <c r="AF2" s="121"/>
    </row>
    <row r="3" spans="1:32" s="9" customFormat="1" ht="17.45" customHeight="1" x14ac:dyDescent="0.2">
      <c r="C3" s="116"/>
      <c r="J3" s="1">
        <f>+J4</f>
        <v>0</v>
      </c>
      <c r="M3" s="22"/>
      <c r="O3" s="22"/>
      <c r="P3" s="22"/>
      <c r="R3" s="119">
        <v>0.8</v>
      </c>
      <c r="S3" s="120" t="s">
        <v>176</v>
      </c>
      <c r="T3" s="120"/>
    </row>
    <row r="4" spans="1:32" s="9" customFormat="1" ht="17.45" customHeight="1" x14ac:dyDescent="0.2">
      <c r="C4" s="116"/>
      <c r="M4" s="22"/>
      <c r="O4" s="22"/>
      <c r="P4" s="22"/>
      <c r="R4" s="166">
        <f>IF(VLEESEENDEN!$H$16=0,VLEESEENDEN!F14,VLEESEENDEN!$H$16)</f>
        <v>0</v>
      </c>
      <c r="S4" s="120" t="s">
        <v>145</v>
      </c>
      <c r="T4" s="120"/>
      <c r="AC4" s="290" t="s">
        <v>146</v>
      </c>
      <c r="AD4" s="290"/>
      <c r="AE4" s="291" t="s">
        <v>147</v>
      </c>
      <c r="AF4" s="291"/>
    </row>
    <row r="5" spans="1:32" s="9" customFormat="1" ht="17.45" customHeight="1" x14ac:dyDescent="0.2">
      <c r="C5" s="116"/>
      <c r="M5" s="22"/>
      <c r="O5" s="22"/>
      <c r="P5" s="22"/>
      <c r="R5" s="166">
        <f>VLEESEENDEN!$F$20</f>
        <v>0</v>
      </c>
      <c r="S5" s="120" t="s">
        <v>188</v>
      </c>
      <c r="T5" s="120"/>
      <c r="Y5" s="123"/>
      <c r="Z5" s="123"/>
      <c r="AB5" t="s">
        <v>148</v>
      </c>
      <c r="AC5" s="124" t="s">
        <v>149</v>
      </c>
      <c r="AD5" s="125" t="s">
        <v>150</v>
      </c>
      <c r="AE5" s="124" t="s">
        <v>149</v>
      </c>
      <c r="AF5" s="125" t="s">
        <v>150</v>
      </c>
    </row>
    <row r="6" spans="1:32" s="40" customFormat="1" x14ac:dyDescent="0.2">
      <c r="A6" s="9"/>
      <c r="B6" s="9"/>
      <c r="C6" s="116"/>
      <c r="D6" s="9"/>
      <c r="E6" s="9"/>
      <c r="F6" s="9"/>
      <c r="G6" s="9"/>
      <c r="H6" s="9"/>
      <c r="I6" s="9"/>
      <c r="J6" s="9"/>
      <c r="K6" s="9"/>
      <c r="L6" s="9"/>
      <c r="M6" s="22"/>
      <c r="N6" s="9"/>
      <c r="O6" s="22"/>
      <c r="P6" s="207"/>
      <c r="Q6" s="9"/>
      <c r="R6" s="122">
        <f>IF(VLEESEENDEN!$L$20="chemische wasser 35%",35%,IF(VLEESEENDEN!$L$20="chemische wasser 70%",70%,IF(VLEESEENDEN!$L$20="bio wasser 60%",60%,IF(VLEESEENDEN!$L$20="bio wasser 75%",75%,IF(VLEESEENDEN!$L$20="biofilter",80%,IF(VLEESEENDEN!$L$20="waterluchtwassysteem",33%,IF(VLEESEENDEN!$L$20="droogfilterwand",40%,IF(VLEESEENDEN!$L$20="ionisatiefilter",57%,IF(VLEESEENDEN!$L$20="LUCHTCONDITIONERINGSUNIT",IF(VLEESEENDEN!$F$24="Niet alle lucht gaat door luchtconditioneringsunit, dus niet combineren met droog stoffilter","error",80%),0)))))))))</f>
        <v>0</v>
      </c>
      <c r="S6" s="120" t="s">
        <v>178</v>
      </c>
      <c r="T6" s="120"/>
      <c r="W6" s="40" t="s">
        <v>20</v>
      </c>
      <c r="X6" s="9"/>
      <c r="AB6"/>
      <c r="AC6" s="126"/>
      <c r="AD6" s="127"/>
      <c r="AE6" s="126"/>
      <c r="AF6" s="127"/>
    </row>
    <row r="7" spans="1:32" x14ac:dyDescent="0.2">
      <c r="A7" s="9"/>
      <c r="B7" s="9"/>
      <c r="C7" s="116"/>
      <c r="D7" s="9"/>
      <c r="E7" s="9"/>
      <c r="F7" s="9"/>
      <c r="G7" s="9"/>
      <c r="H7" s="9"/>
      <c r="I7" s="9"/>
      <c r="J7" s="9"/>
      <c r="K7" s="9"/>
      <c r="L7" s="9"/>
      <c r="M7" s="22"/>
      <c r="N7" s="9"/>
      <c r="O7" s="22"/>
      <c r="P7" s="210">
        <f>Q8+P8</f>
        <v>0</v>
      </c>
      <c r="Q7" s="9"/>
      <c r="R7" s="209">
        <f>VLEESEENDEN!$F$14</f>
        <v>0</v>
      </c>
      <c r="S7" s="120" t="s">
        <v>193</v>
      </c>
      <c r="T7" s="120"/>
      <c r="V7" s="168"/>
      <c r="W7" s="42"/>
      <c r="X7" s="9"/>
      <c r="AA7" s="9" t="s">
        <v>151</v>
      </c>
      <c r="AB7" s="128" t="s">
        <v>152</v>
      </c>
      <c r="AC7" s="129"/>
      <c r="AD7" s="130"/>
      <c r="AE7" s="129"/>
      <c r="AF7" s="130"/>
    </row>
    <row r="8" spans="1:32" x14ac:dyDescent="0.2">
      <c r="A8" s="9"/>
      <c r="B8" s="9"/>
      <c r="C8" s="116"/>
      <c r="D8" s="9"/>
      <c r="E8" s="9"/>
      <c r="F8" s="9"/>
      <c r="G8" s="9"/>
      <c r="H8" s="9"/>
      <c r="I8" s="9"/>
      <c r="J8" s="9"/>
      <c r="K8" s="9"/>
      <c r="L8" s="174">
        <f>$L$64+1</f>
        <v>1</v>
      </c>
      <c r="M8" s="195">
        <f>MIN(95%,$M$64)</f>
        <v>0</v>
      </c>
      <c r="N8" s="122">
        <f>$N$64</f>
        <v>0</v>
      </c>
      <c r="O8" s="195">
        <f>ROUND(IF(O64&lt;22%,O64/90%,IF(O64&lt;34.5%,$O$64/94.3%,IF(O64&lt;45%,$O$64/98.4%,O64))),2)</f>
        <v>0</v>
      </c>
      <c r="P8" s="195">
        <f>MIN(95%,$P$64)</f>
        <v>0</v>
      </c>
      <c r="Q8" s="174">
        <f>MAX(IF(Q64&lt;22%,Q64/94%,IF(Q64&lt;35%,$Q$64/94.5%,IF(Q64&lt;40%,$Q$64/96%,IF(Q64&lt;60%,$Q$64/98%,Q64)))),Q64)</f>
        <v>0</v>
      </c>
      <c r="R8" s="174">
        <f>ROUND($R$64,3)</f>
        <v>0</v>
      </c>
      <c r="S8" s="174">
        <f>ROUND($S$64,3)</f>
        <v>0</v>
      </c>
      <c r="T8" s="174">
        <f>ROUND($T$64,3)</f>
        <v>0</v>
      </c>
      <c r="U8" s="199">
        <f>$U$64</f>
        <v>0</v>
      </c>
      <c r="V8" s="174">
        <f>$V$64</f>
        <v>0</v>
      </c>
      <c r="W8" s="174">
        <f>$W$64</f>
        <v>0</v>
      </c>
      <c r="X8" s="131" t="s">
        <v>153</v>
      </c>
      <c r="AB8" s="132" t="s">
        <v>154</v>
      </c>
      <c r="AC8" s="133">
        <v>13</v>
      </c>
      <c r="AD8" s="134">
        <v>19</v>
      </c>
      <c r="AE8" s="133">
        <v>13</v>
      </c>
      <c r="AF8" s="134">
        <v>19</v>
      </c>
    </row>
    <row r="9" spans="1:32" ht="57" customHeight="1" x14ac:dyDescent="0.2">
      <c r="A9" s="40">
        <v>0</v>
      </c>
      <c r="B9" s="40"/>
      <c r="C9" s="114"/>
      <c r="D9" s="40"/>
      <c r="E9" s="40"/>
      <c r="F9" s="40"/>
      <c r="G9" s="40"/>
      <c r="H9" s="40"/>
      <c r="I9" s="40"/>
      <c r="J9" s="40"/>
      <c r="K9" s="135">
        <v>1</v>
      </c>
      <c r="L9" s="40"/>
      <c r="M9" s="196"/>
      <c r="N9" s="40"/>
      <c r="O9" s="196" t="s">
        <v>20</v>
      </c>
      <c r="P9" s="208">
        <f>O8+P8</f>
        <v>0</v>
      </c>
      <c r="Q9" s="40" t="s">
        <v>20</v>
      </c>
      <c r="R9" s="175" t="s">
        <v>187</v>
      </c>
      <c r="S9" s="170" t="s">
        <v>181</v>
      </c>
      <c r="T9" s="170" t="s">
        <v>183</v>
      </c>
      <c r="U9" s="177" t="s">
        <v>195</v>
      </c>
      <c r="V9" s="171" t="s">
        <v>177</v>
      </c>
      <c r="W9" s="193" t="s">
        <v>185</v>
      </c>
      <c r="X9" s="40"/>
      <c r="AB9" s="136" t="s">
        <v>155</v>
      </c>
      <c r="AC9" s="133">
        <v>3</v>
      </c>
      <c r="AD9" s="134">
        <v>3</v>
      </c>
      <c r="AE9" s="133">
        <v>3</v>
      </c>
      <c r="AF9" s="134">
        <v>3</v>
      </c>
    </row>
    <row r="10" spans="1:32" x14ac:dyDescent="0.2">
      <c r="A10" s="1">
        <v>1</v>
      </c>
      <c r="B10" s="1">
        <v>75</v>
      </c>
      <c r="E10" s="4">
        <f>0.000000000384*B10^3-0.000000342064*B10^2+0.001060852819*B10+0.088327034395</f>
        <v>0.16612888582000002</v>
      </c>
      <c r="F10" s="4">
        <f>E10-G10</f>
        <v>0.16612888582000002</v>
      </c>
      <c r="G10" s="185">
        <f t="shared" ref="G10:G35" si="0">IF($R$4&gt;0&lt;E10,E10,IF($R$4&gt;E10,E10,$R$4))</f>
        <v>0</v>
      </c>
      <c r="H10" s="185">
        <f t="shared" ref="H10:H34" si="1">IF(E10&lt;$R$5,E10-G10,$R$5)</f>
        <v>0</v>
      </c>
      <c r="I10" s="185">
        <f t="shared" ref="I10:I41" si="2">MIN(R$5,E10-G10)</f>
        <v>0</v>
      </c>
      <c r="J10" s="3">
        <v>0.33639999999999998</v>
      </c>
      <c r="K10" s="135">
        <v>1</v>
      </c>
      <c r="L10" s="3">
        <f>J10/1000*E10*24*365</f>
        <v>0.48955923298306853</v>
      </c>
      <c r="M10" s="197">
        <f>IF(E10&gt;$R$5,L10-(R$5)/E10*L10*97%,L10-(E10)/E10*L10*97%)</f>
        <v>0.48955923298306853</v>
      </c>
      <c r="N10" s="137">
        <f t="shared" ref="N10:N37" si="3">(((($J10*(1-$R$2))-$J$3)/1000*$F10*24*365*$K10)*(1-R$5))+(((($J10*(1-$R$2))-$J$3)/1000*$G10*24*365*$K10)*(1-R$3))</f>
        <v>0.48955923298306853</v>
      </c>
      <c r="O10" s="197">
        <f>(((($J10)-$J$3)/1000*$F10*24*365*$K10))+(((($J10)-$J$3)/1000*$G10*24*365*$K10)*(1-R$3))</f>
        <v>0.48955923298306853</v>
      </c>
      <c r="P10" s="197">
        <f t="shared" ref="P10:P57" si="4">IF(I10=0,L10,IF(I10&gt;$R$5,L10-(R$5)/E10*L10*97%,L10-(I10)/E10*L10*97%))</f>
        <v>0.48955923298306853</v>
      </c>
      <c r="Q10" s="3">
        <f>(((($J10)-$J$3)/1000*$F10*24*365*$K10))+(((($J10)-$J$3)/1000*$G10*24*365*$K10)*(1-95%))</f>
        <v>0.48955923298306853</v>
      </c>
      <c r="R10" s="183">
        <f>IF(E10-G10-H10&gt;=0,L10-((E10-G10*80%-H10*95%)/E10*L10)*$R$6,IF(G10&gt;H10,L10-((E10-G10)/E10*L10)*$R$6,L10-((E10-H10)/E10*L10)*$R$6))</f>
        <v>0.48955923298306853</v>
      </c>
      <c r="S10" s="183">
        <f>IF(E10-G10-H10&gt;=0,L10-((E10-G10-H10)/E10*L10)*$R$6,IF(G10&gt;H10,L10-((E10-G10)/E10*L10)*$R$6,L10-((E10-H10)/E10*L10)*$R$6))</f>
        <v>0.48955923298306853</v>
      </c>
      <c r="T10" s="183">
        <f>L10-(E10-H10)/E10*L10*$R$6</f>
        <v>0.48955923298306853</v>
      </c>
      <c r="U10" s="178">
        <f>IF(VLEESEENDEN!$H$15="ja",L10-((E10-G10*95%-I10)/E10*L10)*$R$6,L10-((E10-G10*80%-I10)/E10*L10)*$R$6)</f>
        <v>0.48955923298306853</v>
      </c>
      <c r="V10" s="115">
        <f t="shared" ref="V10:V33" si="5">L10-((E10-G10-I10)/E10*L10)*$R$6</f>
        <v>0.48955923298306853</v>
      </c>
      <c r="W10" s="194">
        <f>L10-(E10-H10)/E10*L10*$R$6</f>
        <v>0.48955923298306853</v>
      </c>
      <c r="X10" s="223">
        <f>M10/L10</f>
        <v>1</v>
      </c>
      <c r="AB10" s="136" t="s">
        <v>156</v>
      </c>
      <c r="AC10" s="133">
        <f t="shared" ref="AC10:AD10" si="6">AC11-AC8-AC9</f>
        <v>3</v>
      </c>
      <c r="AD10" s="134">
        <f t="shared" si="6"/>
        <v>11</v>
      </c>
      <c r="AE10" s="133">
        <f>AE11-AE8-AE9</f>
        <v>3</v>
      </c>
      <c r="AF10" s="134">
        <f t="shared" ref="AF10" si="7">AF11-AF8-AF9</f>
        <v>11</v>
      </c>
    </row>
    <row r="11" spans="1:32" x14ac:dyDescent="0.2">
      <c r="A11" s="1">
        <v>2</v>
      </c>
      <c r="B11" s="1">
        <v>100</v>
      </c>
      <c r="E11" s="4">
        <f t="shared" ref="E11:E58" si="8">0.000000000384*B11^3-0.000000342064*B11^2+0.001060852819*B11+0.088327034395</f>
        <v>0.19137567629499999</v>
      </c>
      <c r="F11" s="4">
        <f t="shared" ref="F11:F51" si="9">E11-G11</f>
        <v>0.19137567629499999</v>
      </c>
      <c r="G11" s="185">
        <f t="shared" si="0"/>
        <v>0</v>
      </c>
      <c r="H11" s="185">
        <f t="shared" si="1"/>
        <v>0</v>
      </c>
      <c r="I11" s="185">
        <f t="shared" si="2"/>
        <v>0</v>
      </c>
      <c r="J11" s="3">
        <v>0.48144723946899115</v>
      </c>
      <c r="K11" s="135">
        <v>1</v>
      </c>
      <c r="L11" s="3">
        <f t="shared" ref="L11:L58" si="10">J11/1000*E11*24*365</f>
        <v>0.80712266963075363</v>
      </c>
      <c r="M11" s="197">
        <f t="shared" ref="M11:M58" si="11">IF(E11&gt;$R$5,L11-(R$5)/E11*L11*97%,L11-(E11)/E11*L11*97%)</f>
        <v>0.80712266963075363</v>
      </c>
      <c r="N11" s="137">
        <f t="shared" si="3"/>
        <v>0.80712266963075363</v>
      </c>
      <c r="O11" s="197">
        <f t="shared" ref="O11:O51" si="12">(((($J11)-$J$3)/1000*$F11*24*365*$K11))+(((($J11*(1-$R$2))-$J$3)/1000*$G11*24*365*$K11)*(1-R$3))</f>
        <v>0.80712266963075363</v>
      </c>
      <c r="P11" s="197">
        <f t="shared" si="4"/>
        <v>0.80712266963075363</v>
      </c>
      <c r="Q11" s="3">
        <f t="shared" ref="Q11:Q58" si="13">(((($J11)-$J$3)/1000*$F11*24*365*$K11))+(((($J11)-$J$3)/1000*$G11*24*365*$K11)*(1-95%))</f>
        <v>0.80712266963075363</v>
      </c>
      <c r="R11" s="183">
        <f t="shared" ref="R11:R50" si="14">IF(E11-G11-H11&gt;=0,L11-((E11-G11*80%-H11*95%)/E11*L11)*$R$6,IF(G11&gt;H11,L11-((E11-G11)/E11*L11)*$R$6,L11-((E11-H11)/E11*L11)*$R$6))</f>
        <v>0.80712266963075363</v>
      </c>
      <c r="S11" s="183">
        <f t="shared" ref="S11:S51" si="15">IF(E11-G11-H11&gt;=0,L11-((E11-G11-H11)/E11*L11)*$R$6,IF(G11&gt;H11,L11-((E11-G11)/E11*L11)*$R$6,L11-((E11-H11)/E11*L11)*$R$6))</f>
        <v>0.80712266963075363</v>
      </c>
      <c r="T11" s="183">
        <f t="shared" ref="T11:T51" si="16">L11-(E11-H11)/E11*L11*$R$6</f>
        <v>0.80712266963075363</v>
      </c>
      <c r="U11" s="178">
        <f>IF(VLEESEENDEN!$H$15="ja",L11-((E11-G11*95%-I11)/E11*L11)*$R$6,L11-((E11-G11*80%-I11)/E11*L11)*$R$6)</f>
        <v>0.80712266963075363</v>
      </c>
      <c r="V11" s="115">
        <f t="shared" si="5"/>
        <v>0.80712266963075363</v>
      </c>
      <c r="W11" s="194">
        <f t="shared" ref="W11:W51" si="17">L11-(E11-H11)/E11*L11*$R$6</f>
        <v>0.80712266963075363</v>
      </c>
      <c r="X11" s="223">
        <f t="shared" ref="X11:X51" si="18">M11/L11</f>
        <v>1</v>
      </c>
      <c r="AB11" s="136" t="s">
        <v>157</v>
      </c>
      <c r="AC11" s="126">
        <v>19</v>
      </c>
      <c r="AD11" s="127">
        <v>33</v>
      </c>
      <c r="AE11" s="126">
        <v>19</v>
      </c>
      <c r="AF11" s="127">
        <v>33</v>
      </c>
    </row>
    <row r="12" spans="1:32" x14ac:dyDescent="0.2">
      <c r="A12" s="1">
        <v>3</v>
      </c>
      <c r="B12" s="1">
        <v>125</v>
      </c>
      <c r="E12" s="4">
        <f t="shared" si="8"/>
        <v>0.21633888676999999</v>
      </c>
      <c r="F12" s="4">
        <f t="shared" si="9"/>
        <v>0.21633888676999999</v>
      </c>
      <c r="G12" s="185">
        <f t="shared" si="0"/>
        <v>0</v>
      </c>
      <c r="H12" s="185">
        <f t="shared" si="1"/>
        <v>0</v>
      </c>
      <c r="I12" s="185">
        <f t="shared" si="2"/>
        <v>0</v>
      </c>
      <c r="J12" s="3">
        <v>0.59377662936378461</v>
      </c>
      <c r="K12" s="135">
        <v>1</v>
      </c>
      <c r="L12" s="3">
        <f t="shared" si="10"/>
        <v>1.1252831008826514</v>
      </c>
      <c r="M12" s="197">
        <f t="shared" si="11"/>
        <v>1.1252831008826514</v>
      </c>
      <c r="N12" s="137">
        <f t="shared" si="3"/>
        <v>1.1252831008826514</v>
      </c>
      <c r="O12" s="197">
        <f t="shared" si="12"/>
        <v>1.1252831008826514</v>
      </c>
      <c r="P12" s="197">
        <f t="shared" si="4"/>
        <v>1.1252831008826514</v>
      </c>
      <c r="Q12" s="3">
        <f t="shared" si="13"/>
        <v>1.1252831008826514</v>
      </c>
      <c r="R12" s="183">
        <f t="shared" si="14"/>
        <v>1.1252831008826514</v>
      </c>
      <c r="S12" s="183">
        <f t="shared" si="15"/>
        <v>1.1252831008826514</v>
      </c>
      <c r="T12" s="183">
        <f t="shared" si="16"/>
        <v>1.1252831008826514</v>
      </c>
      <c r="U12" s="178">
        <f>IF(VLEESEENDEN!$H$15="ja",L12-((E12-G12*95%-I12)/E12*L12)*$R$6,L12-((E12-G12*80%-I12)/E12*L12)*$R$6)</f>
        <v>1.1252831008826514</v>
      </c>
      <c r="V12" s="115">
        <f t="shared" si="5"/>
        <v>1.1252831008826514</v>
      </c>
      <c r="W12" s="194">
        <f t="shared" si="17"/>
        <v>1.1252831008826514</v>
      </c>
      <c r="X12" s="223">
        <f t="shared" si="18"/>
        <v>1</v>
      </c>
      <c r="AB12" s="136" t="s">
        <v>158</v>
      </c>
      <c r="AC12" s="139">
        <f t="shared" ref="AC12:AD12" si="19">365/AC11</f>
        <v>19.210526315789473</v>
      </c>
      <c r="AD12" s="140">
        <f t="shared" si="19"/>
        <v>11.060606060606061</v>
      </c>
      <c r="AE12" s="139">
        <f>365/AE11</f>
        <v>19.210526315789473</v>
      </c>
      <c r="AF12" s="140">
        <f t="shared" ref="AF12" si="20">365/AF11</f>
        <v>11.060606060606061</v>
      </c>
    </row>
    <row r="13" spans="1:32" x14ac:dyDescent="0.2">
      <c r="A13" s="1">
        <v>4</v>
      </c>
      <c r="B13" s="1">
        <v>150</v>
      </c>
      <c r="E13" s="4">
        <f t="shared" si="8"/>
        <v>0.24105451724499999</v>
      </c>
      <c r="F13" s="4">
        <f t="shared" si="9"/>
        <v>0.24105451724499999</v>
      </c>
      <c r="G13" s="185">
        <f t="shared" si="0"/>
        <v>0</v>
      </c>
      <c r="H13" s="185">
        <f t="shared" si="1"/>
        <v>0</v>
      </c>
      <c r="I13" s="185">
        <f t="shared" si="2"/>
        <v>0</v>
      </c>
      <c r="J13" s="3">
        <v>0.68903520925181982</v>
      </c>
      <c r="K13" s="135">
        <v>1</v>
      </c>
      <c r="L13" s="3">
        <f t="shared" si="10"/>
        <v>1.4549926356436036</v>
      </c>
      <c r="M13" s="197">
        <f t="shared" si="11"/>
        <v>1.4549926356436036</v>
      </c>
      <c r="N13" s="137">
        <f t="shared" si="3"/>
        <v>1.4549926356436036</v>
      </c>
      <c r="O13" s="197">
        <f t="shared" si="12"/>
        <v>1.4549926356436036</v>
      </c>
      <c r="P13" s="197">
        <f t="shared" si="4"/>
        <v>1.4549926356436036</v>
      </c>
      <c r="Q13" s="3">
        <f t="shared" si="13"/>
        <v>1.4549926356436036</v>
      </c>
      <c r="R13" s="183">
        <f t="shared" si="14"/>
        <v>1.4549926356436036</v>
      </c>
      <c r="S13" s="183">
        <f t="shared" si="15"/>
        <v>1.4549926356436036</v>
      </c>
      <c r="T13" s="183">
        <f t="shared" si="16"/>
        <v>1.4549926356436036</v>
      </c>
      <c r="U13" s="178">
        <f>IF(VLEESEENDEN!$H$15="ja",L13-((E13-G13*95%-I13)/E13*L13)*$R$6,L13-((E13-G13*80%-I13)/E13*L13)*$R$6)</f>
        <v>1.4549926356436036</v>
      </c>
      <c r="V13" s="115">
        <f t="shared" si="5"/>
        <v>1.4549926356436036</v>
      </c>
      <c r="W13" s="194">
        <f t="shared" si="17"/>
        <v>1.4549926356436036</v>
      </c>
      <c r="X13" s="223">
        <f t="shared" si="18"/>
        <v>1</v>
      </c>
      <c r="AB13" s="132" t="s">
        <v>159</v>
      </c>
      <c r="AC13" s="139">
        <f>AVERAGE(L10:L22)/$AA$23</f>
        <v>0.41723657641321371</v>
      </c>
      <c r="AD13" s="140">
        <f>AVERAGE(L10:L28)/$AA$23</f>
        <v>0.76637991648555948</v>
      </c>
      <c r="AE13" s="139">
        <f>AVERAGE(N10:N22)/$AA$23</f>
        <v>0.41723657641321371</v>
      </c>
      <c r="AF13" s="140">
        <f>AVERAGE(N10:N28)/$AA$23</f>
        <v>0.76637991648555948</v>
      </c>
    </row>
    <row r="14" spans="1:32" x14ac:dyDescent="0.2">
      <c r="A14" s="1">
        <v>5</v>
      </c>
      <c r="B14" s="1">
        <v>175</v>
      </c>
      <c r="E14" s="4">
        <f t="shared" si="8"/>
        <v>0.26555856771999997</v>
      </c>
      <c r="F14" s="4">
        <f t="shared" si="9"/>
        <v>0.26555856771999997</v>
      </c>
      <c r="G14" s="185">
        <f t="shared" si="0"/>
        <v>0</v>
      </c>
      <c r="H14" s="185">
        <f t="shared" si="1"/>
        <v>0</v>
      </c>
      <c r="I14" s="185">
        <f t="shared" si="2"/>
        <v>0</v>
      </c>
      <c r="J14" s="3">
        <v>0.77332717794733563</v>
      </c>
      <c r="K14" s="135">
        <v>1</v>
      </c>
      <c r="L14" s="3">
        <f t="shared" si="10"/>
        <v>1.7989856419306816</v>
      </c>
      <c r="M14" s="197">
        <f t="shared" si="11"/>
        <v>1.7989856419306816</v>
      </c>
      <c r="N14" s="137">
        <f t="shared" si="3"/>
        <v>1.7989856419306816</v>
      </c>
      <c r="O14" s="197">
        <f t="shared" si="12"/>
        <v>1.7989856419306816</v>
      </c>
      <c r="P14" s="197">
        <f t="shared" si="4"/>
        <v>1.7989856419306816</v>
      </c>
      <c r="Q14" s="3">
        <f t="shared" si="13"/>
        <v>1.7989856419306816</v>
      </c>
      <c r="R14" s="183">
        <f t="shared" si="14"/>
        <v>1.7989856419306816</v>
      </c>
      <c r="S14" s="183">
        <f t="shared" si="15"/>
        <v>1.7989856419306816</v>
      </c>
      <c r="T14" s="183">
        <f t="shared" si="16"/>
        <v>1.7989856419306816</v>
      </c>
      <c r="U14" s="178">
        <f>IF(VLEESEENDEN!$H$15="ja",L14-((E14-G14*95%-I14)/E14*L14)*$R$6,L14-((E14-G14*80%-I14)/E14*L14)*$R$6)</f>
        <v>1.7989856419306816</v>
      </c>
      <c r="V14" s="115">
        <f t="shared" si="5"/>
        <v>1.7989856419306816</v>
      </c>
      <c r="W14" s="194">
        <f t="shared" si="17"/>
        <v>1.7989856419306816</v>
      </c>
      <c r="X14" s="223">
        <f t="shared" si="18"/>
        <v>1</v>
      </c>
      <c r="AB14" s="141" t="s">
        <v>160</v>
      </c>
      <c r="AC14" s="142">
        <f>AC13*AC12</f>
        <v>8.015334231095947</v>
      </c>
      <c r="AD14" s="143">
        <f>AD13*AD12</f>
        <v>8.4766263490069456</v>
      </c>
      <c r="AE14" s="142">
        <f>AE13*AE12</f>
        <v>8.015334231095947</v>
      </c>
      <c r="AF14" s="143">
        <f>AF13*AF12</f>
        <v>8.4766263490069456</v>
      </c>
    </row>
    <row r="15" spans="1:32" x14ac:dyDescent="0.2">
      <c r="A15" s="1">
        <v>6</v>
      </c>
      <c r="B15" s="1">
        <v>200</v>
      </c>
      <c r="E15" s="4">
        <f t="shared" si="8"/>
        <v>0.289887038195</v>
      </c>
      <c r="F15" s="4">
        <f t="shared" si="9"/>
        <v>0.289887038195</v>
      </c>
      <c r="G15" s="185">
        <f t="shared" si="0"/>
        <v>0</v>
      </c>
      <c r="H15" s="185">
        <f t="shared" si="1"/>
        <v>0</v>
      </c>
      <c r="I15" s="185">
        <f t="shared" si="2"/>
        <v>0</v>
      </c>
      <c r="J15" s="3">
        <v>0.84979821363970398</v>
      </c>
      <c r="K15" s="135">
        <v>1</v>
      </c>
      <c r="L15" s="3">
        <f t="shared" si="10"/>
        <v>2.1579864680070409</v>
      </c>
      <c r="M15" s="197">
        <f t="shared" si="11"/>
        <v>2.1579864680070409</v>
      </c>
      <c r="N15" s="137">
        <f t="shared" si="3"/>
        <v>2.1579864680070409</v>
      </c>
      <c r="O15" s="197">
        <f t="shared" si="12"/>
        <v>2.1579864680070409</v>
      </c>
      <c r="P15" s="197">
        <f t="shared" si="4"/>
        <v>2.1579864680070409</v>
      </c>
      <c r="Q15" s="3">
        <f t="shared" si="13"/>
        <v>2.1579864680070409</v>
      </c>
      <c r="R15" s="183">
        <f t="shared" si="14"/>
        <v>2.1579864680070409</v>
      </c>
      <c r="S15" s="183">
        <f t="shared" si="15"/>
        <v>2.1579864680070409</v>
      </c>
      <c r="T15" s="183">
        <f t="shared" si="16"/>
        <v>2.1579864680070409</v>
      </c>
      <c r="U15" s="178">
        <f>IF(VLEESEENDEN!$H$15="ja",L15-((E15-G15*95%-I15)/E15*L15)*$R$6,L15-((E15-G15*80%-I15)/E15*L15)*$R$6)</f>
        <v>2.1579864680070409</v>
      </c>
      <c r="V15" s="115">
        <f t="shared" si="5"/>
        <v>2.1579864680070409</v>
      </c>
      <c r="W15" s="194">
        <f t="shared" si="17"/>
        <v>2.1579864680070409</v>
      </c>
      <c r="X15" s="223">
        <f t="shared" si="18"/>
        <v>1</v>
      </c>
      <c r="AB15" s="128" t="s">
        <v>161</v>
      </c>
      <c r="AC15" s="144"/>
      <c r="AD15" s="145"/>
      <c r="AE15" s="144"/>
      <c r="AF15" s="145"/>
    </row>
    <row r="16" spans="1:32" x14ac:dyDescent="0.2">
      <c r="A16" s="1">
        <v>7</v>
      </c>
      <c r="B16" s="1">
        <v>225</v>
      </c>
      <c r="E16" s="4">
        <f t="shared" si="8"/>
        <v>0.31407592867</v>
      </c>
      <c r="F16" s="4">
        <f t="shared" si="9"/>
        <v>0.31407592867</v>
      </c>
      <c r="G16" s="185">
        <f t="shared" si="0"/>
        <v>0</v>
      </c>
      <c r="H16" s="185">
        <f t="shared" si="1"/>
        <v>0</v>
      </c>
      <c r="I16" s="185">
        <f t="shared" si="2"/>
        <v>0</v>
      </c>
      <c r="J16" s="3">
        <v>0.92032388517371078</v>
      </c>
      <c r="K16" s="135">
        <v>1</v>
      </c>
      <c r="L16" s="3">
        <f t="shared" si="10"/>
        <v>2.5320918312788931</v>
      </c>
      <c r="M16" s="197">
        <f t="shared" si="11"/>
        <v>2.5320918312788931</v>
      </c>
      <c r="N16" s="137">
        <f t="shared" si="3"/>
        <v>2.5320918312788931</v>
      </c>
      <c r="O16" s="197">
        <f t="shared" si="12"/>
        <v>2.5320918312788931</v>
      </c>
      <c r="P16" s="197">
        <f t="shared" si="4"/>
        <v>2.5320918312788931</v>
      </c>
      <c r="Q16" s="3">
        <f t="shared" si="13"/>
        <v>2.5320918312788931</v>
      </c>
      <c r="R16" s="183">
        <f t="shared" si="14"/>
        <v>2.5320918312788931</v>
      </c>
      <c r="S16" s="183">
        <f t="shared" si="15"/>
        <v>2.5320918312788931</v>
      </c>
      <c r="T16" s="183">
        <f t="shared" si="16"/>
        <v>2.5320918312788931</v>
      </c>
      <c r="U16" s="178">
        <f>IF(VLEESEENDEN!$H$15="ja",L16-((E16-G16*95%-I16)/E16*L16)*$R$6,L16-((E16-G16*80%-I16)/E16*L16)*$R$6)</f>
        <v>2.5320918312788931</v>
      </c>
      <c r="V16" s="115">
        <f t="shared" si="5"/>
        <v>2.5320918312788931</v>
      </c>
      <c r="W16" s="194">
        <f t="shared" si="17"/>
        <v>2.5320918312788931</v>
      </c>
      <c r="X16" s="223">
        <f t="shared" si="18"/>
        <v>1</v>
      </c>
      <c r="AB16" s="136" t="s">
        <v>162</v>
      </c>
      <c r="AC16" s="126"/>
      <c r="AD16" s="127"/>
      <c r="AE16" s="126"/>
      <c r="AF16" s="127"/>
    </row>
    <row r="17" spans="1:32" x14ac:dyDescent="0.2">
      <c r="A17" s="1">
        <v>8</v>
      </c>
      <c r="B17" s="1">
        <v>250</v>
      </c>
      <c r="E17" s="4">
        <f t="shared" si="8"/>
        <v>0.33816123914499996</v>
      </c>
      <c r="F17" s="4">
        <f t="shared" si="9"/>
        <v>0.33816123914499996</v>
      </c>
      <c r="G17" s="185">
        <f t="shared" si="0"/>
        <v>0</v>
      </c>
      <c r="H17" s="185">
        <f t="shared" si="1"/>
        <v>0</v>
      </c>
      <c r="I17" s="185">
        <f t="shared" si="2"/>
        <v>0</v>
      </c>
      <c r="J17" s="3">
        <v>0.98612990306547954</v>
      </c>
      <c r="K17" s="135">
        <v>1</v>
      </c>
      <c r="L17" s="3">
        <f t="shared" si="10"/>
        <v>2.9212051714121965</v>
      </c>
      <c r="M17" s="197">
        <f t="shared" si="11"/>
        <v>2.9212051714121965</v>
      </c>
      <c r="N17" s="137">
        <f t="shared" si="3"/>
        <v>2.9212051714121965</v>
      </c>
      <c r="O17" s="197">
        <f t="shared" si="12"/>
        <v>2.9212051714121965</v>
      </c>
      <c r="P17" s="197">
        <f t="shared" si="4"/>
        <v>2.9212051714121965</v>
      </c>
      <c r="Q17" s="3">
        <f t="shared" si="13"/>
        <v>2.9212051714121965</v>
      </c>
      <c r="R17" s="183">
        <f t="shared" si="14"/>
        <v>2.9212051714121965</v>
      </c>
      <c r="S17" s="183">
        <f t="shared" si="15"/>
        <v>2.9212051714121965</v>
      </c>
      <c r="T17" s="183">
        <f t="shared" si="16"/>
        <v>2.9212051714121965</v>
      </c>
      <c r="U17" s="178">
        <f>IF(VLEESEENDEN!$H$15="ja",L17-((E17-G17*95%-I17)/E17*L17)*$R$6,L17-((E17-G17*80%-I17)/E17*L17)*$R$6)</f>
        <v>2.9212051714121965</v>
      </c>
      <c r="V17" s="115">
        <f t="shared" si="5"/>
        <v>2.9212051714121965</v>
      </c>
      <c r="W17" s="194">
        <f t="shared" si="17"/>
        <v>2.9212051714121965</v>
      </c>
      <c r="X17" s="223">
        <f t="shared" si="18"/>
        <v>1</v>
      </c>
      <c r="AB17" s="136" t="s">
        <v>163</v>
      </c>
      <c r="AC17" s="126">
        <v>42</v>
      </c>
      <c r="AD17" s="127">
        <v>42</v>
      </c>
      <c r="AE17" s="126">
        <v>42</v>
      </c>
      <c r="AF17" s="127">
        <v>42</v>
      </c>
    </row>
    <row r="18" spans="1:32" x14ac:dyDescent="0.2">
      <c r="A18" s="1">
        <v>9</v>
      </c>
      <c r="B18" s="1">
        <v>300</v>
      </c>
      <c r="E18" s="4">
        <f t="shared" si="8"/>
        <v>0.38616512009499998</v>
      </c>
      <c r="F18" s="4">
        <f t="shared" si="9"/>
        <v>0.38616512009499998</v>
      </c>
      <c r="G18" s="185">
        <f t="shared" si="0"/>
        <v>0</v>
      </c>
      <c r="H18" s="185">
        <f t="shared" si="1"/>
        <v>0</v>
      </c>
      <c r="I18" s="185">
        <f t="shared" si="2"/>
        <v>0</v>
      </c>
      <c r="J18" s="3">
        <v>1.0480698144429763</v>
      </c>
      <c r="K18" s="135">
        <v>1</v>
      </c>
      <c r="L18" s="3">
        <f t="shared" si="10"/>
        <v>3.5454173304778909</v>
      </c>
      <c r="M18" s="197">
        <f t="shared" si="11"/>
        <v>3.5454173304778909</v>
      </c>
      <c r="N18" s="137">
        <f t="shared" si="3"/>
        <v>3.5454173304778909</v>
      </c>
      <c r="O18" s="197">
        <f t="shared" si="12"/>
        <v>3.5454173304778909</v>
      </c>
      <c r="P18" s="197">
        <f t="shared" si="4"/>
        <v>3.5454173304778909</v>
      </c>
      <c r="Q18" s="3">
        <f t="shared" si="13"/>
        <v>3.5454173304778909</v>
      </c>
      <c r="R18" s="183">
        <f t="shared" si="14"/>
        <v>3.5454173304778909</v>
      </c>
      <c r="S18" s="183">
        <f t="shared" si="15"/>
        <v>3.5454173304778909</v>
      </c>
      <c r="T18" s="183">
        <f t="shared" si="16"/>
        <v>3.5454173304778909</v>
      </c>
      <c r="U18" s="178">
        <f>IF(VLEESEENDEN!$H$15="ja",L18-((E18-G18*95%-I18)/E18*L18)*$R$6,L18-((E18-G18*80%-I18)/E18*L18)*$R$6)</f>
        <v>3.5454173304778909</v>
      </c>
      <c r="V18" s="115">
        <f t="shared" si="5"/>
        <v>3.5454173304778909</v>
      </c>
      <c r="W18" s="194">
        <f t="shared" si="17"/>
        <v>3.5454173304778909</v>
      </c>
      <c r="X18" s="223">
        <f t="shared" si="18"/>
        <v>1</v>
      </c>
      <c r="AB18" s="136" t="s">
        <v>164</v>
      </c>
      <c r="AC18" s="126">
        <f>+AC8</f>
        <v>13</v>
      </c>
      <c r="AD18" s="127">
        <f>+AD8</f>
        <v>19</v>
      </c>
      <c r="AE18" s="126">
        <f>+AE8</f>
        <v>13</v>
      </c>
      <c r="AF18" s="127">
        <f>+AF8</f>
        <v>19</v>
      </c>
    </row>
    <row r="19" spans="1:32" x14ac:dyDescent="0.2">
      <c r="A19" s="1">
        <v>10</v>
      </c>
      <c r="B19" s="1">
        <v>350</v>
      </c>
      <c r="E19" s="4">
        <f t="shared" si="8"/>
        <v>0.43418668104499997</v>
      </c>
      <c r="F19" s="4">
        <f t="shared" si="9"/>
        <v>0.43418668104499997</v>
      </c>
      <c r="G19" s="185">
        <f t="shared" si="0"/>
        <v>0</v>
      </c>
      <c r="H19" s="185">
        <f t="shared" si="1"/>
        <v>0</v>
      </c>
      <c r="I19" s="185">
        <f t="shared" si="2"/>
        <v>0</v>
      </c>
      <c r="J19" s="3">
        <v>1.1067664537131101</v>
      </c>
      <c r="K19" s="135">
        <v>1</v>
      </c>
      <c r="L19" s="3">
        <f t="shared" si="10"/>
        <v>4.2095588982916459</v>
      </c>
      <c r="M19" s="197">
        <f t="shared" si="11"/>
        <v>4.2095588982916459</v>
      </c>
      <c r="N19" s="137">
        <f t="shared" si="3"/>
        <v>4.2095588982916459</v>
      </c>
      <c r="O19" s="197">
        <f t="shared" si="12"/>
        <v>4.2095588982916459</v>
      </c>
      <c r="P19" s="197">
        <f t="shared" si="4"/>
        <v>4.2095588982916459</v>
      </c>
      <c r="Q19" s="3">
        <f t="shared" si="13"/>
        <v>4.2095588982916459</v>
      </c>
      <c r="R19" s="183">
        <f t="shared" si="14"/>
        <v>4.2095588982916459</v>
      </c>
      <c r="S19" s="183">
        <f t="shared" si="15"/>
        <v>4.2095588982916459</v>
      </c>
      <c r="T19" s="183">
        <f t="shared" si="16"/>
        <v>4.2095588982916459</v>
      </c>
      <c r="U19" s="178">
        <f>IF(VLEESEENDEN!$H$15="ja",L19-((E19-G19*95%-I19)/E19*L19)*$R$6,L19-((E19-G19*80%-I19)/E19*L19)*$R$6)</f>
        <v>4.2095588982916459</v>
      </c>
      <c r="V19" s="115">
        <f t="shared" si="5"/>
        <v>4.2095588982916459</v>
      </c>
      <c r="W19" s="194">
        <f t="shared" si="17"/>
        <v>4.2095588982916459</v>
      </c>
      <c r="X19" s="223">
        <f t="shared" si="18"/>
        <v>1</v>
      </c>
      <c r="AA19" s="1">
        <v>42</v>
      </c>
      <c r="AB19" s="136" t="s">
        <v>165</v>
      </c>
      <c r="AC19" s="146">
        <f t="shared" ref="AC19:AD19" si="21">AC17-AC18</f>
        <v>29</v>
      </c>
      <c r="AD19" s="147">
        <f t="shared" si="21"/>
        <v>23</v>
      </c>
      <c r="AE19" s="146">
        <f>AE17-AE18</f>
        <v>29</v>
      </c>
      <c r="AF19" s="147">
        <f t="shared" ref="AF19" si="22">AF17-AF18</f>
        <v>23</v>
      </c>
    </row>
    <row r="20" spans="1:32" x14ac:dyDescent="0.2">
      <c r="A20" s="1">
        <v>11</v>
      </c>
      <c r="B20" s="1">
        <v>400</v>
      </c>
      <c r="E20" s="4">
        <f t="shared" si="8"/>
        <v>0.48251392199499998</v>
      </c>
      <c r="F20" s="4">
        <f t="shared" si="9"/>
        <v>0.48251392199499998</v>
      </c>
      <c r="G20" s="185">
        <f t="shared" si="0"/>
        <v>0</v>
      </c>
      <c r="H20" s="185">
        <f t="shared" si="1"/>
        <v>0</v>
      </c>
      <c r="I20" s="185">
        <f t="shared" si="2"/>
        <v>0</v>
      </c>
      <c r="J20" s="3">
        <v>1.162690928086719</v>
      </c>
      <c r="K20" s="135">
        <v>1</v>
      </c>
      <c r="L20" s="3">
        <f t="shared" si="10"/>
        <v>4.9144875436651727</v>
      </c>
      <c r="M20" s="197">
        <f t="shared" si="11"/>
        <v>4.9144875436651727</v>
      </c>
      <c r="N20" s="137">
        <f t="shared" si="3"/>
        <v>4.9144875436651727</v>
      </c>
      <c r="O20" s="197">
        <f t="shared" si="12"/>
        <v>4.9144875436651727</v>
      </c>
      <c r="P20" s="197">
        <f t="shared" si="4"/>
        <v>4.9144875436651727</v>
      </c>
      <c r="Q20" s="3">
        <f t="shared" si="13"/>
        <v>4.9144875436651727</v>
      </c>
      <c r="R20" s="183">
        <f t="shared" si="14"/>
        <v>4.9144875436651727</v>
      </c>
      <c r="S20" s="183">
        <f t="shared" si="15"/>
        <v>4.9144875436651727</v>
      </c>
      <c r="T20" s="183">
        <f t="shared" si="16"/>
        <v>4.9144875436651727</v>
      </c>
      <c r="U20" s="178">
        <f>IF(VLEESEENDEN!$H$15="ja",L20-((E20-G20*95%-I20)/E20*L20)*$R$6,L20-((E20-G20*80%-I20)/E20*L20)*$R$6)</f>
        <v>4.9144875436651727</v>
      </c>
      <c r="V20" s="115">
        <f t="shared" si="5"/>
        <v>4.9144875436651727</v>
      </c>
      <c r="W20" s="194">
        <f t="shared" si="17"/>
        <v>4.9144875436651727</v>
      </c>
      <c r="X20" s="223">
        <f t="shared" si="18"/>
        <v>1</v>
      </c>
      <c r="AA20" s="1">
        <v>0</v>
      </c>
      <c r="AB20" s="136" t="s">
        <v>166</v>
      </c>
      <c r="AC20" s="148">
        <v>10</v>
      </c>
      <c r="AD20" s="149">
        <v>10</v>
      </c>
      <c r="AE20" s="148">
        <v>10</v>
      </c>
      <c r="AF20" s="149">
        <v>10</v>
      </c>
    </row>
    <row r="21" spans="1:32" x14ac:dyDescent="0.2">
      <c r="A21" s="1">
        <v>12</v>
      </c>
      <c r="B21" s="1">
        <v>450</v>
      </c>
      <c r="E21" s="4">
        <f t="shared" si="8"/>
        <v>0.53143484294499999</v>
      </c>
      <c r="F21" s="4">
        <f t="shared" si="9"/>
        <v>0.53143484294499999</v>
      </c>
      <c r="G21" s="185">
        <f t="shared" si="0"/>
        <v>0</v>
      </c>
      <c r="H21" s="185">
        <f t="shared" si="1"/>
        <v>0</v>
      </c>
      <c r="I21" s="185">
        <f t="shared" si="2"/>
        <v>0</v>
      </c>
      <c r="J21" s="3">
        <v>1.2162098812797726</v>
      </c>
      <c r="K21" s="135">
        <v>1</v>
      </c>
      <c r="L21" s="3">
        <f t="shared" si="10"/>
        <v>5.6619060514755999</v>
      </c>
      <c r="M21" s="197">
        <f t="shared" si="11"/>
        <v>5.6619060514755999</v>
      </c>
      <c r="N21" s="137">
        <f t="shared" si="3"/>
        <v>5.6619060514755999</v>
      </c>
      <c r="O21" s="197">
        <f t="shared" si="12"/>
        <v>5.6619060514755999</v>
      </c>
      <c r="P21" s="197">
        <f t="shared" si="4"/>
        <v>5.6619060514755999</v>
      </c>
      <c r="Q21" s="3">
        <f t="shared" si="13"/>
        <v>5.6619060514755999</v>
      </c>
      <c r="R21" s="183">
        <f t="shared" si="14"/>
        <v>5.6619060514755999</v>
      </c>
      <c r="S21" s="183">
        <f t="shared" si="15"/>
        <v>5.6619060514755999</v>
      </c>
      <c r="T21" s="183">
        <f t="shared" si="16"/>
        <v>5.6619060514755999</v>
      </c>
      <c r="U21" s="178">
        <f>IF(VLEESEENDEN!$H$15="ja",L21-((E21-G21*95%-I21)/E21*L21)*$R$6,L21-((E21-G21*80%-I21)/E21*L21)*$R$6)</f>
        <v>5.6619060514755999</v>
      </c>
      <c r="V21" s="115">
        <f t="shared" si="5"/>
        <v>5.6619060514755999</v>
      </c>
      <c r="W21" s="194">
        <f t="shared" si="17"/>
        <v>5.6619060514755999</v>
      </c>
      <c r="X21" s="223">
        <f t="shared" si="18"/>
        <v>1</v>
      </c>
      <c r="AA21" s="1">
        <v>42</v>
      </c>
      <c r="AB21" s="136" t="s">
        <v>167</v>
      </c>
      <c r="AC21" s="150">
        <f>365/(AC19+AC20)</f>
        <v>9.3589743589743595</v>
      </c>
      <c r="AD21" s="151">
        <f>365/(AD19+AD20)</f>
        <v>11.060606060606061</v>
      </c>
      <c r="AE21" s="150">
        <f>365/(AE19+AE20)</f>
        <v>9.3589743589743595</v>
      </c>
      <c r="AF21" s="151">
        <f>365/(AF19+AF20)</f>
        <v>11.060606060606061</v>
      </c>
    </row>
    <row r="22" spans="1:32" x14ac:dyDescent="0.2">
      <c r="A22" s="152">
        <v>13</v>
      </c>
      <c r="B22" s="153">
        <v>500</v>
      </c>
      <c r="C22" s="154"/>
      <c r="D22" s="153"/>
      <c r="E22" s="4">
        <f t="shared" si="8"/>
        <v>0.58123744389499998</v>
      </c>
      <c r="F22" s="155">
        <f t="shared" si="9"/>
        <v>0.58123744389499998</v>
      </c>
      <c r="G22" s="185">
        <f t="shared" si="0"/>
        <v>0</v>
      </c>
      <c r="H22" s="185">
        <f t="shared" si="1"/>
        <v>0</v>
      </c>
      <c r="I22" s="185">
        <f t="shared" si="2"/>
        <v>0</v>
      </c>
      <c r="J22" s="3">
        <v>1.2676153481444508</v>
      </c>
      <c r="K22" s="135">
        <v>1</v>
      </c>
      <c r="L22" s="3">
        <f t="shared" si="10"/>
        <v>6.4542410220265456</v>
      </c>
      <c r="M22" s="197">
        <f t="shared" si="11"/>
        <v>6.4542410220265456</v>
      </c>
      <c r="N22" s="137">
        <f t="shared" si="3"/>
        <v>6.4542410220265456</v>
      </c>
      <c r="O22" s="197">
        <f t="shared" si="12"/>
        <v>6.4542410220265456</v>
      </c>
      <c r="P22" s="197">
        <f t="shared" si="4"/>
        <v>6.4542410220265456</v>
      </c>
      <c r="Q22" s="3">
        <f t="shared" si="13"/>
        <v>6.4542410220265456</v>
      </c>
      <c r="R22" s="183">
        <f t="shared" si="14"/>
        <v>6.4542410220265456</v>
      </c>
      <c r="S22" s="183">
        <f t="shared" si="15"/>
        <v>6.4542410220265456</v>
      </c>
      <c r="T22" s="183">
        <f t="shared" si="16"/>
        <v>6.4542410220265456</v>
      </c>
      <c r="U22" s="178">
        <f>IF(VLEESEENDEN!$H$15="ja",L22-((E22-G22*95%-I22)/E22*L22)*$R$6,L22-((E22-G22*80%-I22)/E22*L22)*$R$6)</f>
        <v>6.4542410220265456</v>
      </c>
      <c r="V22" s="115">
        <f t="shared" si="5"/>
        <v>6.4542410220265456</v>
      </c>
      <c r="W22" s="194">
        <f t="shared" si="17"/>
        <v>6.4542410220265456</v>
      </c>
      <c r="X22" s="223">
        <f t="shared" si="18"/>
        <v>1</v>
      </c>
      <c r="AA22" s="1">
        <v>10</v>
      </c>
      <c r="AB22" s="132" t="s">
        <v>168</v>
      </c>
      <c r="AC22" s="139">
        <f>AVERAGE(L23:L51)/$AA$23</f>
        <v>9.2460586406843692</v>
      </c>
      <c r="AD22" s="140">
        <f>AVERAGE(L29:L51)/$AA$23</f>
        <v>11.260806854782297</v>
      </c>
      <c r="AE22" s="139">
        <f>AVERAGE(N23:N51)/$AA$23</f>
        <v>9.2460586406843692</v>
      </c>
      <c r="AF22" s="140">
        <f>AVERAGE(N29:N51)/$AA$23</f>
        <v>11.260806854782297</v>
      </c>
    </row>
    <row r="23" spans="1:32" x14ac:dyDescent="0.2">
      <c r="A23" s="1">
        <v>14</v>
      </c>
      <c r="B23" s="1">
        <v>550</v>
      </c>
      <c r="E23" s="4">
        <f t="shared" si="8"/>
        <v>0.63220972484499993</v>
      </c>
      <c r="F23" s="4">
        <f t="shared" si="9"/>
        <v>0.63220972484499993</v>
      </c>
      <c r="G23" s="185">
        <f t="shared" si="0"/>
        <v>0</v>
      </c>
      <c r="H23" s="185">
        <f t="shared" si="1"/>
        <v>0</v>
      </c>
      <c r="I23" s="185">
        <f t="shared" si="2"/>
        <v>0</v>
      </c>
      <c r="J23" s="3">
        <v>1.3171444528366822</v>
      </c>
      <c r="K23" s="135">
        <v>1</v>
      </c>
      <c r="L23" s="3">
        <f t="shared" si="10"/>
        <v>7.2945530212748126</v>
      </c>
      <c r="M23" s="197">
        <f t="shared" si="11"/>
        <v>7.2945530212748126</v>
      </c>
      <c r="N23" s="137">
        <f t="shared" si="3"/>
        <v>7.2945530212748126</v>
      </c>
      <c r="O23" s="197">
        <f t="shared" si="12"/>
        <v>7.2945530212748126</v>
      </c>
      <c r="P23" s="197">
        <f t="shared" si="4"/>
        <v>7.2945530212748126</v>
      </c>
      <c r="Q23" s="3">
        <f t="shared" si="13"/>
        <v>7.2945530212748126</v>
      </c>
      <c r="R23" s="183">
        <f t="shared" si="14"/>
        <v>7.2945530212748126</v>
      </c>
      <c r="S23" s="183">
        <f t="shared" si="15"/>
        <v>7.2945530212748126</v>
      </c>
      <c r="T23" s="183">
        <f t="shared" si="16"/>
        <v>7.2945530212748126</v>
      </c>
      <c r="U23" s="178">
        <f>IF(VLEESEENDEN!$H$15="ja",L23-((E23-G23*95%-I23)/E23*L23)*$R$6,L23-((E23-G23*80%-I23)/E23*L23)*$R$6)</f>
        <v>7.2945530212748126</v>
      </c>
      <c r="V23" s="115">
        <f t="shared" si="5"/>
        <v>7.2945530212748126</v>
      </c>
      <c r="W23" s="194">
        <f t="shared" si="17"/>
        <v>7.2945530212748126</v>
      </c>
      <c r="X23" s="223">
        <f t="shared" si="18"/>
        <v>1</v>
      </c>
      <c r="AA23" s="2">
        <f>365/(AA21+AA22)</f>
        <v>7.0192307692307692</v>
      </c>
      <c r="AB23" s="141" t="s">
        <v>160</v>
      </c>
      <c r="AC23" s="142">
        <f>AC22*AC21</f>
        <v>86.533625739738326</v>
      </c>
      <c r="AD23" s="143">
        <f>AD22*AD21</f>
        <v>124.55134854531934</v>
      </c>
      <c r="AE23" s="142">
        <f>AE22*AE21</f>
        <v>86.533625739738326</v>
      </c>
      <c r="AF23" s="143">
        <f>AF22*AF21</f>
        <v>124.55134854531934</v>
      </c>
    </row>
    <row r="24" spans="1:32" x14ac:dyDescent="0.2">
      <c r="A24" s="1">
        <v>15</v>
      </c>
      <c r="B24" s="1">
        <v>600</v>
      </c>
      <c r="E24" s="4">
        <f t="shared" si="8"/>
        <v>0.68463968579500001</v>
      </c>
      <c r="F24" s="4">
        <f t="shared" si="9"/>
        <v>0.68463968579500001</v>
      </c>
      <c r="G24" s="185">
        <f t="shared" si="0"/>
        <v>0</v>
      </c>
      <c r="H24" s="185">
        <f t="shared" si="1"/>
        <v>0</v>
      </c>
      <c r="I24" s="185">
        <f t="shared" si="2"/>
        <v>0</v>
      </c>
      <c r="J24" s="3">
        <v>1.3649928808471363</v>
      </c>
      <c r="K24" s="135">
        <v>1</v>
      </c>
      <c r="L24" s="3">
        <f t="shared" si="10"/>
        <v>8.1864678822070154</v>
      </c>
      <c r="M24" s="197">
        <f t="shared" si="11"/>
        <v>8.1864678822070154</v>
      </c>
      <c r="N24" s="137">
        <f t="shared" si="3"/>
        <v>8.1864678822070154</v>
      </c>
      <c r="O24" s="197">
        <f t="shared" si="12"/>
        <v>8.1864678822070154</v>
      </c>
      <c r="P24" s="197">
        <f t="shared" si="4"/>
        <v>8.1864678822070154</v>
      </c>
      <c r="Q24" s="3">
        <f t="shared" si="13"/>
        <v>8.1864678822070154</v>
      </c>
      <c r="R24" s="183">
        <f t="shared" si="14"/>
        <v>8.1864678822070154</v>
      </c>
      <c r="S24" s="183">
        <f t="shared" si="15"/>
        <v>8.1864678822070154</v>
      </c>
      <c r="T24" s="183">
        <f t="shared" si="16"/>
        <v>8.1864678822070154</v>
      </c>
      <c r="U24" s="178">
        <f>IF(VLEESEENDEN!$H$15="ja",L24-((E24-G24*95%-I24)/E24*L24)*$R$6,L24-((E24-G24*80%-I24)/E24*L24)*$R$6)</f>
        <v>8.1864678822070154</v>
      </c>
      <c r="V24" s="115">
        <f t="shared" si="5"/>
        <v>8.1864678822070154</v>
      </c>
      <c r="W24" s="194">
        <f t="shared" si="17"/>
        <v>8.1864678822070154</v>
      </c>
      <c r="X24" s="223">
        <f t="shared" si="18"/>
        <v>1</v>
      </c>
      <c r="AA24" s="138">
        <f>AA22/(AA21+AA22)</f>
        <v>0.19230769230769232</v>
      </c>
      <c r="AB24" s="156" t="s">
        <v>169</v>
      </c>
      <c r="AC24" s="157">
        <f>(AC14+(AC23*2))/3</f>
        <v>60.360861903524203</v>
      </c>
      <c r="AD24" s="158">
        <f>(AD14+AD23)/2</f>
        <v>66.513987447163146</v>
      </c>
      <c r="AE24" s="157">
        <f>(AE14+(AE23*2))/3</f>
        <v>60.360861903524203</v>
      </c>
      <c r="AF24" s="158">
        <f>(AF14+AF23)/2</f>
        <v>66.513987447163146</v>
      </c>
    </row>
    <row r="25" spans="1:32" x14ac:dyDescent="0.2">
      <c r="A25" s="1">
        <v>16</v>
      </c>
      <c r="B25" s="1">
        <v>685</v>
      </c>
      <c r="E25" s="4">
        <f t="shared" si="8"/>
        <v>0.77793117900999997</v>
      </c>
      <c r="F25" s="4">
        <f t="shared" si="9"/>
        <v>0.77793117900999997</v>
      </c>
      <c r="G25" s="185">
        <f t="shared" si="0"/>
        <v>0</v>
      </c>
      <c r="H25" s="185">
        <f t="shared" si="1"/>
        <v>0</v>
      </c>
      <c r="I25" s="185">
        <f t="shared" si="2"/>
        <v>0</v>
      </c>
      <c r="J25" s="3">
        <v>1.4113243745205084</v>
      </c>
      <c r="K25" s="135">
        <v>1</v>
      </c>
      <c r="L25" s="3">
        <f t="shared" si="10"/>
        <v>9.6177199354138985</v>
      </c>
      <c r="M25" s="197">
        <f t="shared" si="11"/>
        <v>9.6177199354138985</v>
      </c>
      <c r="N25" s="137">
        <f t="shared" si="3"/>
        <v>9.6177199354138985</v>
      </c>
      <c r="O25" s="197">
        <f t="shared" si="12"/>
        <v>9.6177199354138985</v>
      </c>
      <c r="P25" s="197">
        <f t="shared" si="4"/>
        <v>9.6177199354138985</v>
      </c>
      <c r="Q25" s="3">
        <f t="shared" si="13"/>
        <v>9.6177199354138985</v>
      </c>
      <c r="R25" s="183">
        <f t="shared" si="14"/>
        <v>9.6177199354138985</v>
      </c>
      <c r="S25" s="183">
        <f t="shared" si="15"/>
        <v>9.6177199354138985</v>
      </c>
      <c r="T25" s="183">
        <f t="shared" si="16"/>
        <v>9.6177199354138985</v>
      </c>
      <c r="U25" s="178">
        <f>IF(VLEESEENDEN!$H$15="ja",L25-((E25-G25*95%-I25)/E25*L25)*$R$6,L25-((E25-G25*80%-I25)/E25*L25)*$R$6)</f>
        <v>9.6177199354138985</v>
      </c>
      <c r="V25" s="115">
        <f t="shared" si="5"/>
        <v>9.6177199354138985</v>
      </c>
      <c r="W25" s="194">
        <f t="shared" si="17"/>
        <v>9.6177199354138985</v>
      </c>
      <c r="X25" s="223">
        <f t="shared" si="18"/>
        <v>1</v>
      </c>
      <c r="AB25" s="159" t="s">
        <v>170</v>
      </c>
      <c r="AC25" s="160">
        <f>(AC24/$L$63)</f>
        <v>1.0208060798886598</v>
      </c>
      <c r="AD25" s="160">
        <f>(AD24/$L$63)</f>
        <v>1.1248660248129738</v>
      </c>
    </row>
    <row r="26" spans="1:32" x14ac:dyDescent="0.2">
      <c r="A26" s="1">
        <v>17</v>
      </c>
      <c r="B26" s="1">
        <v>770</v>
      </c>
      <c r="E26" s="4">
        <f t="shared" si="8"/>
        <v>0.87768263142499992</v>
      </c>
      <c r="F26" s="4">
        <f t="shared" si="9"/>
        <v>0.87768263142499992</v>
      </c>
      <c r="G26" s="185">
        <f t="shared" si="0"/>
        <v>0</v>
      </c>
      <c r="H26" s="185">
        <f t="shared" si="1"/>
        <v>0</v>
      </c>
      <c r="I26" s="185">
        <f t="shared" si="2"/>
        <v>0</v>
      </c>
      <c r="J26" s="3">
        <v>1.4562775995930568</v>
      </c>
      <c r="K26" s="135">
        <v>1</v>
      </c>
      <c r="L26" s="3">
        <f t="shared" si="10"/>
        <v>11.196590107897979</v>
      </c>
      <c r="M26" s="197">
        <f t="shared" si="11"/>
        <v>11.196590107897979</v>
      </c>
      <c r="N26" s="137">
        <f t="shared" si="3"/>
        <v>11.196590107897979</v>
      </c>
      <c r="O26" s="197">
        <f t="shared" si="12"/>
        <v>11.196590107897979</v>
      </c>
      <c r="P26" s="197">
        <f t="shared" si="4"/>
        <v>11.196590107897979</v>
      </c>
      <c r="Q26" s="3">
        <f t="shared" si="13"/>
        <v>11.196590107897979</v>
      </c>
      <c r="R26" s="183">
        <f t="shared" si="14"/>
        <v>11.196590107897979</v>
      </c>
      <c r="S26" s="183">
        <f t="shared" si="15"/>
        <v>11.196590107897979</v>
      </c>
      <c r="T26" s="183">
        <f t="shared" si="16"/>
        <v>11.196590107897979</v>
      </c>
      <c r="U26" s="178">
        <f>IF(VLEESEENDEN!$H$15="ja",L26-((E26-G26*95%-I26)/E26*L26)*$R$6,L26-((E26-G26*80%-I26)/E26*L26)*$R$6)</f>
        <v>11.196590107897979</v>
      </c>
      <c r="V26" s="115">
        <f t="shared" si="5"/>
        <v>11.196590107897979</v>
      </c>
      <c r="W26" s="194">
        <f t="shared" si="17"/>
        <v>11.196590107897979</v>
      </c>
      <c r="X26" s="223">
        <f t="shared" si="18"/>
        <v>1</v>
      </c>
      <c r="AB26" s="161" t="s">
        <v>171</v>
      </c>
      <c r="AE26" s="162">
        <f>(AC24-AE24)/AC24</f>
        <v>0</v>
      </c>
      <c r="AF26" s="162">
        <f>(AD24-AF24)/AD24</f>
        <v>0</v>
      </c>
    </row>
    <row r="27" spans="1:32" x14ac:dyDescent="0.2">
      <c r="A27" s="1">
        <v>18</v>
      </c>
      <c r="B27" s="1">
        <v>855</v>
      </c>
      <c r="E27" s="4">
        <f t="shared" si="8"/>
        <v>0.98530898703999992</v>
      </c>
      <c r="F27" s="4">
        <f t="shared" si="9"/>
        <v>0.98530898703999992</v>
      </c>
      <c r="G27" s="185">
        <f t="shared" si="0"/>
        <v>0</v>
      </c>
      <c r="H27" s="185">
        <f t="shared" si="1"/>
        <v>0</v>
      </c>
      <c r="I27" s="185">
        <f t="shared" si="2"/>
        <v>0</v>
      </c>
      <c r="J27" s="3">
        <v>1.4999712215646515</v>
      </c>
      <c r="K27" s="135">
        <v>1</v>
      </c>
      <c r="L27" s="3">
        <f t="shared" si="10"/>
        <v>12.946711694202998</v>
      </c>
      <c r="M27" s="197">
        <f t="shared" si="11"/>
        <v>12.946711694202998</v>
      </c>
      <c r="N27" s="137">
        <f t="shared" si="3"/>
        <v>12.946711694202998</v>
      </c>
      <c r="O27" s="197">
        <f t="shared" si="12"/>
        <v>12.946711694202998</v>
      </c>
      <c r="P27" s="197">
        <f t="shared" si="4"/>
        <v>12.946711694202998</v>
      </c>
      <c r="Q27" s="3">
        <f t="shared" si="13"/>
        <v>12.946711694202998</v>
      </c>
      <c r="R27" s="183">
        <f t="shared" si="14"/>
        <v>12.946711694202998</v>
      </c>
      <c r="S27" s="183">
        <f t="shared" si="15"/>
        <v>12.946711694202998</v>
      </c>
      <c r="T27" s="183">
        <f t="shared" si="16"/>
        <v>12.946711694202998</v>
      </c>
      <c r="U27" s="178">
        <f>IF(VLEESEENDEN!$H$15="ja",L27-((E27-G27*95%-I27)/E27*L27)*$R$6,L27-((E27-G27*80%-I27)/E27*L27)*$R$6)</f>
        <v>12.946711694202998</v>
      </c>
      <c r="V27" s="115">
        <f t="shared" si="5"/>
        <v>12.946711694202998</v>
      </c>
      <c r="W27" s="194">
        <f t="shared" si="17"/>
        <v>12.946711694202998</v>
      </c>
      <c r="X27" s="223">
        <f t="shared" si="18"/>
        <v>1</v>
      </c>
    </row>
    <row r="28" spans="1:32" x14ac:dyDescent="0.2">
      <c r="A28" s="152">
        <v>19</v>
      </c>
      <c r="B28" s="153">
        <v>940</v>
      </c>
      <c r="C28" s="154"/>
      <c r="D28" s="153"/>
      <c r="E28" s="4">
        <f t="shared" si="8"/>
        <v>1.102225189855</v>
      </c>
      <c r="F28" s="155">
        <f t="shared" si="9"/>
        <v>1.102225189855</v>
      </c>
      <c r="G28" s="185">
        <f t="shared" si="0"/>
        <v>0</v>
      </c>
      <c r="H28" s="185">
        <f t="shared" si="1"/>
        <v>0</v>
      </c>
      <c r="I28" s="185">
        <f t="shared" si="2"/>
        <v>0</v>
      </c>
      <c r="J28" s="3">
        <v>1.5425077315602014</v>
      </c>
      <c r="K28" s="135">
        <v>1</v>
      </c>
      <c r="L28" s="3">
        <f t="shared" si="10"/>
        <v>14.893672084900514</v>
      </c>
      <c r="M28" s="197">
        <f t="shared" si="11"/>
        <v>14.893672084900514</v>
      </c>
      <c r="N28" s="137">
        <f t="shared" si="3"/>
        <v>14.893672084900514</v>
      </c>
      <c r="O28" s="197">
        <f t="shared" si="12"/>
        <v>14.893672084900514</v>
      </c>
      <c r="P28" s="197">
        <f t="shared" si="4"/>
        <v>14.893672084900514</v>
      </c>
      <c r="Q28" s="3">
        <f t="shared" si="13"/>
        <v>14.893672084900514</v>
      </c>
      <c r="R28" s="183">
        <f t="shared" si="14"/>
        <v>14.893672084900514</v>
      </c>
      <c r="S28" s="183">
        <f t="shared" si="15"/>
        <v>14.893672084900514</v>
      </c>
      <c r="T28" s="183">
        <f t="shared" si="16"/>
        <v>14.893672084900514</v>
      </c>
      <c r="U28" s="178">
        <f>IF(VLEESEENDEN!$H$15="ja",L28-((E28-G28*95%-I28)/E28*L28)*$R$6,L28-((E28-G28*80%-I28)/E28*L28)*$R$6)</f>
        <v>14.893672084900514</v>
      </c>
      <c r="V28" s="115">
        <f t="shared" si="5"/>
        <v>14.893672084900514</v>
      </c>
      <c r="W28" s="194">
        <f t="shared" si="17"/>
        <v>14.893672084900514</v>
      </c>
      <c r="X28" s="223">
        <f t="shared" si="18"/>
        <v>1</v>
      </c>
    </row>
    <row r="29" spans="1:32" x14ac:dyDescent="0.2">
      <c r="A29" s="1">
        <v>20</v>
      </c>
      <c r="B29" s="1">
        <v>1025</v>
      </c>
      <c r="E29" s="4">
        <f t="shared" si="8"/>
        <v>1.2298461838699999</v>
      </c>
      <c r="F29" s="4">
        <f t="shared" si="9"/>
        <v>1.2298461838699999</v>
      </c>
      <c r="G29" s="185">
        <f t="shared" si="0"/>
        <v>0</v>
      </c>
      <c r="H29" s="185">
        <f t="shared" si="1"/>
        <v>0</v>
      </c>
      <c r="I29" s="185">
        <f t="shared" si="2"/>
        <v>0</v>
      </c>
      <c r="J29" s="3">
        <v>1.5839763789448924</v>
      </c>
      <c r="K29" s="135">
        <v>1</v>
      </c>
      <c r="L29" s="3">
        <f t="shared" si="10"/>
        <v>17.064894391673825</v>
      </c>
      <c r="M29" s="197">
        <f t="shared" si="11"/>
        <v>17.064894391673825</v>
      </c>
      <c r="N29" s="137">
        <f t="shared" si="3"/>
        <v>17.064894391673825</v>
      </c>
      <c r="O29" s="197">
        <f t="shared" si="12"/>
        <v>17.064894391673825</v>
      </c>
      <c r="P29" s="197">
        <f t="shared" si="4"/>
        <v>17.064894391673825</v>
      </c>
      <c r="Q29" s="3">
        <f t="shared" si="13"/>
        <v>17.064894391673825</v>
      </c>
      <c r="R29" s="183">
        <f t="shared" si="14"/>
        <v>17.064894391673825</v>
      </c>
      <c r="S29" s="183">
        <f t="shared" si="15"/>
        <v>17.064894391673825</v>
      </c>
      <c r="T29" s="183">
        <f t="shared" si="16"/>
        <v>17.064894391673825</v>
      </c>
      <c r="U29" s="178">
        <f>IF(VLEESEENDEN!$H$15="ja",L29-((E29-G29*95%-I29)/E29*L29)*$R$6,L29-((E29-G29*80%-I29)/E29*L29)*$R$6)</f>
        <v>17.064894391673825</v>
      </c>
      <c r="V29" s="115">
        <f t="shared" si="5"/>
        <v>17.064894391673825</v>
      </c>
      <c r="W29" s="194">
        <f t="shared" si="17"/>
        <v>17.064894391673825</v>
      </c>
      <c r="X29" s="223">
        <f t="shared" si="18"/>
        <v>1</v>
      </c>
    </row>
    <row r="30" spans="1:32" x14ac:dyDescent="0.2">
      <c r="A30" s="1">
        <v>21</v>
      </c>
      <c r="B30" s="1">
        <v>1110</v>
      </c>
      <c r="E30" s="4">
        <f t="shared" si="8"/>
        <v>1.3695869130849998</v>
      </c>
      <c r="F30" s="4">
        <f t="shared" si="9"/>
        <v>1.3695869130849998</v>
      </c>
      <c r="G30" s="185">
        <f t="shared" si="0"/>
        <v>0</v>
      </c>
      <c r="H30" s="185">
        <f t="shared" si="1"/>
        <v>0</v>
      </c>
      <c r="I30" s="185">
        <f t="shared" si="2"/>
        <v>0</v>
      </c>
      <c r="J30" s="3">
        <v>1.6244554532147113</v>
      </c>
      <c r="K30" s="135">
        <v>1</v>
      </c>
      <c r="L30" s="3">
        <f t="shared" si="10"/>
        <v>19.489536463404892</v>
      </c>
      <c r="M30" s="197">
        <f t="shared" si="11"/>
        <v>19.489536463404892</v>
      </c>
      <c r="N30" s="137">
        <f t="shared" si="3"/>
        <v>19.489536463404892</v>
      </c>
      <c r="O30" s="197">
        <f t="shared" si="12"/>
        <v>19.489536463404892</v>
      </c>
      <c r="P30" s="197">
        <f t="shared" si="4"/>
        <v>19.489536463404892</v>
      </c>
      <c r="Q30" s="3">
        <f t="shared" si="13"/>
        <v>19.489536463404892</v>
      </c>
      <c r="R30" s="183">
        <f t="shared" si="14"/>
        <v>19.489536463404892</v>
      </c>
      <c r="S30" s="183">
        <f t="shared" si="15"/>
        <v>19.489536463404892</v>
      </c>
      <c r="T30" s="183">
        <f t="shared" si="16"/>
        <v>19.489536463404892</v>
      </c>
      <c r="U30" s="178">
        <f>IF(VLEESEENDEN!$H$15="ja",L30-((E30-G30*95%-I30)/E30*L30)*$R$6,L30-((E30-G30*80%-I30)/E30*L30)*$R$6)</f>
        <v>19.489536463404892</v>
      </c>
      <c r="V30" s="115">
        <f t="shared" si="5"/>
        <v>19.489536463404892</v>
      </c>
      <c r="W30" s="194">
        <f t="shared" si="17"/>
        <v>19.489536463404892</v>
      </c>
      <c r="X30" s="223">
        <f t="shared" si="18"/>
        <v>1</v>
      </c>
    </row>
    <row r="31" spans="1:32" x14ac:dyDescent="0.2">
      <c r="A31" s="1">
        <v>22</v>
      </c>
      <c r="B31" s="1">
        <v>1200</v>
      </c>
      <c r="E31" s="4">
        <f t="shared" si="8"/>
        <v>1.5323302571949999</v>
      </c>
      <c r="F31" s="4">
        <f t="shared" si="9"/>
        <v>1.5323302571949999</v>
      </c>
      <c r="G31" s="185">
        <f t="shared" si="0"/>
        <v>0</v>
      </c>
      <c r="H31" s="185">
        <f t="shared" si="1"/>
        <v>0</v>
      </c>
      <c r="I31" s="185">
        <f t="shared" si="2"/>
        <v>0</v>
      </c>
      <c r="J31" s="3">
        <v>1.6640140834809463</v>
      </c>
      <c r="K31" s="135">
        <v>1</v>
      </c>
      <c r="L31" s="3">
        <f t="shared" si="10"/>
        <v>22.336415565804195</v>
      </c>
      <c r="M31" s="197">
        <f t="shared" si="11"/>
        <v>22.336415565804195</v>
      </c>
      <c r="N31" s="137">
        <f t="shared" si="3"/>
        <v>22.336415565804195</v>
      </c>
      <c r="O31" s="197">
        <f t="shared" si="12"/>
        <v>22.336415565804195</v>
      </c>
      <c r="P31" s="197">
        <f t="shared" si="4"/>
        <v>22.336415565804195</v>
      </c>
      <c r="Q31" s="3">
        <f t="shared" si="13"/>
        <v>22.336415565804195</v>
      </c>
      <c r="R31" s="183">
        <f t="shared" si="14"/>
        <v>22.336415565804195</v>
      </c>
      <c r="S31" s="183">
        <f t="shared" si="15"/>
        <v>22.336415565804195</v>
      </c>
      <c r="T31" s="183">
        <f t="shared" si="16"/>
        <v>22.336415565804195</v>
      </c>
      <c r="U31" s="178">
        <f>IF(VLEESEENDEN!$H$15="ja",L31-((E31-G31*95%-I31)/E31*L31)*$R$6,L31-((E31-G31*80%-I31)/E31*L31)*$R$6)</f>
        <v>22.336415565804195</v>
      </c>
      <c r="V31" s="115">
        <f t="shared" si="5"/>
        <v>22.336415565804195</v>
      </c>
      <c r="W31" s="194">
        <f t="shared" si="17"/>
        <v>22.336415565804195</v>
      </c>
      <c r="X31" s="223">
        <f t="shared" si="18"/>
        <v>1</v>
      </c>
    </row>
    <row r="32" spans="1:32" x14ac:dyDescent="0.2">
      <c r="A32" s="1">
        <v>23</v>
      </c>
      <c r="B32" s="1">
        <v>1285</v>
      </c>
      <c r="E32" s="4">
        <f t="shared" si="8"/>
        <v>1.70147874241</v>
      </c>
      <c r="F32" s="4">
        <f t="shared" si="9"/>
        <v>1.70147874241</v>
      </c>
      <c r="G32" s="185">
        <f t="shared" si="0"/>
        <v>0</v>
      </c>
      <c r="H32" s="185">
        <f t="shared" si="1"/>
        <v>0</v>
      </c>
      <c r="I32" s="185">
        <f t="shared" si="2"/>
        <v>0</v>
      </c>
      <c r="J32" s="3">
        <v>1.7027136746952953</v>
      </c>
      <c r="K32" s="135">
        <v>1</v>
      </c>
      <c r="L32" s="3">
        <f t="shared" si="10"/>
        <v>25.378868627886579</v>
      </c>
      <c r="M32" s="197">
        <f t="shared" si="11"/>
        <v>25.378868627886579</v>
      </c>
      <c r="N32" s="137">
        <f t="shared" si="3"/>
        <v>25.378868627886579</v>
      </c>
      <c r="O32" s="197">
        <f t="shared" si="12"/>
        <v>25.378868627886579</v>
      </c>
      <c r="P32" s="197">
        <f t="shared" si="4"/>
        <v>25.378868627886579</v>
      </c>
      <c r="Q32" s="3">
        <f t="shared" si="13"/>
        <v>25.378868627886579</v>
      </c>
      <c r="R32" s="183">
        <f t="shared" si="14"/>
        <v>25.378868627886579</v>
      </c>
      <c r="S32" s="183">
        <f t="shared" si="15"/>
        <v>25.378868627886579</v>
      </c>
      <c r="T32" s="183">
        <f t="shared" si="16"/>
        <v>25.378868627886579</v>
      </c>
      <c r="U32" s="178">
        <f>IF(VLEESEENDEN!$H$15="ja",L32-((E32-G32*95%-I32)/E32*L32)*$R$6,L32-((E32-G32*80%-I32)/E32*L32)*$R$6)</f>
        <v>25.378868627886579</v>
      </c>
      <c r="V32" s="115">
        <f t="shared" si="5"/>
        <v>25.378868627886579</v>
      </c>
      <c r="W32" s="194">
        <f t="shared" si="17"/>
        <v>25.378868627886579</v>
      </c>
      <c r="X32" s="223">
        <f t="shared" si="18"/>
        <v>1</v>
      </c>
    </row>
    <row r="33" spans="1:24" x14ac:dyDescent="0.2">
      <c r="A33" s="1">
        <v>24</v>
      </c>
      <c r="B33" s="1">
        <v>1370</v>
      </c>
      <c r="E33" s="4">
        <f t="shared" si="8"/>
        <v>1.8870750268250001</v>
      </c>
      <c r="F33" s="4">
        <f t="shared" si="9"/>
        <v>1.8870750268250001</v>
      </c>
      <c r="G33" s="185">
        <f t="shared" si="0"/>
        <v>0</v>
      </c>
      <c r="H33" s="185">
        <f t="shared" si="1"/>
        <v>0</v>
      </c>
      <c r="I33" s="211">
        <f t="shared" si="2"/>
        <v>0</v>
      </c>
      <c r="J33" s="3">
        <v>1.7406090664597387</v>
      </c>
      <c r="K33" s="135">
        <v>1</v>
      </c>
      <c r="L33" s="3">
        <f t="shared" si="10"/>
        <v>28.773620730844627</v>
      </c>
      <c r="M33" s="197">
        <f t="shared" si="11"/>
        <v>28.773620730844627</v>
      </c>
      <c r="N33" s="137">
        <f t="shared" si="3"/>
        <v>28.773620730844627</v>
      </c>
      <c r="O33" s="197">
        <f t="shared" si="12"/>
        <v>28.773620730844627</v>
      </c>
      <c r="P33" s="197">
        <f t="shared" si="4"/>
        <v>28.773620730844627</v>
      </c>
      <c r="Q33" s="3">
        <f t="shared" si="13"/>
        <v>28.773620730844627</v>
      </c>
      <c r="R33" s="183">
        <f t="shared" si="14"/>
        <v>28.773620730844627</v>
      </c>
      <c r="S33" s="183">
        <f t="shared" si="15"/>
        <v>28.773620730844627</v>
      </c>
      <c r="T33" s="183">
        <f t="shared" si="16"/>
        <v>28.773620730844627</v>
      </c>
      <c r="U33" s="178">
        <f>IF(VLEESEENDEN!$H$15="ja",L33-((E33-G33*95%-I33)/E33*L33)*$R$6,L33-((E33-G33*80%-I33)/E33*L33)*$R$6)</f>
        <v>28.773620730844627</v>
      </c>
      <c r="V33" s="115">
        <f t="shared" si="5"/>
        <v>28.773620730844627</v>
      </c>
      <c r="W33" s="194">
        <f t="shared" si="17"/>
        <v>28.773620730844627</v>
      </c>
      <c r="X33" s="223">
        <f t="shared" si="18"/>
        <v>1</v>
      </c>
    </row>
    <row r="34" spans="1:24" x14ac:dyDescent="0.2">
      <c r="A34" s="1">
        <v>25</v>
      </c>
      <c r="B34" s="1">
        <v>1455</v>
      </c>
      <c r="E34" s="4">
        <f t="shared" si="8"/>
        <v>2.09053405444</v>
      </c>
      <c r="F34" s="4">
        <f t="shared" si="9"/>
        <v>2.09053405444</v>
      </c>
      <c r="G34" s="185">
        <f t="shared" si="0"/>
        <v>0</v>
      </c>
      <c r="H34" s="185">
        <f t="shared" si="1"/>
        <v>0</v>
      </c>
      <c r="I34" s="185">
        <f t="shared" si="2"/>
        <v>0</v>
      </c>
      <c r="J34" s="3">
        <v>1.7777494772651317</v>
      </c>
      <c r="K34" s="135">
        <v>1</v>
      </c>
      <c r="L34" s="3">
        <f t="shared" si="10"/>
        <v>32.55606540497444</v>
      </c>
      <c r="M34" s="197">
        <f t="shared" si="11"/>
        <v>32.55606540497444</v>
      </c>
      <c r="N34" s="137">
        <f t="shared" si="3"/>
        <v>32.55606540497444</v>
      </c>
      <c r="O34" s="197">
        <f t="shared" si="12"/>
        <v>32.55606540497444</v>
      </c>
      <c r="P34" s="197">
        <f t="shared" si="4"/>
        <v>32.55606540497444</v>
      </c>
      <c r="Q34" s="3">
        <f t="shared" si="13"/>
        <v>32.55606540497444</v>
      </c>
      <c r="R34" s="183">
        <f t="shared" si="14"/>
        <v>32.55606540497444</v>
      </c>
      <c r="S34" s="183">
        <f t="shared" si="15"/>
        <v>32.55606540497444</v>
      </c>
      <c r="T34" s="183">
        <f t="shared" si="16"/>
        <v>32.55606540497444</v>
      </c>
      <c r="U34" s="178">
        <f>IF(VLEESEENDEN!$H$15="ja",L34-((E34-G34*95%-I34)/E34*L34)*$R$6,L34-((E34-G34*80%-I34)/E34*L34)*$R$6)</f>
        <v>32.55606540497444</v>
      </c>
      <c r="V34" s="115">
        <f>L34-((E34-G34-I34)/E34*L34)*$R$6</f>
        <v>32.55606540497444</v>
      </c>
      <c r="W34" s="194">
        <f t="shared" si="17"/>
        <v>32.55606540497444</v>
      </c>
      <c r="X34" s="223">
        <f t="shared" si="18"/>
        <v>1</v>
      </c>
    </row>
    <row r="35" spans="1:24" x14ac:dyDescent="0.2">
      <c r="A35" s="1">
        <v>26</v>
      </c>
      <c r="B35" s="1">
        <v>1540</v>
      </c>
      <c r="E35" s="4">
        <f t="shared" si="8"/>
        <v>2.3132707692550003</v>
      </c>
      <c r="F35" s="4">
        <f t="shared" si="9"/>
        <v>2.3132707692550003</v>
      </c>
      <c r="G35" s="185">
        <f t="shared" si="0"/>
        <v>0</v>
      </c>
      <c r="H35" s="185">
        <f>IF(E35&lt;$R$5,E35-G35,$R$5)</f>
        <v>0</v>
      </c>
      <c r="I35" s="185">
        <f t="shared" si="2"/>
        <v>0</v>
      </c>
      <c r="J35" s="3">
        <v>1.8141792808343342</v>
      </c>
      <c r="K35" s="135">
        <v>1</v>
      </c>
      <c r="L35" s="3">
        <f t="shared" si="10"/>
        <v>36.762986008749003</v>
      </c>
      <c r="M35" s="197">
        <f t="shared" si="11"/>
        <v>36.762986008749003</v>
      </c>
      <c r="N35" s="137">
        <f t="shared" si="3"/>
        <v>36.762986008749003</v>
      </c>
      <c r="O35" s="197">
        <f t="shared" si="12"/>
        <v>36.762986008749003</v>
      </c>
      <c r="P35" s="197">
        <f t="shared" si="4"/>
        <v>36.762986008749003</v>
      </c>
      <c r="Q35" s="3">
        <f t="shared" si="13"/>
        <v>36.762986008749003</v>
      </c>
      <c r="R35" s="183">
        <f t="shared" si="14"/>
        <v>36.762986008749003</v>
      </c>
      <c r="S35" s="183">
        <f t="shared" si="15"/>
        <v>36.762986008749003</v>
      </c>
      <c r="T35" s="183">
        <f t="shared" si="16"/>
        <v>36.762986008749003</v>
      </c>
      <c r="U35" s="178">
        <f>IF(VLEESEENDEN!$H$15="ja",L35-((E35-G35*95%-I35)/E35*L35)*$R$6,L35-((E35-G35*80%-I35)/E35*L35)*$R$6)</f>
        <v>36.762986008749003</v>
      </c>
      <c r="V35" s="115">
        <f t="shared" ref="V35:V51" si="23">L35-((E35-G35-I35)/E35*L35)*$R$6</f>
        <v>36.762986008749003</v>
      </c>
      <c r="W35" s="194">
        <f t="shared" si="17"/>
        <v>36.762986008749003</v>
      </c>
      <c r="X35" s="223">
        <f t="shared" si="18"/>
        <v>1</v>
      </c>
    </row>
    <row r="36" spans="1:24" x14ac:dyDescent="0.2">
      <c r="A36" s="1">
        <v>27</v>
      </c>
      <c r="B36" s="1">
        <v>1625</v>
      </c>
      <c r="E36" s="4">
        <f t="shared" si="8"/>
        <v>2.55670011527</v>
      </c>
      <c r="F36" s="4">
        <f t="shared" si="9"/>
        <v>2.55670011527</v>
      </c>
      <c r="G36" s="185">
        <f>IF($R$4&gt;0&lt;E36,E36,IF($R$4&gt;E36,E36,$R$4))</f>
        <v>0</v>
      </c>
      <c r="H36" s="185">
        <f t="shared" ref="H36:H51" si="24">IF(E36&lt;$R$5,E36-G36,$R$5)</f>
        <v>0</v>
      </c>
      <c r="I36" s="185">
        <f t="shared" si="2"/>
        <v>0</v>
      </c>
      <c r="J36" s="3">
        <v>1.8499386496964256</v>
      </c>
      <c r="K36" s="135">
        <v>1</v>
      </c>
      <c r="L36" s="3">
        <f t="shared" si="10"/>
        <v>41.432508024150415</v>
      </c>
      <c r="M36" s="197">
        <f t="shared" si="11"/>
        <v>41.432508024150415</v>
      </c>
      <c r="N36" s="137">
        <f t="shared" si="3"/>
        <v>41.432508024150415</v>
      </c>
      <c r="O36" s="197">
        <f t="shared" si="12"/>
        <v>41.432508024150415</v>
      </c>
      <c r="P36" s="197">
        <f t="shared" si="4"/>
        <v>41.432508024150415</v>
      </c>
      <c r="Q36" s="3">
        <f t="shared" si="13"/>
        <v>41.432508024150415</v>
      </c>
      <c r="R36" s="183">
        <f t="shared" si="14"/>
        <v>41.432508024150415</v>
      </c>
      <c r="S36" s="183">
        <f t="shared" si="15"/>
        <v>41.432508024150415</v>
      </c>
      <c r="T36" s="183">
        <f t="shared" si="16"/>
        <v>41.432508024150415</v>
      </c>
      <c r="U36" s="178">
        <f>IF(VLEESEENDEN!$H$15="ja",L36-((E36-G36*95%-I36)/E36*L36)*$R$6,L36-((E36-G36*80%-I36)/E36*L36)*$R$6)</f>
        <v>41.432508024150415</v>
      </c>
      <c r="V36" s="115">
        <f t="shared" si="23"/>
        <v>41.432508024150415</v>
      </c>
      <c r="W36" s="194">
        <f t="shared" si="17"/>
        <v>41.432508024150415</v>
      </c>
      <c r="X36" s="223">
        <f t="shared" si="18"/>
        <v>1</v>
      </c>
    </row>
    <row r="37" spans="1:24" x14ac:dyDescent="0.2">
      <c r="A37" s="1">
        <v>28</v>
      </c>
      <c r="B37" s="1">
        <v>1710</v>
      </c>
      <c r="E37" s="4">
        <f t="shared" si="8"/>
        <v>2.8222370364850002</v>
      </c>
      <c r="F37" s="4">
        <f t="shared" si="9"/>
        <v>2.8222370364850002</v>
      </c>
      <c r="G37" s="185">
        <f t="shared" ref="G37:G51" si="25">IF($R$4&gt;0&lt;E37,E37,IF($R$4&gt;E37,E37,$R$4))</f>
        <v>0</v>
      </c>
      <c r="H37" s="185">
        <f t="shared" si="24"/>
        <v>0</v>
      </c>
      <c r="I37" s="185">
        <f t="shared" si="2"/>
        <v>0</v>
      </c>
      <c r="J37" s="3">
        <v>1.8850640927470739</v>
      </c>
      <c r="K37" s="135">
        <v>1</v>
      </c>
      <c r="L37" s="3">
        <f t="shared" si="10"/>
        <v>46.604055840601376</v>
      </c>
      <c r="M37" s="197">
        <f t="shared" si="11"/>
        <v>46.604055840601376</v>
      </c>
      <c r="N37" s="137">
        <f t="shared" si="3"/>
        <v>46.604055840601376</v>
      </c>
      <c r="O37" s="197">
        <f t="shared" si="12"/>
        <v>46.604055840601376</v>
      </c>
      <c r="P37" s="197">
        <f t="shared" si="4"/>
        <v>46.604055840601376</v>
      </c>
      <c r="Q37" s="3">
        <f t="shared" si="13"/>
        <v>46.604055840601376</v>
      </c>
      <c r="R37" s="183">
        <f t="shared" si="14"/>
        <v>46.604055840601376</v>
      </c>
      <c r="S37" s="183">
        <f t="shared" si="15"/>
        <v>46.604055840601376</v>
      </c>
      <c r="T37" s="183">
        <f t="shared" si="16"/>
        <v>46.604055840601376</v>
      </c>
      <c r="U37" s="178">
        <f>IF(VLEESEENDEN!$H$15="ja",L37-((E37-G37*95%-I37)/E37*L37)*$R$6,L37-((E37-G37*80%-I37)/E37*L37)*$R$6)</f>
        <v>46.604055840601376</v>
      </c>
      <c r="V37" s="115">
        <f t="shared" si="23"/>
        <v>46.604055840601376</v>
      </c>
      <c r="W37" s="194">
        <f t="shared" si="17"/>
        <v>46.604055840601376</v>
      </c>
      <c r="X37" s="223">
        <f t="shared" si="18"/>
        <v>1</v>
      </c>
    </row>
    <row r="38" spans="1:24" x14ac:dyDescent="0.2">
      <c r="A38" s="1">
        <v>29</v>
      </c>
      <c r="B38" s="1">
        <v>1800</v>
      </c>
      <c r="E38" s="4">
        <f t="shared" si="8"/>
        <v>3.1290627485950004</v>
      </c>
      <c r="F38" s="4">
        <f t="shared" si="9"/>
        <v>3.1290627485950004</v>
      </c>
      <c r="G38" s="185">
        <f t="shared" si="25"/>
        <v>0</v>
      </c>
      <c r="H38" s="185">
        <f t="shared" si="24"/>
        <v>0</v>
      </c>
      <c r="I38" s="185">
        <f t="shared" si="2"/>
        <v>0</v>
      </c>
      <c r="J38" s="3">
        <v>1.9195889074002137</v>
      </c>
      <c r="K38" s="135">
        <v>1</v>
      </c>
      <c r="L38" s="3">
        <f t="shared" si="10"/>
        <v>52.617063890596754</v>
      </c>
      <c r="M38" s="197">
        <f t="shared" si="11"/>
        <v>52.617063890596754</v>
      </c>
      <c r="N38" s="137">
        <f>(((($J38*(1-$R$2))-$J$3)/1000*$F38*24*365*$K38)*(1-R$4))+(((($J38*(1-$R$2))-$J$3)/1000*$G38*24*365*$K38)*(1-R$3))</f>
        <v>52.617063890596754</v>
      </c>
      <c r="O38" s="197">
        <f t="shared" si="12"/>
        <v>52.617063890596754</v>
      </c>
      <c r="P38" s="197">
        <f t="shared" si="4"/>
        <v>52.617063890596754</v>
      </c>
      <c r="Q38" s="3">
        <f t="shared" si="13"/>
        <v>52.617063890596754</v>
      </c>
      <c r="R38" s="183">
        <f t="shared" si="14"/>
        <v>52.617063890596754</v>
      </c>
      <c r="S38" s="183">
        <f t="shared" si="15"/>
        <v>52.617063890596754</v>
      </c>
      <c r="T38" s="183">
        <f t="shared" si="16"/>
        <v>52.617063890596754</v>
      </c>
      <c r="U38" s="178">
        <f>IF(VLEESEENDEN!$H$15="ja",L38-((E38-G38*95%-I38)/E38*L38)*$R$6,L38-((E38-G38*80%-I38)/E38*L38)*$R$6)</f>
        <v>52.617063890596754</v>
      </c>
      <c r="V38" s="115">
        <f t="shared" si="23"/>
        <v>52.617063890596754</v>
      </c>
      <c r="W38" s="194">
        <f t="shared" si="17"/>
        <v>52.617063890596754</v>
      </c>
      <c r="X38" s="223">
        <f t="shared" si="18"/>
        <v>1</v>
      </c>
    </row>
    <row r="39" spans="1:24" x14ac:dyDescent="0.2">
      <c r="A39" s="1">
        <v>30</v>
      </c>
      <c r="B39" s="1">
        <v>1885</v>
      </c>
      <c r="E39" s="4">
        <f t="shared" si="8"/>
        <v>3.44457062581</v>
      </c>
      <c r="F39" s="4">
        <f t="shared" si="9"/>
        <v>3.44457062581</v>
      </c>
      <c r="G39" s="185">
        <f t="shared" si="25"/>
        <v>0</v>
      </c>
      <c r="H39" s="185">
        <f t="shared" si="24"/>
        <v>0</v>
      </c>
      <c r="I39" s="185">
        <f t="shared" si="2"/>
        <v>0</v>
      </c>
      <c r="J39" s="3">
        <v>1.9535435623623054</v>
      </c>
      <c r="K39" s="135">
        <v>1</v>
      </c>
      <c r="L39" s="3">
        <f t="shared" si="10"/>
        <v>58.947080435303981</v>
      </c>
      <c r="M39" s="197">
        <f t="shared" si="11"/>
        <v>58.947080435303981</v>
      </c>
      <c r="N39" s="137">
        <f>(((($J39*(1-$R$2))-$J$3)/1000*$F39*24*365*$K39)*(1-R$4))+(((($J39*(1-$R$2))-$J$3)/1000*$G39*24*365*$K39)*(1-R$3))</f>
        <v>58.947080435303981</v>
      </c>
      <c r="O39" s="197">
        <f t="shared" si="12"/>
        <v>58.947080435303981</v>
      </c>
      <c r="P39" s="197">
        <f t="shared" si="4"/>
        <v>58.947080435303981</v>
      </c>
      <c r="Q39" s="3">
        <f t="shared" si="13"/>
        <v>58.947080435303981</v>
      </c>
      <c r="R39" s="183">
        <f t="shared" si="14"/>
        <v>58.947080435303981</v>
      </c>
      <c r="S39" s="183">
        <f t="shared" si="15"/>
        <v>58.947080435303981</v>
      </c>
      <c r="T39" s="183">
        <f t="shared" si="16"/>
        <v>58.947080435303981</v>
      </c>
      <c r="U39" s="178">
        <f>IF(VLEESEENDEN!$H$15="ja",L39-((E39-G39*95%-I39)/E39*L39)*$R$6,L39-((E39-G39*80%-I39)/E39*L39)*$R$6)</f>
        <v>58.947080435303981</v>
      </c>
      <c r="V39" s="115">
        <f t="shared" si="23"/>
        <v>58.947080435303981</v>
      </c>
      <c r="W39" s="194">
        <f t="shared" si="17"/>
        <v>58.947080435303981</v>
      </c>
      <c r="X39" s="223">
        <f t="shared" si="18"/>
        <v>1</v>
      </c>
    </row>
    <row r="40" spans="1:24" x14ac:dyDescent="0.2">
      <c r="A40" s="1">
        <v>31</v>
      </c>
      <c r="B40" s="1">
        <v>1970</v>
      </c>
      <c r="E40" s="4">
        <f t="shared" si="8"/>
        <v>3.7865141422250002</v>
      </c>
      <c r="F40" s="4">
        <f t="shared" si="9"/>
        <v>3.7865141422250002</v>
      </c>
      <c r="G40" s="185">
        <f t="shared" si="25"/>
        <v>0</v>
      </c>
      <c r="H40" s="185">
        <f t="shared" si="24"/>
        <v>0</v>
      </c>
      <c r="I40" s="185">
        <f t="shared" si="2"/>
        <v>0</v>
      </c>
      <c r="J40" s="3">
        <v>1.9869560236198514</v>
      </c>
      <c r="K40" s="135">
        <v>1</v>
      </c>
      <c r="L40" s="3">
        <f t="shared" si="10"/>
        <v>65.907060850721706</v>
      </c>
      <c r="M40" s="197">
        <f t="shared" si="11"/>
        <v>65.907060850721706</v>
      </c>
      <c r="N40" s="137">
        <f>(((($J40*(1-$R$2))-$J$3)/1000*$F40*24*365*$K40)*(1-R$4))+(((($J40*(1-$R$2))-$J$3)/1000*$G40*24*365*$K40)*(1-R$3))</f>
        <v>65.907060850721706</v>
      </c>
      <c r="O40" s="197">
        <f t="shared" si="12"/>
        <v>65.907060850721706</v>
      </c>
      <c r="P40" s="197">
        <f t="shared" si="4"/>
        <v>65.907060850721706</v>
      </c>
      <c r="Q40" s="3">
        <f t="shared" si="13"/>
        <v>65.907060850721706</v>
      </c>
      <c r="R40" s="183">
        <f t="shared" si="14"/>
        <v>65.907060850721706</v>
      </c>
      <c r="S40" s="183">
        <f t="shared" si="15"/>
        <v>65.907060850721706</v>
      </c>
      <c r="T40" s="183">
        <f t="shared" si="16"/>
        <v>65.907060850721706</v>
      </c>
      <c r="U40" s="178">
        <f>IF(VLEESEENDEN!$H$15="ja",L40-((E40-G40*95%-I40)/E40*L40)*$R$6,L40-((E40-G40*80%-I40)/E40*L40)*$R$6)</f>
        <v>65.907060850721706</v>
      </c>
      <c r="V40" s="115">
        <f t="shared" si="23"/>
        <v>65.907060850721706</v>
      </c>
      <c r="W40" s="194">
        <f t="shared" si="17"/>
        <v>65.907060850721706</v>
      </c>
      <c r="X40" s="223">
        <f t="shared" si="18"/>
        <v>1</v>
      </c>
    </row>
    <row r="41" spans="1:24" x14ac:dyDescent="0.2">
      <c r="A41" s="1">
        <v>32</v>
      </c>
      <c r="B41" s="1">
        <v>2055</v>
      </c>
      <c r="E41" s="4">
        <f t="shared" si="8"/>
        <v>4.1563082418400006</v>
      </c>
      <c r="F41" s="4">
        <f t="shared" si="9"/>
        <v>4.1563082418400006</v>
      </c>
      <c r="G41" s="185">
        <f t="shared" si="25"/>
        <v>0</v>
      </c>
      <c r="H41" s="185">
        <f t="shared" si="24"/>
        <v>0</v>
      </c>
      <c r="I41" s="185">
        <f t="shared" si="2"/>
        <v>0</v>
      </c>
      <c r="J41" s="3">
        <v>2.0198520336153374</v>
      </c>
      <c r="K41" s="135">
        <v>1</v>
      </c>
      <c r="L41" s="3">
        <f t="shared" si="10"/>
        <v>73.541318254407372</v>
      </c>
      <c r="M41" s="197">
        <f t="shared" si="11"/>
        <v>73.541318254407372</v>
      </c>
      <c r="N41" s="137">
        <f t="shared" ref="N41:N51" si="26">(((($J41*(1-$R$2))-$J$3)/1000*$F41*24*365*$K41)*(1-R$5))+(((($J41*(1-$R$2))-$J$3)/1000*$G41*24*365*$K41)*(1-R$3))</f>
        <v>73.541318254407372</v>
      </c>
      <c r="O41" s="197">
        <f t="shared" si="12"/>
        <v>73.541318254407372</v>
      </c>
      <c r="P41" s="197">
        <f t="shared" si="4"/>
        <v>73.541318254407372</v>
      </c>
      <c r="Q41" s="3">
        <f t="shared" si="13"/>
        <v>73.541318254407372</v>
      </c>
      <c r="R41" s="183">
        <f t="shared" si="14"/>
        <v>73.541318254407372</v>
      </c>
      <c r="S41" s="183">
        <f t="shared" si="15"/>
        <v>73.541318254407372</v>
      </c>
      <c r="T41" s="183">
        <f t="shared" si="16"/>
        <v>73.541318254407372</v>
      </c>
      <c r="U41" s="178">
        <f>IF(VLEESEENDEN!$H$15="ja",L41-((E41-G41*95%-I41)/E41*L41)*$R$6,L41-((E41-G41*80%-I41)/E41*L41)*$R$6)</f>
        <v>73.541318254407372</v>
      </c>
      <c r="V41" s="115">
        <f t="shared" si="23"/>
        <v>73.541318254407372</v>
      </c>
      <c r="W41" s="194">
        <f t="shared" si="17"/>
        <v>73.541318254407372</v>
      </c>
      <c r="X41" s="223">
        <f t="shared" si="18"/>
        <v>1</v>
      </c>
    </row>
    <row r="42" spans="1:24" x14ac:dyDescent="0.2">
      <c r="A42" s="1">
        <v>33</v>
      </c>
      <c r="B42" s="1">
        <v>2140</v>
      </c>
      <c r="E42" s="4">
        <f t="shared" si="8"/>
        <v>4.5553678686550008</v>
      </c>
      <c r="F42" s="4">
        <f t="shared" si="9"/>
        <v>4.5553678686550008</v>
      </c>
      <c r="G42" s="185">
        <f t="shared" si="25"/>
        <v>0</v>
      </c>
      <c r="H42" s="185">
        <f t="shared" si="24"/>
        <v>0</v>
      </c>
      <c r="I42" s="185">
        <f t="shared" ref="I42:I50" si="27">MIN(R$5,E42-G42)</f>
        <v>0</v>
      </c>
      <c r="J42" s="3">
        <v>2.0522553515790203</v>
      </c>
      <c r="K42" s="135">
        <v>1</v>
      </c>
      <c r="L42" s="3">
        <f t="shared" si="10"/>
        <v>81.895296040879074</v>
      </c>
      <c r="M42" s="197">
        <f t="shared" si="11"/>
        <v>81.895296040879074</v>
      </c>
      <c r="N42" s="137">
        <f t="shared" si="26"/>
        <v>81.895296040879074</v>
      </c>
      <c r="O42" s="197">
        <f t="shared" si="12"/>
        <v>81.895296040879074</v>
      </c>
      <c r="P42" s="197">
        <f t="shared" si="4"/>
        <v>81.895296040879074</v>
      </c>
      <c r="Q42" s="3">
        <f t="shared" si="13"/>
        <v>81.895296040879074</v>
      </c>
      <c r="R42" s="183">
        <f t="shared" si="14"/>
        <v>81.895296040879074</v>
      </c>
      <c r="S42" s="183">
        <f t="shared" si="15"/>
        <v>81.895296040879074</v>
      </c>
      <c r="T42" s="183">
        <f t="shared" si="16"/>
        <v>81.895296040879074</v>
      </c>
      <c r="U42" s="178">
        <f>IF(VLEESEENDEN!$H$15="ja",L42-((E42-G42*95%-I42)/E42*L42)*$R$6,L42-((E42-G42*80%-I42)/E42*L42)*$R$6)</f>
        <v>81.895296040879074</v>
      </c>
      <c r="V42" s="115">
        <f t="shared" si="23"/>
        <v>81.895296040879074</v>
      </c>
      <c r="W42" s="194">
        <f t="shared" si="17"/>
        <v>81.895296040879074</v>
      </c>
      <c r="X42" s="223">
        <f t="shared" si="18"/>
        <v>1</v>
      </c>
    </row>
    <row r="43" spans="1:24" x14ac:dyDescent="0.2">
      <c r="A43" s="1">
        <v>34</v>
      </c>
      <c r="B43" s="1">
        <v>2225</v>
      </c>
      <c r="E43" s="4">
        <f t="shared" si="8"/>
        <v>4.9851079666700002</v>
      </c>
      <c r="F43" s="4">
        <f t="shared" si="9"/>
        <v>4.9851079666700002</v>
      </c>
      <c r="G43" s="185">
        <f t="shared" si="25"/>
        <v>0</v>
      </c>
      <c r="H43" s="185">
        <f t="shared" si="24"/>
        <v>0</v>
      </c>
      <c r="I43" s="185">
        <f t="shared" si="27"/>
        <v>0</v>
      </c>
      <c r="J43" s="3">
        <v>2.0841879614286749</v>
      </c>
      <c r="K43" s="135">
        <v>1</v>
      </c>
      <c r="L43" s="3">
        <f t="shared" si="10"/>
        <v>91.015541612468752</v>
      </c>
      <c r="M43" s="197">
        <f t="shared" si="11"/>
        <v>91.015541612468752</v>
      </c>
      <c r="N43" s="137">
        <f t="shared" si="26"/>
        <v>91.015541612468752</v>
      </c>
      <c r="O43" s="197">
        <f t="shared" si="12"/>
        <v>91.015541612468752</v>
      </c>
      <c r="P43" s="197">
        <f t="shared" si="4"/>
        <v>91.015541612468752</v>
      </c>
      <c r="Q43" s="3">
        <f t="shared" si="13"/>
        <v>91.015541612468752</v>
      </c>
      <c r="R43" s="183">
        <f t="shared" si="14"/>
        <v>91.015541612468752</v>
      </c>
      <c r="S43" s="183">
        <f t="shared" si="15"/>
        <v>91.015541612468752</v>
      </c>
      <c r="T43" s="183">
        <f t="shared" si="16"/>
        <v>91.015541612468752</v>
      </c>
      <c r="U43" s="178">
        <f>IF(VLEESEENDEN!$H$15="ja",L43-((E43-G43*95%-I43)/E43*L43)*$R$6,L43-((E43-G43*80%-I43)/E43*L43)*$R$6)</f>
        <v>91.015541612468752</v>
      </c>
      <c r="V43" s="115">
        <f t="shared" si="23"/>
        <v>91.015541612468752</v>
      </c>
      <c r="W43" s="194">
        <f t="shared" si="17"/>
        <v>91.015541612468752</v>
      </c>
      <c r="X43" s="223">
        <f t="shared" si="18"/>
        <v>1</v>
      </c>
    </row>
    <row r="44" spans="1:24" x14ac:dyDescent="0.2">
      <c r="A44" s="1">
        <v>35</v>
      </c>
      <c r="B44" s="1">
        <v>2310</v>
      </c>
      <c r="E44" s="4">
        <f t="shared" si="8"/>
        <v>5.4469434798850012</v>
      </c>
      <c r="F44" s="4">
        <f t="shared" si="9"/>
        <v>5.4469434798850012</v>
      </c>
      <c r="G44" s="185">
        <f t="shared" si="25"/>
        <v>0</v>
      </c>
      <c r="H44" s="185">
        <f t="shared" si="24"/>
        <v>0</v>
      </c>
      <c r="I44" s="185">
        <f t="shared" si="27"/>
        <v>0</v>
      </c>
      <c r="J44" s="3">
        <v>2.1156702524343451</v>
      </c>
      <c r="K44" s="135">
        <v>1</v>
      </c>
      <c r="L44" s="3">
        <f t="shared" si="10"/>
        <v>100.94968187485506</v>
      </c>
      <c r="M44" s="197">
        <f t="shared" si="11"/>
        <v>100.94968187485506</v>
      </c>
      <c r="N44" s="137">
        <f t="shared" si="26"/>
        <v>100.94968187485506</v>
      </c>
      <c r="O44" s="197">
        <f t="shared" si="12"/>
        <v>100.94968187485506</v>
      </c>
      <c r="P44" s="197">
        <f t="shared" si="4"/>
        <v>100.94968187485506</v>
      </c>
      <c r="Q44" s="3">
        <f t="shared" si="13"/>
        <v>100.94968187485506</v>
      </c>
      <c r="R44" s="183">
        <f t="shared" si="14"/>
        <v>100.94968187485506</v>
      </c>
      <c r="S44" s="183">
        <f t="shared" si="15"/>
        <v>100.94968187485506</v>
      </c>
      <c r="T44" s="183">
        <f t="shared" si="16"/>
        <v>100.94968187485506</v>
      </c>
      <c r="U44" s="178">
        <f>IF(VLEESEENDEN!$H$15="ja",L44-((E44-G44*95%-I44)/E44*L44)*$R$6,L44-((E44-G44*80%-I44)/E44*L44)*$R$6)</f>
        <v>100.94968187485506</v>
      </c>
      <c r="V44" s="115">
        <f t="shared" si="23"/>
        <v>100.94968187485506</v>
      </c>
      <c r="W44" s="194">
        <f t="shared" si="17"/>
        <v>100.94968187485506</v>
      </c>
      <c r="X44" s="223">
        <f t="shared" si="18"/>
        <v>1</v>
      </c>
    </row>
    <row r="45" spans="1:24" x14ac:dyDescent="0.2">
      <c r="A45" s="1">
        <v>36</v>
      </c>
      <c r="B45" s="1">
        <v>2400</v>
      </c>
      <c r="E45" s="4">
        <f t="shared" si="8"/>
        <v>5.9725011599950006</v>
      </c>
      <c r="F45" s="4">
        <f t="shared" si="9"/>
        <v>5.9725011599950006</v>
      </c>
      <c r="G45" s="185">
        <f t="shared" si="25"/>
        <v>0</v>
      </c>
      <c r="H45" s="185">
        <f t="shared" si="24"/>
        <v>0</v>
      </c>
      <c r="I45" s="185">
        <f t="shared" si="27"/>
        <v>0</v>
      </c>
      <c r="J45" s="3">
        <v>2.1467211768883234</v>
      </c>
      <c r="K45" s="135">
        <v>1</v>
      </c>
      <c r="L45" s="3">
        <f t="shared" si="10"/>
        <v>112.31454173976576</v>
      </c>
      <c r="M45" s="197">
        <f t="shared" si="11"/>
        <v>112.31454173976576</v>
      </c>
      <c r="N45" s="137">
        <f t="shared" si="26"/>
        <v>112.31454173976576</v>
      </c>
      <c r="O45" s="197">
        <f t="shared" si="12"/>
        <v>112.31454173976576</v>
      </c>
      <c r="P45" s="197">
        <f t="shared" si="4"/>
        <v>112.31454173976576</v>
      </c>
      <c r="Q45" s="3">
        <f t="shared" si="13"/>
        <v>112.31454173976576</v>
      </c>
      <c r="R45" s="183">
        <f t="shared" si="14"/>
        <v>112.31454173976576</v>
      </c>
      <c r="S45" s="183">
        <f t="shared" si="15"/>
        <v>112.31454173976576</v>
      </c>
      <c r="T45" s="183">
        <f t="shared" si="16"/>
        <v>112.31454173976576</v>
      </c>
      <c r="U45" s="178">
        <f>IF(VLEESEENDEN!$H$15="ja",L45-((E45-G45*95%-I45)/E45*L45)*$R$6,L45-((E45-G45*80%-I45)/E45*L45)*$R$6)</f>
        <v>112.31454173976576</v>
      </c>
      <c r="V45" s="115">
        <f t="shared" si="23"/>
        <v>112.31454173976576</v>
      </c>
      <c r="W45" s="194">
        <f t="shared" si="17"/>
        <v>112.31454173976576</v>
      </c>
      <c r="X45" s="223">
        <f t="shared" si="18"/>
        <v>1</v>
      </c>
    </row>
    <row r="46" spans="1:24" x14ac:dyDescent="0.2">
      <c r="A46" s="1">
        <v>37</v>
      </c>
      <c r="B46" s="1">
        <v>2471</v>
      </c>
      <c r="E46" s="4">
        <f t="shared" si="8"/>
        <v>6.4147186689440003</v>
      </c>
      <c r="F46" s="4">
        <f t="shared" si="9"/>
        <v>6.4147186689440003</v>
      </c>
      <c r="G46" s="185">
        <f t="shared" si="25"/>
        <v>0</v>
      </c>
      <c r="H46" s="185">
        <f t="shared" si="24"/>
        <v>0</v>
      </c>
      <c r="I46" s="185">
        <f t="shared" si="27"/>
        <v>0</v>
      </c>
      <c r="J46" s="3">
        <v>2.1773583882614829</v>
      </c>
      <c r="K46" s="135">
        <v>1</v>
      </c>
      <c r="L46" s="3">
        <f t="shared" si="10"/>
        <v>122.35215955894571</v>
      </c>
      <c r="M46" s="197">
        <f t="shared" si="11"/>
        <v>122.35215955894571</v>
      </c>
      <c r="N46" s="137">
        <f t="shared" si="26"/>
        <v>122.35215955894571</v>
      </c>
      <c r="O46" s="197">
        <f t="shared" si="12"/>
        <v>122.35215955894571</v>
      </c>
      <c r="P46" s="197">
        <f t="shared" si="4"/>
        <v>122.35215955894571</v>
      </c>
      <c r="Q46" s="3">
        <f t="shared" si="13"/>
        <v>122.35215955894571</v>
      </c>
      <c r="R46" s="183">
        <f t="shared" si="14"/>
        <v>122.35215955894571</v>
      </c>
      <c r="S46" s="183">
        <f t="shared" si="15"/>
        <v>122.35215955894571</v>
      </c>
      <c r="T46" s="183">
        <f t="shared" si="16"/>
        <v>122.35215955894571</v>
      </c>
      <c r="U46" s="178">
        <f>IF(VLEESEENDEN!$H$15="ja",L46-((E46-G46*95%-I46)/E46*L46)*$R$6,L46-((E46-G46*80%-I46)/E46*L46)*$R$6)</f>
        <v>122.35215955894571</v>
      </c>
      <c r="V46" s="115">
        <f t="shared" si="23"/>
        <v>122.35215955894571</v>
      </c>
      <c r="W46" s="194">
        <f t="shared" si="17"/>
        <v>122.35215955894571</v>
      </c>
      <c r="X46" s="223">
        <f t="shared" si="18"/>
        <v>1</v>
      </c>
    </row>
    <row r="47" spans="1:24" x14ac:dyDescent="0.2">
      <c r="A47" s="1">
        <v>38</v>
      </c>
      <c r="B47" s="1">
        <v>2542</v>
      </c>
      <c r="E47" s="4">
        <f t="shared" si="8"/>
        <v>6.8821868291890009</v>
      </c>
      <c r="F47" s="4">
        <f t="shared" si="9"/>
        <v>6.8821868291890009</v>
      </c>
      <c r="G47" s="185">
        <f t="shared" si="25"/>
        <v>0</v>
      </c>
      <c r="H47" s="185">
        <f t="shared" si="24"/>
        <v>0</v>
      </c>
      <c r="I47" s="185">
        <f t="shared" si="27"/>
        <v>0</v>
      </c>
      <c r="J47" s="3">
        <v>2.2075983627206743</v>
      </c>
      <c r="K47" s="135">
        <v>1</v>
      </c>
      <c r="L47" s="3">
        <f t="shared" si="10"/>
        <v>133.09159433424554</v>
      </c>
      <c r="M47" s="197">
        <f t="shared" si="11"/>
        <v>133.09159433424554</v>
      </c>
      <c r="N47" s="137">
        <f t="shared" si="26"/>
        <v>133.09159433424554</v>
      </c>
      <c r="O47" s="197">
        <f t="shared" si="12"/>
        <v>133.09159433424554</v>
      </c>
      <c r="P47" s="197">
        <f t="shared" si="4"/>
        <v>133.09159433424554</v>
      </c>
      <c r="Q47" s="3">
        <f t="shared" si="13"/>
        <v>133.09159433424554</v>
      </c>
      <c r="R47" s="183">
        <f t="shared" si="14"/>
        <v>133.09159433424554</v>
      </c>
      <c r="S47" s="183">
        <f t="shared" si="15"/>
        <v>133.09159433424554</v>
      </c>
      <c r="T47" s="183">
        <f t="shared" si="16"/>
        <v>133.09159433424554</v>
      </c>
      <c r="U47" s="178">
        <f>IF(VLEESEENDEN!$H$15="ja",L47-((E47-G47*95%-I47)/E47*L47)*$R$6,L47-((E47-G47*80%-I47)/E47*L47)*$R$6)</f>
        <v>133.09159433424554</v>
      </c>
      <c r="V47" s="115">
        <f t="shared" si="23"/>
        <v>133.09159433424554</v>
      </c>
      <c r="W47" s="194">
        <f t="shared" si="17"/>
        <v>133.09159433424554</v>
      </c>
      <c r="X47" s="223">
        <f t="shared" si="18"/>
        <v>1</v>
      </c>
    </row>
    <row r="48" spans="1:24" x14ac:dyDescent="0.2">
      <c r="A48" s="1">
        <v>39</v>
      </c>
      <c r="B48" s="1">
        <v>2613</v>
      </c>
      <c r="E48" s="4">
        <f t="shared" si="8"/>
        <v>7.3757302676740002</v>
      </c>
      <c r="F48" s="4">
        <f t="shared" si="9"/>
        <v>7.3757302676740002</v>
      </c>
      <c r="G48" s="185">
        <f t="shared" si="25"/>
        <v>0</v>
      </c>
      <c r="H48" s="185">
        <f t="shared" si="24"/>
        <v>0</v>
      </c>
      <c r="I48" s="185">
        <f t="shared" si="27"/>
        <v>0</v>
      </c>
      <c r="J48" s="3">
        <v>2.23745650639421</v>
      </c>
      <c r="K48" s="135">
        <v>1</v>
      </c>
      <c r="L48" s="3">
        <f t="shared" si="10"/>
        <v>144.56519092890727</v>
      </c>
      <c r="M48" s="197">
        <f t="shared" si="11"/>
        <v>144.56519092890727</v>
      </c>
      <c r="N48" s="137">
        <f t="shared" si="26"/>
        <v>144.56519092890727</v>
      </c>
      <c r="O48" s="197">
        <f t="shared" si="12"/>
        <v>144.56519092890727</v>
      </c>
      <c r="P48" s="197">
        <f t="shared" si="4"/>
        <v>144.56519092890727</v>
      </c>
      <c r="Q48" s="3">
        <f t="shared" si="13"/>
        <v>144.56519092890727</v>
      </c>
      <c r="R48" s="183">
        <f t="shared" si="14"/>
        <v>144.56519092890727</v>
      </c>
      <c r="S48" s="183">
        <f>IF(E48-G48-H48&gt;=0,L48-((E48-G48-H48)/E48*L48)*$R$6,IF(G48&gt;H48,L48-((E48-G48)/E48*L48)*$R$6,L48-((E48-H48)/E48*L48)*$R$6))</f>
        <v>144.56519092890727</v>
      </c>
      <c r="T48" s="183">
        <f t="shared" si="16"/>
        <v>144.56519092890727</v>
      </c>
      <c r="U48" s="178">
        <f>IF(VLEESEENDEN!$H$15="ja",L48-((E48-G48*95%-I48)/E48*L48)*$R$6,L48-((E48-G48*80%-I48)/E48*L48)*$R$6)</f>
        <v>144.56519092890727</v>
      </c>
      <c r="V48" s="115">
        <f t="shared" si="23"/>
        <v>144.56519092890727</v>
      </c>
      <c r="W48" s="194">
        <f t="shared" si="17"/>
        <v>144.56519092890727</v>
      </c>
      <c r="X48" s="223">
        <f t="shared" si="18"/>
        <v>1</v>
      </c>
    </row>
    <row r="49" spans="1:24" x14ac:dyDescent="0.2">
      <c r="A49" s="1">
        <v>40</v>
      </c>
      <c r="B49" s="1">
        <v>2684</v>
      </c>
      <c r="E49" s="4">
        <f t="shared" si="8"/>
        <v>7.8961736113430012</v>
      </c>
      <c r="F49" s="4">
        <f t="shared" si="9"/>
        <v>7.8961736113430012</v>
      </c>
      <c r="G49" s="185">
        <f t="shared" si="25"/>
        <v>0</v>
      </c>
      <c r="H49" s="185">
        <f t="shared" si="24"/>
        <v>0</v>
      </c>
      <c r="I49" s="185">
        <f t="shared" si="27"/>
        <v>0</v>
      </c>
      <c r="J49" s="3">
        <v>2.2669472503778456</v>
      </c>
      <c r="K49" s="135">
        <v>1</v>
      </c>
      <c r="L49" s="3">
        <f t="shared" si="10"/>
        <v>156.80583133704346</v>
      </c>
      <c r="M49" s="197">
        <f t="shared" si="11"/>
        <v>156.80583133704346</v>
      </c>
      <c r="N49" s="137">
        <f t="shared" si="26"/>
        <v>156.80583133704346</v>
      </c>
      <c r="O49" s="197">
        <f t="shared" si="12"/>
        <v>156.80583133704346</v>
      </c>
      <c r="P49" s="197">
        <f t="shared" si="4"/>
        <v>156.80583133704346</v>
      </c>
      <c r="Q49" s="3">
        <f t="shared" si="13"/>
        <v>156.80583133704346</v>
      </c>
      <c r="R49" s="183">
        <f t="shared" si="14"/>
        <v>156.80583133704346</v>
      </c>
      <c r="S49" s="183">
        <f t="shared" si="15"/>
        <v>156.80583133704346</v>
      </c>
      <c r="T49" s="183">
        <f t="shared" si="16"/>
        <v>156.80583133704346</v>
      </c>
      <c r="U49" s="178">
        <f>IF(VLEESEENDEN!$H$15="ja",L49-((E49-G49*95%-I49)/E49*L49)*$R$6,L49-((E49-G49*80%-I49)/E49*L49)*$R$6)</f>
        <v>156.80583133704346</v>
      </c>
      <c r="V49" s="115">
        <f t="shared" si="23"/>
        <v>156.80583133704346</v>
      </c>
      <c r="W49" s="194">
        <f t="shared" si="17"/>
        <v>156.80583133704346</v>
      </c>
      <c r="X49" s="223">
        <f t="shared" si="18"/>
        <v>1</v>
      </c>
    </row>
    <row r="50" spans="1:24" x14ac:dyDescent="0.2">
      <c r="A50" s="1">
        <v>41</v>
      </c>
      <c r="B50" s="1">
        <v>2755</v>
      </c>
      <c r="E50" s="4">
        <f t="shared" si="8"/>
        <v>8.4443414871400009</v>
      </c>
      <c r="F50" s="4">
        <f t="shared" si="9"/>
        <v>8.4443414871400009</v>
      </c>
      <c r="G50" s="185">
        <f t="shared" si="25"/>
        <v>0</v>
      </c>
      <c r="H50" s="185">
        <f t="shared" si="24"/>
        <v>0</v>
      </c>
      <c r="I50" s="185">
        <f t="shared" si="27"/>
        <v>0</v>
      </c>
      <c r="J50" s="3">
        <v>2.2960841351525101</v>
      </c>
      <c r="K50" s="135">
        <v>1</v>
      </c>
      <c r="L50" s="3">
        <f t="shared" si="10"/>
        <v>169.84692623898704</v>
      </c>
      <c r="M50" s="197">
        <f t="shared" si="11"/>
        <v>169.84692623898704</v>
      </c>
      <c r="N50" s="137">
        <f t="shared" si="26"/>
        <v>169.84692623898704</v>
      </c>
      <c r="O50" s="197">
        <f t="shared" si="12"/>
        <v>169.84692623898704</v>
      </c>
      <c r="P50" s="197">
        <f t="shared" si="4"/>
        <v>169.84692623898704</v>
      </c>
      <c r="Q50" s="3">
        <f t="shared" si="13"/>
        <v>169.84692623898704</v>
      </c>
      <c r="R50" s="183">
        <f t="shared" si="14"/>
        <v>169.84692623898704</v>
      </c>
      <c r="S50" s="183">
        <f t="shared" si="15"/>
        <v>169.84692623898704</v>
      </c>
      <c r="T50" s="183">
        <f t="shared" si="16"/>
        <v>169.84692623898704</v>
      </c>
      <c r="U50" s="178">
        <f>IF(VLEESEENDEN!$H$15="ja",L50-((E50-G50*95%-I50)/E50*L50)*$R$6,L50-((E50-G50*80%-I50)/E50*L50)*$R$6)</f>
        <v>169.84692623898704</v>
      </c>
      <c r="V50" s="115">
        <f t="shared" si="23"/>
        <v>169.84692623898704</v>
      </c>
      <c r="W50" s="194">
        <f t="shared" si="17"/>
        <v>169.84692623898704</v>
      </c>
      <c r="X50" s="223">
        <f t="shared" si="18"/>
        <v>1</v>
      </c>
    </row>
    <row r="51" spans="1:24" x14ac:dyDescent="0.2">
      <c r="A51" s="1">
        <v>42</v>
      </c>
      <c r="B51" s="1">
        <v>2826</v>
      </c>
      <c r="E51" s="4">
        <f t="shared" si="8"/>
        <v>9.0210585220090014</v>
      </c>
      <c r="F51" s="4">
        <f t="shared" si="9"/>
        <v>9.0210585220090014</v>
      </c>
      <c r="G51" s="185">
        <f t="shared" si="25"/>
        <v>0</v>
      </c>
      <c r="H51" s="185">
        <f t="shared" si="24"/>
        <v>0</v>
      </c>
      <c r="I51" s="185">
        <f>MIN(R$5,E51-G51)</f>
        <v>0</v>
      </c>
      <c r="J51" s="3">
        <v>2.3248798858221513</v>
      </c>
      <c r="K51" s="135">
        <v>1</v>
      </c>
      <c r="L51" s="3">
        <f t="shared" si="10"/>
        <v>183.72240695819477</v>
      </c>
      <c r="M51" s="197">
        <f t="shared" si="11"/>
        <v>183.72240695819477</v>
      </c>
      <c r="N51" s="137">
        <f t="shared" si="26"/>
        <v>183.72240695819477</v>
      </c>
      <c r="O51" s="197">
        <f t="shared" si="12"/>
        <v>183.72240695819477</v>
      </c>
      <c r="P51" s="197">
        <f t="shared" si="4"/>
        <v>183.72240695819477</v>
      </c>
      <c r="Q51" s="3">
        <f t="shared" si="13"/>
        <v>183.72240695819477</v>
      </c>
      <c r="R51" s="183">
        <f>IF(E51-G51-H51&gt;=0,L51-((E51-G51*80%-H51*95%)/E51*L51)*$R$6,IF(G51&gt;H51,L51-((E51-G51)/E51*L51)*$R$6,L51-((E51-H51)/E51*L51)*$R$6))</f>
        <v>183.72240695819477</v>
      </c>
      <c r="S51" s="183">
        <f t="shared" si="15"/>
        <v>183.72240695819477</v>
      </c>
      <c r="T51" s="183">
        <f t="shared" si="16"/>
        <v>183.72240695819477</v>
      </c>
      <c r="U51" s="178">
        <f>IF(VLEESEENDEN!$H$15="ja",L51-((E51-G51*95%-I51)/E51*L51)*$R$6,L51-((E51-G51*80%-I51)/E51*L51)*$R$6)</f>
        <v>183.72240695819477</v>
      </c>
      <c r="V51" s="115">
        <f t="shared" si="23"/>
        <v>183.72240695819477</v>
      </c>
      <c r="W51" s="194">
        <f t="shared" si="17"/>
        <v>183.72240695819477</v>
      </c>
      <c r="X51" s="223">
        <f t="shared" si="18"/>
        <v>1</v>
      </c>
    </row>
    <row r="52" spans="1:24" x14ac:dyDescent="0.2">
      <c r="A52" s="1">
        <v>43</v>
      </c>
      <c r="B52" s="1">
        <v>2900</v>
      </c>
      <c r="E52" s="4">
        <f t="shared" si="8"/>
        <v>9.6534179694950009</v>
      </c>
      <c r="F52" s="4">
        <f t="shared" ref="F52:F58" si="28">E52-G52</f>
        <v>9.6534179694950009</v>
      </c>
      <c r="G52" s="185">
        <f t="shared" ref="G52:G58" si="29">IF($R$4&gt;0&lt;E52,E52,IF($R$4&gt;E52,E52,$R$4))</f>
        <v>0</v>
      </c>
      <c r="H52" s="185">
        <f t="shared" ref="H52:H58" si="30">IF(E52&lt;$R$5,E52-G52,$R$5)</f>
        <v>0</v>
      </c>
      <c r="I52" s="185">
        <f t="shared" ref="I52:I58" si="31">MIN(R$5,E52-G52)</f>
        <v>0</v>
      </c>
      <c r="J52" s="3">
        <v>2.353346479363803</v>
      </c>
      <c r="K52" s="135">
        <v>1</v>
      </c>
      <c r="L52" s="3">
        <f t="shared" si="10"/>
        <v>199.00825380488382</v>
      </c>
      <c r="M52" s="197">
        <f t="shared" si="11"/>
        <v>199.00825380488382</v>
      </c>
      <c r="N52" s="137">
        <f t="shared" ref="N52:N58" si="32">(((($J52*(1-$R$2))-$J$3)/1000*$F52*24*365*$K52)*(1-R$5))+(((($J52*(1-$R$2))-$J$3)/1000*$G52*24*365*$K52)*(1-R$3))</f>
        <v>199.00825380488382</v>
      </c>
      <c r="O52" s="197">
        <f t="shared" ref="O52:O58" si="33">(((($J52)-$J$3)/1000*$F52*24*365*$K52))+(((($J52*(1-$R$2))-$J$3)/1000*$G52*24*365*$K52)*(1-R$3))</f>
        <v>199.00825380488382</v>
      </c>
      <c r="P52" s="197">
        <f t="shared" si="4"/>
        <v>199.00825380488382</v>
      </c>
      <c r="Q52" s="3">
        <f t="shared" si="13"/>
        <v>199.00825380488382</v>
      </c>
      <c r="R52" s="183">
        <f t="shared" ref="R52:R58" si="34">IF(E52-G52-H52&gt;=0,L52-((E52-G52*80%-H52*95%)/E52*L52)*$R$6,IF(G52&gt;H52,L52-((E52-G52)/E52*L52)*$R$6,L52-((E52-H52)/E52*L52)*$R$6))</f>
        <v>199.00825380488382</v>
      </c>
      <c r="S52" s="183">
        <f t="shared" ref="S52:S58" si="35">IF(E52-G52-H52&gt;=0,L52-((E52-G52-H52)/E52*L52)*$R$6,IF(G52&gt;H52,L52-((E52-G52)/E52*L52)*$R$6,L52-((E52-H52)/E52*L52)*$R$6))</f>
        <v>199.00825380488382</v>
      </c>
      <c r="T52" s="183">
        <f t="shared" ref="T52:T58" si="36">L52-(E52-H52)/E52*L52*$R$6</f>
        <v>199.00825380488382</v>
      </c>
      <c r="U52" s="178">
        <f>IF(VLEESEENDEN!$H$15="ja",L52-((E52-G52*95%-I52)/E52*L52)*$R$6,L52-((E52-G52*80%-I52)/E52*L52)*$R$6)</f>
        <v>199.00825380488382</v>
      </c>
      <c r="V52" s="115">
        <f t="shared" ref="V52:V58" si="37">L52-((E52-G52-I52)/E52*L52)*$R$6</f>
        <v>199.00825380488382</v>
      </c>
      <c r="W52" s="194">
        <f t="shared" ref="W52:W58" si="38">L52-(E52-H52)/E52*L52*$R$6</f>
        <v>199.00825380488382</v>
      </c>
      <c r="X52" s="223"/>
    </row>
    <row r="53" spans="1:24" x14ac:dyDescent="0.2">
      <c r="A53" s="1">
        <v>44</v>
      </c>
      <c r="B53" s="1">
        <v>2950</v>
      </c>
      <c r="E53" s="4">
        <f t="shared" si="8"/>
        <v>10.099222890445001</v>
      </c>
      <c r="F53" s="4">
        <f t="shared" si="28"/>
        <v>10.099222890445001</v>
      </c>
      <c r="G53" s="185">
        <f t="shared" si="29"/>
        <v>0</v>
      </c>
      <c r="H53" s="185">
        <f t="shared" si="30"/>
        <v>0</v>
      </c>
      <c r="I53" s="185">
        <f t="shared" si="31"/>
        <v>0</v>
      </c>
      <c r="J53" s="3">
        <v>2.3814952049031657</v>
      </c>
      <c r="K53" s="135">
        <v>1</v>
      </c>
      <c r="L53" s="3">
        <f t="shared" si="10"/>
        <v>210.68895776874518</v>
      </c>
      <c r="M53" s="197">
        <f t="shared" si="11"/>
        <v>210.68895776874518</v>
      </c>
      <c r="N53" s="137">
        <f t="shared" si="32"/>
        <v>210.68895776874518</v>
      </c>
      <c r="O53" s="197">
        <f t="shared" si="33"/>
        <v>210.68895776874518</v>
      </c>
      <c r="P53" s="197">
        <f t="shared" si="4"/>
        <v>210.68895776874518</v>
      </c>
      <c r="Q53" s="3">
        <f t="shared" si="13"/>
        <v>210.68895776874518</v>
      </c>
      <c r="R53" s="183">
        <f t="shared" si="34"/>
        <v>210.68895776874518</v>
      </c>
      <c r="S53" s="183">
        <f t="shared" si="35"/>
        <v>210.68895776874518</v>
      </c>
      <c r="T53" s="183">
        <f t="shared" si="36"/>
        <v>210.68895776874518</v>
      </c>
      <c r="U53" s="178">
        <f>IF(VLEESEENDEN!$H$15="ja",L53-((E53-G53*95%-I53)/E53*L53)*$R$6,L53-((E53-G53*80%-I53)/E53*L53)*$R$6)</f>
        <v>210.68895776874518</v>
      </c>
      <c r="V53" s="115">
        <f t="shared" si="37"/>
        <v>210.68895776874518</v>
      </c>
      <c r="W53" s="194">
        <f t="shared" si="38"/>
        <v>210.68895776874518</v>
      </c>
      <c r="X53" s="223"/>
    </row>
    <row r="54" spans="1:24" x14ac:dyDescent="0.2">
      <c r="A54" s="1">
        <v>45</v>
      </c>
      <c r="B54" s="1">
        <v>3000</v>
      </c>
      <c r="E54" s="4">
        <f t="shared" si="8"/>
        <v>10.560309491395</v>
      </c>
      <c r="F54" s="4">
        <f t="shared" si="28"/>
        <v>10.560309491395</v>
      </c>
      <c r="G54" s="185">
        <f t="shared" si="29"/>
        <v>0</v>
      </c>
      <c r="H54" s="185">
        <f t="shared" si="30"/>
        <v>0</v>
      </c>
      <c r="I54" s="185">
        <f t="shared" si="31"/>
        <v>0</v>
      </c>
      <c r="J54" s="3">
        <v>2.4093367178804237</v>
      </c>
      <c r="K54" s="135">
        <v>1</v>
      </c>
      <c r="L54" s="3">
        <f t="shared" si="10"/>
        <v>222.88367074984023</v>
      </c>
      <c r="M54" s="197">
        <f t="shared" si="11"/>
        <v>222.88367074984023</v>
      </c>
      <c r="N54" s="137">
        <f t="shared" si="32"/>
        <v>222.88367074984023</v>
      </c>
      <c r="O54" s="197">
        <f t="shared" si="33"/>
        <v>222.88367074984023</v>
      </c>
      <c r="P54" s="197">
        <f t="shared" si="4"/>
        <v>222.88367074984023</v>
      </c>
      <c r="Q54" s="3">
        <f t="shared" si="13"/>
        <v>222.88367074984023</v>
      </c>
      <c r="R54" s="183">
        <f t="shared" si="34"/>
        <v>222.88367074984023</v>
      </c>
      <c r="S54" s="183">
        <f t="shared" si="35"/>
        <v>222.88367074984023</v>
      </c>
      <c r="T54" s="183">
        <f t="shared" si="36"/>
        <v>222.88367074984023</v>
      </c>
      <c r="U54" s="178">
        <f>IF(VLEESEENDEN!$H$15="ja",L54-((E54-G54*95%-I54)/E54*L54)*$R$6,L54-((E54-G54*80%-I54)/E54*L54)*$R$6)</f>
        <v>222.88367074984023</v>
      </c>
      <c r="V54" s="115">
        <f t="shared" si="37"/>
        <v>222.88367074984023</v>
      </c>
      <c r="W54" s="194">
        <f t="shared" si="38"/>
        <v>222.88367074984023</v>
      </c>
      <c r="X54" s="223"/>
    </row>
    <row r="55" spans="1:24" x14ac:dyDescent="0.2">
      <c r="A55" s="1">
        <v>46</v>
      </c>
      <c r="B55" s="1">
        <v>3050</v>
      </c>
      <c r="E55" s="4">
        <f t="shared" si="8"/>
        <v>11.036965772345001</v>
      </c>
      <c r="F55" s="4">
        <f t="shared" si="28"/>
        <v>11.036965772345001</v>
      </c>
      <c r="G55" s="185">
        <f t="shared" si="29"/>
        <v>0</v>
      </c>
      <c r="H55" s="185">
        <f t="shared" si="30"/>
        <v>0</v>
      </c>
      <c r="I55" s="185">
        <f t="shared" si="31"/>
        <v>0</v>
      </c>
      <c r="J55" s="3">
        <v>2.4368810888470627</v>
      </c>
      <c r="K55" s="135">
        <v>1</v>
      </c>
      <c r="L55" s="3">
        <f t="shared" si="10"/>
        <v>235.60697295938746</v>
      </c>
      <c r="M55" s="197">
        <f t="shared" si="11"/>
        <v>235.60697295938746</v>
      </c>
      <c r="N55" s="137">
        <f t="shared" si="32"/>
        <v>235.60697295938746</v>
      </c>
      <c r="O55" s="197">
        <f t="shared" si="33"/>
        <v>235.60697295938746</v>
      </c>
      <c r="P55" s="197">
        <f t="shared" si="4"/>
        <v>235.60697295938746</v>
      </c>
      <c r="Q55" s="3">
        <f t="shared" si="13"/>
        <v>235.60697295938746</v>
      </c>
      <c r="R55" s="183">
        <f t="shared" si="34"/>
        <v>235.60697295938746</v>
      </c>
      <c r="S55" s="183">
        <f t="shared" si="35"/>
        <v>235.60697295938746</v>
      </c>
      <c r="T55" s="183">
        <f t="shared" si="36"/>
        <v>235.60697295938746</v>
      </c>
      <c r="U55" s="178">
        <f>IF(VLEESEENDEN!$H$15="ja",L55-((E55-G55*95%-I55)/E55*L55)*$R$6,L55-((E55-G55*80%-I55)/E55*L55)*$R$6)</f>
        <v>235.60697295938746</v>
      </c>
      <c r="V55" s="115">
        <f t="shared" si="37"/>
        <v>235.60697295938746</v>
      </c>
      <c r="W55" s="194">
        <f t="shared" si="38"/>
        <v>235.60697295938746</v>
      </c>
      <c r="X55" s="223"/>
    </row>
    <row r="56" spans="1:24" x14ac:dyDescent="0.2">
      <c r="A56" s="1">
        <v>47</v>
      </c>
      <c r="B56" s="1">
        <v>3100</v>
      </c>
      <c r="E56" s="4">
        <f t="shared" si="8"/>
        <v>11.529479733295002</v>
      </c>
      <c r="F56" s="4">
        <f t="shared" si="28"/>
        <v>11.529479733295002</v>
      </c>
      <c r="G56" s="185">
        <f t="shared" si="29"/>
        <v>0</v>
      </c>
      <c r="H56" s="185">
        <f t="shared" si="30"/>
        <v>0</v>
      </c>
      <c r="I56" s="185">
        <f t="shared" si="31"/>
        <v>0</v>
      </c>
      <c r="J56" s="3">
        <v>2.4641378475305378</v>
      </c>
      <c r="K56" s="135">
        <v>1</v>
      </c>
      <c r="L56" s="3">
        <f t="shared" si="10"/>
        <v>248.87359178878089</v>
      </c>
      <c r="M56" s="197">
        <f t="shared" si="11"/>
        <v>248.87359178878089</v>
      </c>
      <c r="N56" s="137">
        <f t="shared" si="32"/>
        <v>248.87359178878089</v>
      </c>
      <c r="O56" s="197">
        <f t="shared" si="33"/>
        <v>248.87359178878089</v>
      </c>
      <c r="P56" s="197">
        <f t="shared" si="4"/>
        <v>248.87359178878089</v>
      </c>
      <c r="Q56" s="3">
        <f t="shared" si="13"/>
        <v>248.87359178878089</v>
      </c>
      <c r="R56" s="183">
        <f t="shared" si="34"/>
        <v>248.87359178878089</v>
      </c>
      <c r="S56" s="183">
        <f t="shared" si="35"/>
        <v>248.87359178878089</v>
      </c>
      <c r="T56" s="183">
        <f t="shared" si="36"/>
        <v>248.87359178878089</v>
      </c>
      <c r="U56" s="178">
        <f>IF(VLEESEENDEN!$H$15="ja",L56-((E56-G56*95%-I56)/E56*L56)*$R$6,L56-((E56-G56*80%-I56)/E56*L56)*$R$6)</f>
        <v>248.87359178878089</v>
      </c>
      <c r="V56" s="115">
        <f t="shared" si="37"/>
        <v>248.87359178878089</v>
      </c>
      <c r="W56" s="194">
        <f t="shared" si="38"/>
        <v>248.87359178878089</v>
      </c>
      <c r="X56" s="223"/>
    </row>
    <row r="57" spans="1:24" x14ac:dyDescent="0.2">
      <c r="A57" s="1">
        <v>48</v>
      </c>
      <c r="B57" s="1">
        <v>3150</v>
      </c>
      <c r="E57" s="4">
        <f t="shared" si="8"/>
        <v>12.038139374245</v>
      </c>
      <c r="F57" s="4">
        <f t="shared" si="28"/>
        <v>12.038139374245</v>
      </c>
      <c r="G57" s="185">
        <f t="shared" si="29"/>
        <v>0</v>
      </c>
      <c r="H57" s="185">
        <f t="shared" si="30"/>
        <v>0</v>
      </c>
      <c r="I57" s="185">
        <f t="shared" si="31"/>
        <v>0</v>
      </c>
      <c r="J57" s="3">
        <v>2.4911160227162288</v>
      </c>
      <c r="K57" s="135">
        <v>1</v>
      </c>
      <c r="L57" s="3">
        <f t="shared" si="10"/>
        <v>262.69840045892607</v>
      </c>
      <c r="M57" s="197">
        <f t="shared" si="11"/>
        <v>262.69840045892607</v>
      </c>
      <c r="N57" s="137">
        <f t="shared" si="32"/>
        <v>262.69840045892607</v>
      </c>
      <c r="O57" s="197">
        <f t="shared" si="33"/>
        <v>262.69840045892607</v>
      </c>
      <c r="P57" s="197">
        <f t="shared" si="4"/>
        <v>262.69840045892607</v>
      </c>
      <c r="Q57" s="3">
        <f t="shared" si="13"/>
        <v>262.69840045892607</v>
      </c>
      <c r="R57" s="183">
        <f t="shared" si="34"/>
        <v>262.69840045892607</v>
      </c>
      <c r="S57" s="183">
        <f t="shared" si="35"/>
        <v>262.69840045892607</v>
      </c>
      <c r="T57" s="183">
        <f t="shared" si="36"/>
        <v>262.69840045892607</v>
      </c>
      <c r="U57" s="178">
        <f>IF(VLEESEENDEN!$H$15="ja",L57-((E57-G57*95%-I57)/E57*L57)*$R$6,L57-((E57-G57*80%-I57)/E57*L57)*$R$6)</f>
        <v>262.69840045892607</v>
      </c>
      <c r="V57" s="115">
        <f t="shared" si="37"/>
        <v>262.69840045892607</v>
      </c>
      <c r="W57" s="194">
        <f t="shared" si="38"/>
        <v>262.69840045892607</v>
      </c>
      <c r="X57" s="223"/>
    </row>
    <row r="58" spans="1:24" x14ac:dyDescent="0.2">
      <c r="A58" s="1">
        <v>49</v>
      </c>
      <c r="B58" s="1">
        <v>3200</v>
      </c>
      <c r="E58" s="4">
        <f t="shared" si="8"/>
        <v>12.563232695195001</v>
      </c>
      <c r="F58" s="4">
        <f t="shared" si="28"/>
        <v>12.563232695195001</v>
      </c>
      <c r="G58" s="185">
        <f t="shared" si="29"/>
        <v>0</v>
      </c>
      <c r="H58" s="185">
        <f t="shared" si="30"/>
        <v>0</v>
      </c>
      <c r="I58" s="185">
        <f t="shared" si="31"/>
        <v>0</v>
      </c>
      <c r="J58" s="3">
        <v>2.5178241784222166</v>
      </c>
      <c r="K58" s="135">
        <v>1</v>
      </c>
      <c r="L58" s="3">
        <f t="shared" si="10"/>
        <v>277.09641670257281</v>
      </c>
      <c r="M58" s="197">
        <f t="shared" si="11"/>
        <v>277.09641670257281</v>
      </c>
      <c r="N58" s="137">
        <f t="shared" si="32"/>
        <v>277.09641670257281</v>
      </c>
      <c r="O58" s="197">
        <f t="shared" si="33"/>
        <v>277.09641670257281</v>
      </c>
      <c r="P58" s="197">
        <f>IF(I58=0,L58,IF(I58&gt;$R$5,L58-(R$5)/E58*L58*97%,L58-(I58)/E58*L58*97%))</f>
        <v>277.09641670257281</v>
      </c>
      <c r="Q58" s="3">
        <f t="shared" si="13"/>
        <v>277.09641670257281</v>
      </c>
      <c r="R58" s="183">
        <f t="shared" si="34"/>
        <v>277.09641670257281</v>
      </c>
      <c r="S58" s="183">
        <f t="shared" si="35"/>
        <v>277.09641670257281</v>
      </c>
      <c r="T58" s="183">
        <f t="shared" si="36"/>
        <v>277.09641670257281</v>
      </c>
      <c r="U58" s="178">
        <f>IF(VLEESEENDEN!$H$15="ja",L58-((E58-G58*95%-I58)/E58*L58)*$R$6,L58-((E58-G58*80%-I58)/E58*L58)*$R$6)</f>
        <v>277.09641670257281</v>
      </c>
      <c r="V58" s="115">
        <f t="shared" si="37"/>
        <v>277.09641670257281</v>
      </c>
      <c r="W58" s="194">
        <f t="shared" si="38"/>
        <v>277.09641670257281</v>
      </c>
      <c r="X58" s="223"/>
    </row>
    <row r="59" spans="1:24" x14ac:dyDescent="0.2">
      <c r="M59" s="20" t="s">
        <v>20</v>
      </c>
      <c r="O59" s="196" t="s">
        <v>20</v>
      </c>
      <c r="P59" s="205"/>
      <c r="Q59" s="1">
        <f>I50/(E50-G50)*(L50-(L50-O50)/80%)*5%</f>
        <v>0</v>
      </c>
      <c r="R59" s="40" t="s">
        <v>20</v>
      </c>
      <c r="S59" s="114"/>
      <c r="T59" s="114"/>
      <c r="U59" s="179"/>
      <c r="W59" s="39" t="s">
        <v>20</v>
      </c>
    </row>
    <row r="60" spans="1:24" x14ac:dyDescent="0.2">
      <c r="B60" s="2">
        <f>AVERAGE(B9:B51)</f>
        <v>1254.6666666666667</v>
      </c>
      <c r="E60" s="4">
        <f>AVERAGE(E10:E51)</f>
        <v>2.5836133539670003</v>
      </c>
      <c r="G60" s="1" t="s">
        <v>20</v>
      </c>
      <c r="L60" s="1" t="s">
        <v>20</v>
      </c>
      <c r="M60" s="196"/>
      <c r="O60" s="20"/>
      <c r="P60" s="206">
        <f>IF(R$5&lt;E5,R$5/E47*(L47-(L47-O47)/80%)*95%,E$5/E47*(L47-(L47-O47)/80%)*95%)</f>
        <v>0</v>
      </c>
      <c r="Q60" s="1">
        <f>L51-I51/(E51)*(L51-(L51-O51)/80%)*95%</f>
        <v>183.72240695819477</v>
      </c>
      <c r="R60" s="1">
        <f>(L45-(L45-O45)/80%)</f>
        <v>112.31454173976576</v>
      </c>
      <c r="S60" s="113">
        <f>5%*R60</f>
        <v>5.6157270869882883</v>
      </c>
      <c r="T60" s="113" t="s">
        <v>20</v>
      </c>
      <c r="U60" s="180" t="s">
        <v>20</v>
      </c>
    </row>
    <row r="61" spans="1:24" x14ac:dyDescent="0.2">
      <c r="D61" s="1" t="s">
        <v>172</v>
      </c>
      <c r="F61" s="163">
        <v>0</v>
      </c>
      <c r="H61" s="1" t="s">
        <v>20</v>
      </c>
      <c r="M61" s="20"/>
      <c r="O61" s="197"/>
      <c r="P61" s="20">
        <f>L51-R$5/E51*L51*95%</f>
        <v>183.72240695819477</v>
      </c>
      <c r="Q61" s="1">
        <f>E49/(E49-G49)*(L49-(L49-O49)/80%)*(1-95%)</f>
        <v>7.84029156685218</v>
      </c>
      <c r="R61" s="1">
        <f>I51/(E51-G51)</f>
        <v>0</v>
      </c>
      <c r="U61" s="179"/>
    </row>
    <row r="62" spans="1:24" x14ac:dyDescent="0.2">
      <c r="E62" s="4">
        <f>SUM(E10:E51)</f>
        <v>108.51176086661401</v>
      </c>
      <c r="F62" s="4">
        <f>SUM(F10:F51)</f>
        <v>108.51176086661401</v>
      </c>
      <c r="G62" s="4">
        <f>SUM(G10:G51)</f>
        <v>0</v>
      </c>
      <c r="H62" s="4"/>
      <c r="I62" s="4"/>
      <c r="K62" s="40" t="s">
        <v>173</v>
      </c>
      <c r="L62" s="4">
        <f>AVERAGE(L10:L58)</f>
        <v>73.000723707554101</v>
      </c>
      <c r="M62" s="25">
        <f>AVERAGE(M10:M58)</f>
        <v>73.000723707554101</v>
      </c>
      <c r="N62" s="164">
        <f>AVERAGE(N10:N58)</f>
        <v>73.000723707554101</v>
      </c>
      <c r="O62" s="25">
        <f>AVERAGE(O10:O59)</f>
        <v>73.000723707554101</v>
      </c>
      <c r="P62" s="25">
        <f>AVERAGE(P10:P59)</f>
        <v>73.000723707554101</v>
      </c>
      <c r="Q62" s="164">
        <f t="shared" ref="Q62:W62" si="39">AVERAGE(Q10:Q58)</f>
        <v>73.000723707554101</v>
      </c>
      <c r="R62" s="164">
        <f t="shared" si="39"/>
        <v>73.000723707554101</v>
      </c>
      <c r="S62" s="164">
        <f t="shared" si="39"/>
        <v>73.000723707554101</v>
      </c>
      <c r="T62" s="164">
        <f t="shared" si="39"/>
        <v>73.000723707554101</v>
      </c>
      <c r="U62" s="164">
        <f t="shared" si="39"/>
        <v>73.000723707554101</v>
      </c>
      <c r="V62" s="164">
        <f t="shared" si="39"/>
        <v>73.000723707554101</v>
      </c>
      <c r="W62" s="164">
        <f t="shared" si="39"/>
        <v>73.000723707554101</v>
      </c>
      <c r="X62" s="40" t="s">
        <v>20</v>
      </c>
    </row>
    <row r="63" spans="1:24" x14ac:dyDescent="0.2">
      <c r="F63" s="12">
        <f>F62/$E$62</f>
        <v>1</v>
      </c>
      <c r="G63" s="12">
        <f>G62/$E$62</f>
        <v>0</v>
      </c>
      <c r="H63" s="12"/>
      <c r="I63" s="12"/>
      <c r="K63" s="40" t="s">
        <v>174</v>
      </c>
      <c r="L63" s="4">
        <f t="shared" ref="L63" si="40">L62*0.81</f>
        <v>59.130586203118824</v>
      </c>
      <c r="M63" s="25">
        <f t="shared" ref="M63:N63" si="41">M62*0.81</f>
        <v>59.130586203118824</v>
      </c>
      <c r="N63" s="164">
        <f t="shared" si="41"/>
        <v>59.130586203118824</v>
      </c>
      <c r="O63" s="25">
        <f t="shared" ref="O63:Q63" si="42">O62*0.81</f>
        <v>59.130586203118824</v>
      </c>
      <c r="P63" s="25">
        <f t="shared" si="42"/>
        <v>59.130586203118824</v>
      </c>
      <c r="Q63" s="164">
        <f t="shared" si="42"/>
        <v>59.130586203118824</v>
      </c>
      <c r="R63" s="164">
        <f t="shared" ref="R63:W63" si="43">R62*0.81</f>
        <v>59.130586203118824</v>
      </c>
      <c r="S63" s="164">
        <f t="shared" si="43"/>
        <v>59.130586203118824</v>
      </c>
      <c r="T63" s="164">
        <f t="shared" si="43"/>
        <v>59.130586203118824</v>
      </c>
      <c r="U63" s="181">
        <f t="shared" si="43"/>
        <v>59.130586203118824</v>
      </c>
      <c r="V63" s="164">
        <f t="shared" si="43"/>
        <v>59.130586203118824</v>
      </c>
      <c r="W63" s="164">
        <f t="shared" si="43"/>
        <v>59.130586203118824</v>
      </c>
    </row>
    <row r="64" spans="1:24" x14ac:dyDescent="0.2">
      <c r="D64" s="1" t="s">
        <v>175</v>
      </c>
      <c r="K64" s="1" t="s">
        <v>171</v>
      </c>
      <c r="L64" s="165">
        <f t="shared" ref="L64:V64" si="44">1-(L63/$L$63)</f>
        <v>0</v>
      </c>
      <c r="M64" s="198">
        <f t="shared" si="44"/>
        <v>0</v>
      </c>
      <c r="N64" s="165">
        <f t="shared" si="44"/>
        <v>0</v>
      </c>
      <c r="O64" s="198">
        <f t="shared" ref="O64:Q64" si="45">1-(O63/$L$63)</f>
        <v>0</v>
      </c>
      <c r="P64" s="198">
        <f>1-(P63/($L$63))</f>
        <v>0</v>
      </c>
      <c r="Q64" s="165">
        <f t="shared" si="45"/>
        <v>0</v>
      </c>
      <c r="R64" s="165">
        <f>1-(R63/$L$63)</f>
        <v>0</v>
      </c>
      <c r="S64" s="165">
        <f>1-(S63/$L$63)</f>
        <v>0</v>
      </c>
      <c r="T64" s="165">
        <f>1-(T63/$L$63)</f>
        <v>0</v>
      </c>
      <c r="U64" s="182">
        <f t="shared" si="44"/>
        <v>0</v>
      </c>
      <c r="V64" s="165">
        <f t="shared" si="44"/>
        <v>0</v>
      </c>
      <c r="W64" s="165">
        <f t="shared" ref="W64" si="46">1-(W63/$L$63)</f>
        <v>0</v>
      </c>
    </row>
    <row r="65" spans="4:23" x14ac:dyDescent="0.2">
      <c r="P65" s="224">
        <f>M64-P64</f>
        <v>0</v>
      </c>
    </row>
    <row r="66" spans="4:23" x14ac:dyDescent="0.2">
      <c r="D66" s="163"/>
      <c r="O66" s="3">
        <f>O51+P51</f>
        <v>367.44481391638953</v>
      </c>
      <c r="P66" s="1">
        <f>(L51-I51/(E51-G51)*(L51-(L51-O51)/80%))*95%</f>
        <v>174.53628661028503</v>
      </c>
      <c r="W66" s="39" t="s">
        <v>20</v>
      </c>
    </row>
    <row r="67" spans="4:23" x14ac:dyDescent="0.2">
      <c r="E67" s="4"/>
      <c r="P67" s="1">
        <f>(L51-I51/(E51-G51))*(1-95%)</f>
        <v>9.1861203479097462</v>
      </c>
      <c r="Q67" s="1" t="s">
        <v>20</v>
      </c>
    </row>
    <row r="68" spans="4:23" x14ac:dyDescent="0.2">
      <c r="P68" s="1">
        <f>(L51-I51/(E51-G51))*5%</f>
        <v>9.1861203479097391</v>
      </c>
    </row>
    <row r="69" spans="4:23" x14ac:dyDescent="0.2">
      <c r="P69" s="1">
        <f>(O51-(L51-O51)/80%)</f>
        <v>183.72240695819477</v>
      </c>
    </row>
    <row r="70" spans="4:23" x14ac:dyDescent="0.2">
      <c r="P70" s="1">
        <f>I51/(E51-G51)</f>
        <v>0</v>
      </c>
    </row>
    <row r="71" spans="4:23" x14ac:dyDescent="0.2">
      <c r="N71" s="1">
        <f>20%*O71</f>
        <v>0</v>
      </c>
      <c r="O71" s="3">
        <f>L51-O51</f>
        <v>0</v>
      </c>
    </row>
    <row r="72" spans="4:23" x14ac:dyDescent="0.2">
      <c r="N72" s="3">
        <f>O51-N71</f>
        <v>183.72240695819477</v>
      </c>
      <c r="O72" s="1">
        <f>O71/95%</f>
        <v>0</v>
      </c>
    </row>
    <row r="73" spans="4:23" x14ac:dyDescent="0.2">
      <c r="N73" s="1">
        <f>95%*N72</f>
        <v>174.53628661028503</v>
      </c>
      <c r="O73" s="3">
        <f>L51-O72</f>
        <v>183.72240695819477</v>
      </c>
    </row>
    <row r="74" spans="4:23" x14ac:dyDescent="0.2">
      <c r="N74" s="3">
        <f>L51-P51</f>
        <v>0</v>
      </c>
      <c r="O74" s="1">
        <f>5%*O73</f>
        <v>9.1861203479097391</v>
      </c>
    </row>
    <row r="75" spans="4:23" x14ac:dyDescent="0.2">
      <c r="O75" s="223">
        <f>5.95/L51</f>
        <v>3.2385815636270743E-2</v>
      </c>
    </row>
    <row r="76" spans="4:23" x14ac:dyDescent="0.2">
      <c r="N76" s="1">
        <f>95%*P51</f>
        <v>174.53628661028503</v>
      </c>
    </row>
  </sheetData>
  <sheetProtection algorithmName="SHA-512" hashValue="BDolRT7IB9LTEQSsjnu+trL2s7T0OYHTJKWZQgkSVPb8o3w29ji0YXVTG27JEEttZrBwERBXhrNrJ/sFMdw88g==" saltValue="QC34ZHJvXryzfQrAJ1qR1Q==" spinCount="100000" sheet="1" objects="1" scenarios="1"/>
  <mergeCells count="3">
    <mergeCell ref="AB1:AF1"/>
    <mergeCell ref="AC4:AD4"/>
    <mergeCell ref="AE4:AF4"/>
  </mergeCells>
  <printOptions gridLines="1"/>
  <pageMargins left="0.2" right="0.21" top="0.18" bottom="0.17" header="0.17" footer="0.17"/>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I46"/>
  <sheetViews>
    <sheetView topLeftCell="A7" zoomScale="85" zoomScaleNormal="85" workbookViewId="0">
      <selection activeCell="G34" sqref="G34"/>
    </sheetView>
  </sheetViews>
  <sheetFormatPr defaultColWidth="8.85546875" defaultRowHeight="11.25" x14ac:dyDescent="0.15"/>
  <cols>
    <col min="1" max="1" width="29.7109375" style="68" customWidth="1"/>
    <col min="2" max="2" width="18.7109375" style="68" customWidth="1"/>
    <col min="3" max="3" width="11.7109375" style="68" customWidth="1"/>
    <col min="4" max="4" width="13.140625" style="68" customWidth="1"/>
    <col min="5" max="5" width="12" style="68" customWidth="1"/>
    <col min="6" max="6" width="13.28515625" style="68" customWidth="1"/>
    <col min="7" max="7" width="12.140625" style="68" customWidth="1"/>
    <col min="8" max="8" width="12.28515625" style="68" customWidth="1"/>
    <col min="9" max="9" width="12.85546875" style="68" customWidth="1"/>
    <col min="10" max="16384" width="8.85546875" style="68"/>
  </cols>
  <sheetData>
    <row r="1" spans="1:4" x14ac:dyDescent="0.15">
      <c r="A1" s="67" t="s">
        <v>72</v>
      </c>
    </row>
    <row r="3" spans="1:4" x14ac:dyDescent="0.15">
      <c r="B3" s="69" t="s">
        <v>73</v>
      </c>
    </row>
    <row r="4" spans="1:4" x14ac:dyDescent="0.15">
      <c r="B4" s="70"/>
    </row>
    <row r="5" spans="1:4" x14ac:dyDescent="0.15">
      <c r="A5" s="71" t="s">
        <v>74</v>
      </c>
    </row>
    <row r="6" spans="1:4" x14ac:dyDescent="0.15">
      <c r="A6" s="68" t="s">
        <v>75</v>
      </c>
      <c r="B6" s="68">
        <v>1.73</v>
      </c>
    </row>
    <row r="7" spans="1:4" x14ac:dyDescent="0.15">
      <c r="A7" s="68" t="s">
        <v>76</v>
      </c>
      <c r="B7" s="68">
        <v>8.01</v>
      </c>
    </row>
    <row r="8" spans="1:4" x14ac:dyDescent="0.15">
      <c r="A8" s="68" t="s">
        <v>77</v>
      </c>
      <c r="B8" s="68">
        <v>4.8600000000000003</v>
      </c>
    </row>
    <row r="9" spans="1:4" x14ac:dyDescent="0.15">
      <c r="A9" s="68" t="s">
        <v>78</v>
      </c>
      <c r="B9" s="68">
        <v>15</v>
      </c>
    </row>
    <row r="10" spans="1:4" x14ac:dyDescent="0.15">
      <c r="A10" s="68" t="s">
        <v>79</v>
      </c>
      <c r="B10" s="68">
        <v>6.1761991606700253</v>
      </c>
    </row>
    <row r="11" spans="1:4" x14ac:dyDescent="0.15">
      <c r="A11" s="68" t="s">
        <v>80</v>
      </c>
      <c r="B11" s="68">
        <v>12.35</v>
      </c>
    </row>
    <row r="12" spans="1:4" x14ac:dyDescent="0.15">
      <c r="A12" s="68" t="s">
        <v>81</v>
      </c>
      <c r="B12" s="68">
        <v>24.84</v>
      </c>
    </row>
    <row r="13" spans="1:4" x14ac:dyDescent="0.15">
      <c r="A13" s="68" t="s">
        <v>82</v>
      </c>
      <c r="B13" s="68">
        <v>12.56</v>
      </c>
    </row>
    <row r="16" spans="1:4" x14ac:dyDescent="0.15">
      <c r="A16" s="71" t="s">
        <v>83</v>
      </c>
      <c r="C16" s="72" t="s">
        <v>84</v>
      </c>
      <c r="D16" s="72" t="s">
        <v>85</v>
      </c>
    </row>
    <row r="17" spans="1:9" x14ac:dyDescent="0.15">
      <c r="A17" s="68" t="s">
        <v>75</v>
      </c>
      <c r="B17" s="68" t="s">
        <v>86</v>
      </c>
      <c r="C17" s="73">
        <v>0.80700000000000005</v>
      </c>
      <c r="D17" s="74">
        <v>0.85</v>
      </c>
      <c r="E17" s="68" t="s">
        <v>87</v>
      </c>
    </row>
    <row r="18" spans="1:9" x14ac:dyDescent="0.15">
      <c r="B18" s="68" t="s">
        <v>88</v>
      </c>
      <c r="C18" s="73">
        <v>0.83799999999999997</v>
      </c>
      <c r="D18" s="74">
        <v>0.85</v>
      </c>
    </row>
    <row r="19" spans="1:9" x14ac:dyDescent="0.15">
      <c r="A19" s="68" t="s">
        <v>76</v>
      </c>
      <c r="B19" s="68" t="s">
        <v>86</v>
      </c>
      <c r="C19" s="73">
        <v>1.835</v>
      </c>
      <c r="D19" s="75">
        <v>2</v>
      </c>
    </row>
    <row r="20" spans="1:9" x14ac:dyDescent="0.15">
      <c r="B20" s="68" t="s">
        <v>88</v>
      </c>
      <c r="C20" s="73">
        <v>1.899</v>
      </c>
      <c r="D20" s="75">
        <v>2</v>
      </c>
    </row>
    <row r="23" spans="1:9" x14ac:dyDescent="0.15">
      <c r="A23" s="71" t="s">
        <v>89</v>
      </c>
    </row>
    <row r="24" spans="1:9" x14ac:dyDescent="0.15">
      <c r="A24" s="69" t="s">
        <v>90</v>
      </c>
    </row>
    <row r="25" spans="1:9" x14ac:dyDescent="0.15">
      <c r="A25" s="76" t="s">
        <v>91</v>
      </c>
      <c r="B25" s="77">
        <v>0.13</v>
      </c>
      <c r="C25" s="76"/>
      <c r="D25" s="77">
        <v>0.31</v>
      </c>
      <c r="E25" s="76"/>
      <c r="F25" s="77">
        <v>0.37</v>
      </c>
      <c r="G25" s="76"/>
      <c r="H25" s="77">
        <v>0.5</v>
      </c>
      <c r="I25" s="76"/>
    </row>
    <row r="26" spans="1:9" x14ac:dyDescent="0.15">
      <c r="B26" s="72" t="s">
        <v>84</v>
      </c>
      <c r="C26" s="72" t="s">
        <v>85</v>
      </c>
      <c r="D26" s="72" t="s">
        <v>84</v>
      </c>
      <c r="E26" s="72" t="s">
        <v>85</v>
      </c>
      <c r="F26" s="72" t="s">
        <v>84</v>
      </c>
      <c r="G26" s="72" t="s">
        <v>85</v>
      </c>
      <c r="H26" s="72" t="s">
        <v>84</v>
      </c>
      <c r="I26" s="72" t="s">
        <v>85</v>
      </c>
    </row>
    <row r="27" spans="1:9" x14ac:dyDescent="0.15">
      <c r="A27" s="68" t="s">
        <v>75</v>
      </c>
      <c r="B27" s="68">
        <v>0.17499999999999999</v>
      </c>
      <c r="C27" s="68">
        <v>0.2</v>
      </c>
      <c r="D27" s="68">
        <v>0.434</v>
      </c>
      <c r="E27" s="78">
        <v>0.4</v>
      </c>
      <c r="F27" s="68">
        <v>0.52700000000000002</v>
      </c>
      <c r="G27" s="68">
        <v>0.55000000000000004</v>
      </c>
      <c r="H27" s="68">
        <v>0.745</v>
      </c>
      <c r="I27" s="68">
        <v>0.8</v>
      </c>
    </row>
    <row r="28" spans="1:9" x14ac:dyDescent="0.15">
      <c r="A28" s="68" t="s">
        <v>76</v>
      </c>
      <c r="B28" s="68">
        <v>0.439</v>
      </c>
      <c r="C28" s="68">
        <v>0.4</v>
      </c>
      <c r="D28" s="68">
        <v>1.048</v>
      </c>
      <c r="E28" s="78">
        <v>1</v>
      </c>
      <c r="F28" s="68">
        <v>1.252</v>
      </c>
      <c r="G28" s="68">
        <v>1.25</v>
      </c>
      <c r="H28" s="68">
        <v>1.708</v>
      </c>
      <c r="I28" s="68">
        <v>1.8</v>
      </c>
    </row>
    <row r="29" spans="1:9" x14ac:dyDescent="0.15">
      <c r="A29" s="68" t="s">
        <v>77</v>
      </c>
      <c r="B29" s="68">
        <v>0.42</v>
      </c>
      <c r="C29" s="68">
        <v>0.4</v>
      </c>
      <c r="D29" s="68">
        <v>1.0469999999999999</v>
      </c>
      <c r="E29" s="78">
        <v>1</v>
      </c>
      <c r="F29" s="68">
        <v>1.2789999999999999</v>
      </c>
      <c r="G29" s="68">
        <v>1.3</v>
      </c>
      <c r="H29" s="68">
        <v>1.84</v>
      </c>
      <c r="I29" s="68">
        <v>1.9</v>
      </c>
    </row>
    <row r="30" spans="1:9" x14ac:dyDescent="0.15">
      <c r="A30" s="68" t="s">
        <v>78</v>
      </c>
      <c r="B30" s="68">
        <v>0.59499999999999997</v>
      </c>
      <c r="C30" s="68">
        <v>0.6</v>
      </c>
      <c r="D30" s="68">
        <v>1.4850000000000001</v>
      </c>
      <c r="E30" s="78">
        <v>1.5</v>
      </c>
      <c r="F30" s="68">
        <v>1.845</v>
      </c>
      <c r="G30" s="68">
        <v>1.85</v>
      </c>
      <c r="H30" s="68">
        <v>2.8450000000000002</v>
      </c>
      <c r="I30" s="68">
        <v>2.9</v>
      </c>
    </row>
    <row r="31" spans="1:9" x14ac:dyDescent="0.15">
      <c r="A31" s="68" t="s">
        <v>79</v>
      </c>
      <c r="B31" s="68">
        <v>0.35699999999999998</v>
      </c>
      <c r="C31" s="68">
        <v>0.35</v>
      </c>
      <c r="D31" s="68">
        <v>1.0009999999999999</v>
      </c>
      <c r="E31" s="78">
        <v>1</v>
      </c>
      <c r="F31" s="68">
        <v>1.27</v>
      </c>
      <c r="G31" s="68">
        <v>1.3</v>
      </c>
      <c r="H31" s="68">
        <v>1.9750000000000001</v>
      </c>
      <c r="I31" s="78">
        <v>2</v>
      </c>
    </row>
    <row r="32" spans="1:9" x14ac:dyDescent="0.15">
      <c r="A32" s="68" t="s">
        <v>80</v>
      </c>
      <c r="B32" s="68">
        <v>1.2450000000000001</v>
      </c>
      <c r="C32" s="68">
        <v>1.1000000000000001</v>
      </c>
      <c r="D32" s="68">
        <v>3.17</v>
      </c>
      <c r="E32" s="78">
        <v>3</v>
      </c>
      <c r="F32" s="68">
        <v>3.86</v>
      </c>
      <c r="G32" s="68">
        <v>3.85</v>
      </c>
      <c r="H32" s="68">
        <v>5.5</v>
      </c>
      <c r="I32" s="68">
        <v>5.6</v>
      </c>
    </row>
    <row r="33" spans="1:9" x14ac:dyDescent="0.15">
      <c r="A33" s="68" t="s">
        <v>81</v>
      </c>
      <c r="B33" s="68">
        <v>2.6949999999999998</v>
      </c>
      <c r="C33" s="68">
        <v>2.5</v>
      </c>
      <c r="D33" s="68">
        <v>6.75</v>
      </c>
      <c r="E33" s="78">
        <v>6.2</v>
      </c>
      <c r="F33" s="68">
        <v>8.1750000000000007</v>
      </c>
      <c r="G33" s="68">
        <v>8.1999999999999993</v>
      </c>
      <c r="H33" s="68">
        <v>11.5</v>
      </c>
      <c r="I33" s="68">
        <v>11.7</v>
      </c>
    </row>
    <row r="34" spans="1:9" x14ac:dyDescent="0.15">
      <c r="A34" s="68" t="s">
        <v>82</v>
      </c>
      <c r="B34" s="68">
        <v>0.88</v>
      </c>
      <c r="C34" s="68">
        <v>0.8</v>
      </c>
      <c r="D34" s="68">
        <v>2.4849999999999999</v>
      </c>
      <c r="E34" s="78">
        <v>2.2999999999999998</v>
      </c>
      <c r="F34" s="68">
        <v>3.12</v>
      </c>
      <c r="G34" s="68">
        <v>3.15</v>
      </c>
      <c r="H34" s="68">
        <v>4.7300000000000004</v>
      </c>
      <c r="I34" s="68">
        <v>4.8</v>
      </c>
    </row>
    <row r="35" spans="1:9" x14ac:dyDescent="0.15">
      <c r="C35" s="68">
        <f>C32/B32</f>
        <v>0.88353413654618473</v>
      </c>
      <c r="E35" s="68">
        <f>E32/D32</f>
        <v>0.94637223974763407</v>
      </c>
      <c r="G35" s="68">
        <f>G32/F32</f>
        <v>0.99740932642487057</v>
      </c>
      <c r="I35" s="68">
        <f>I32/H32</f>
        <v>1.0181818181818181</v>
      </c>
    </row>
    <row r="36" spans="1:9" x14ac:dyDescent="0.15">
      <c r="A36" s="69" t="s">
        <v>92</v>
      </c>
    </row>
    <row r="37" spans="1:9" x14ac:dyDescent="0.15">
      <c r="A37" s="76" t="s">
        <v>91</v>
      </c>
      <c r="B37" s="77">
        <v>0.13</v>
      </c>
      <c r="C37" s="76"/>
      <c r="D37" s="77">
        <v>0.31</v>
      </c>
      <c r="E37" s="76"/>
      <c r="F37" s="77">
        <v>0.37</v>
      </c>
      <c r="G37" s="76"/>
      <c r="H37" s="77">
        <v>0.5</v>
      </c>
      <c r="I37" s="76"/>
    </row>
    <row r="38" spans="1:9" x14ac:dyDescent="0.15">
      <c r="B38" s="72" t="s">
        <v>84</v>
      </c>
      <c r="C38" s="72" t="s">
        <v>85</v>
      </c>
      <c r="D38" s="72" t="s">
        <v>84</v>
      </c>
      <c r="E38" s="72" t="s">
        <v>85</v>
      </c>
      <c r="F38" s="72" t="s">
        <v>84</v>
      </c>
      <c r="G38" s="72" t="s">
        <v>85</v>
      </c>
      <c r="H38" s="72" t="s">
        <v>84</v>
      </c>
      <c r="I38" s="72" t="s">
        <v>85</v>
      </c>
    </row>
    <row r="39" spans="1:9" x14ac:dyDescent="0.15">
      <c r="A39" s="68" t="s">
        <v>75</v>
      </c>
      <c r="B39" s="68">
        <v>0.14099999999999999</v>
      </c>
      <c r="C39" s="68">
        <v>0.15</v>
      </c>
      <c r="D39" s="68">
        <v>0.34599999999999997</v>
      </c>
      <c r="E39" s="78">
        <v>0.35</v>
      </c>
      <c r="F39" s="68">
        <v>0.41799999999999998</v>
      </c>
      <c r="G39" s="68">
        <v>0.4</v>
      </c>
      <c r="H39" s="68">
        <v>0.58099999999999996</v>
      </c>
      <c r="I39" s="68">
        <v>0.6</v>
      </c>
    </row>
    <row r="40" spans="1:9" x14ac:dyDescent="0.15">
      <c r="A40" s="68" t="s">
        <v>76</v>
      </c>
      <c r="B40" s="68">
        <v>0.35499999999999998</v>
      </c>
      <c r="C40" s="68">
        <v>0.35</v>
      </c>
      <c r="D40" s="68">
        <v>0.84699999999999998</v>
      </c>
      <c r="E40" s="78">
        <v>0.85</v>
      </c>
      <c r="F40" s="68">
        <v>1.012</v>
      </c>
      <c r="G40" s="78">
        <v>1</v>
      </c>
      <c r="H40" s="68">
        <v>1.369</v>
      </c>
      <c r="I40" s="68">
        <v>1.4</v>
      </c>
    </row>
    <row r="41" spans="1:9" x14ac:dyDescent="0.15">
      <c r="A41" s="68" t="s">
        <v>77</v>
      </c>
      <c r="B41" s="68">
        <v>0.33700000000000002</v>
      </c>
      <c r="C41" s="68">
        <v>0.35</v>
      </c>
      <c r="D41" s="68">
        <v>0.83099999999999996</v>
      </c>
      <c r="E41" s="78">
        <v>0.85</v>
      </c>
      <c r="F41" s="68">
        <v>1.008</v>
      </c>
      <c r="G41" s="68">
        <v>1.1000000000000001</v>
      </c>
      <c r="H41" s="68">
        <v>1.417</v>
      </c>
      <c r="I41" s="68">
        <v>1.45</v>
      </c>
    </row>
    <row r="42" spans="1:9" x14ac:dyDescent="0.15">
      <c r="A42" s="68" t="s">
        <v>78</v>
      </c>
      <c r="B42" s="68">
        <v>0.48</v>
      </c>
      <c r="C42" s="68">
        <v>0.5</v>
      </c>
      <c r="D42" s="68">
        <v>1.161</v>
      </c>
      <c r="E42" s="78">
        <v>1.2</v>
      </c>
      <c r="F42" s="68">
        <v>1.4219999999999999</v>
      </c>
      <c r="G42" s="68">
        <v>1.5</v>
      </c>
      <c r="H42" s="68">
        <v>2.0750000000000002</v>
      </c>
      <c r="I42" s="68">
        <v>2.1</v>
      </c>
    </row>
    <row r="43" spans="1:9" x14ac:dyDescent="0.15">
      <c r="A43" s="68" t="s">
        <v>79</v>
      </c>
      <c r="B43" s="68">
        <v>0.28499999999999998</v>
      </c>
      <c r="C43" s="68">
        <v>0.3</v>
      </c>
      <c r="D43" s="68">
        <v>0.76500000000000001</v>
      </c>
      <c r="E43" s="238">
        <v>0.75</v>
      </c>
      <c r="F43" s="68">
        <v>0.95799999999999996</v>
      </c>
      <c r="G43" s="78">
        <v>1</v>
      </c>
      <c r="H43" s="68">
        <v>1.4350000000000001</v>
      </c>
      <c r="I43" s="68">
        <v>1.45</v>
      </c>
    </row>
    <row r="44" spans="1:9" x14ac:dyDescent="0.15">
      <c r="A44" s="68" t="s">
        <v>80</v>
      </c>
      <c r="B44" s="68">
        <v>0.999</v>
      </c>
      <c r="C44" s="68">
        <v>0.9</v>
      </c>
      <c r="D44" s="68">
        <v>2.5099999999999998</v>
      </c>
      <c r="E44" s="78">
        <v>2.5</v>
      </c>
      <c r="F44" s="68">
        <v>3.0449999999999999</v>
      </c>
      <c r="G44" s="78">
        <v>3</v>
      </c>
      <c r="H44" s="68">
        <v>4.2699999999999996</v>
      </c>
      <c r="I44" s="68">
        <v>4.3</v>
      </c>
    </row>
    <row r="45" spans="1:9" x14ac:dyDescent="0.15">
      <c r="A45" s="68" t="s">
        <v>81</v>
      </c>
      <c r="B45" s="68">
        <v>2.165</v>
      </c>
      <c r="C45" s="68">
        <v>2.2000000000000002</v>
      </c>
      <c r="D45" s="68">
        <v>5.3579999999999997</v>
      </c>
      <c r="E45" s="78">
        <v>5.3</v>
      </c>
      <c r="F45" s="68">
        <v>6.4749999999999996</v>
      </c>
      <c r="G45" s="68">
        <v>6.2</v>
      </c>
      <c r="H45" s="68">
        <v>9.01</v>
      </c>
      <c r="I45" s="78">
        <v>9</v>
      </c>
    </row>
    <row r="46" spans="1:9" x14ac:dyDescent="0.15">
      <c r="A46" s="68" t="s">
        <v>82</v>
      </c>
      <c r="B46" s="68">
        <v>0.69199999999999995</v>
      </c>
      <c r="C46" s="68">
        <v>0.7</v>
      </c>
      <c r="D46" s="68">
        <v>1.91</v>
      </c>
      <c r="E46" s="78">
        <v>1.9</v>
      </c>
      <c r="F46" s="68">
        <v>2.375</v>
      </c>
      <c r="G46" s="68">
        <v>2.2999999999999998</v>
      </c>
      <c r="H46" s="68">
        <v>3.51</v>
      </c>
      <c r="I46" s="78">
        <v>3.6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C55"/>
  <sheetViews>
    <sheetView topLeftCell="G28" workbookViewId="0">
      <selection activeCell="A28" sqref="A1:F1048576"/>
    </sheetView>
  </sheetViews>
  <sheetFormatPr defaultColWidth="12.42578125" defaultRowHeight="15.75" x14ac:dyDescent="0.25"/>
  <cols>
    <col min="1" max="1" width="5.5703125" style="43" hidden="1" customWidth="1"/>
    <col min="2" max="2" width="36.28515625" style="43" hidden="1" customWidth="1"/>
    <col min="3" max="3" width="8" style="45" hidden="1" customWidth="1"/>
    <col min="4" max="4" width="8.28515625" style="44" hidden="1" customWidth="1"/>
    <col min="5" max="6" width="8" style="43" hidden="1" customWidth="1"/>
    <col min="7" max="19" width="8" style="43" customWidth="1"/>
    <col min="20" max="27" width="6.85546875" style="43" customWidth="1"/>
    <col min="28" max="16384" width="12.42578125" style="43"/>
  </cols>
  <sheetData>
    <row r="1" spans="1:29" ht="31.5" x14ac:dyDescent="0.25">
      <c r="B1" s="47" t="s">
        <v>31</v>
      </c>
      <c r="E1" s="43" t="s">
        <v>21</v>
      </c>
      <c r="F1" s="43" t="s">
        <v>22</v>
      </c>
      <c r="G1" s="43" t="s">
        <v>23</v>
      </c>
      <c r="H1" s="43" t="s">
        <v>24</v>
      </c>
      <c r="I1" s="43" t="s">
        <v>25</v>
      </c>
      <c r="J1" s="43" t="s">
        <v>32</v>
      </c>
      <c r="K1" s="43" t="s">
        <v>26</v>
      </c>
      <c r="L1" s="43" t="s">
        <v>27</v>
      </c>
      <c r="M1" s="43" t="s">
        <v>28</v>
      </c>
      <c r="N1" s="43" t="s">
        <v>29</v>
      </c>
      <c r="O1" s="43" t="s">
        <v>33</v>
      </c>
      <c r="P1" s="43" t="s">
        <v>30</v>
      </c>
      <c r="Q1" s="43" t="s">
        <v>34</v>
      </c>
      <c r="R1" s="43" t="s">
        <v>35</v>
      </c>
      <c r="S1" s="43" t="s">
        <v>36</v>
      </c>
      <c r="T1" s="43" t="s">
        <v>37</v>
      </c>
      <c r="U1" s="43" t="s">
        <v>38</v>
      </c>
      <c r="V1" s="43" t="s">
        <v>39</v>
      </c>
      <c r="W1" s="43" t="s">
        <v>40</v>
      </c>
      <c r="X1" s="43" t="s">
        <v>41</v>
      </c>
      <c r="Y1" s="43" t="s">
        <v>42</v>
      </c>
      <c r="Z1" s="43" t="s">
        <v>43</v>
      </c>
      <c r="AA1" s="43" t="s">
        <v>44</v>
      </c>
      <c r="AB1" s="43" t="s">
        <v>45</v>
      </c>
      <c r="AC1" s="43" t="s">
        <v>46</v>
      </c>
    </row>
    <row r="2" spans="1:29" s="44" customFormat="1" x14ac:dyDescent="0.25">
      <c r="C2" s="48"/>
      <c r="E2" s="49">
        <f>+D3</f>
        <v>0.65</v>
      </c>
      <c r="F2" s="49">
        <f>+D4</f>
        <v>0.4</v>
      </c>
      <c r="G2" s="49">
        <f>+D5</f>
        <v>0.25</v>
      </c>
      <c r="H2" s="49">
        <f>+D6</f>
        <v>0.19999999999999996</v>
      </c>
      <c r="I2" s="49">
        <f>+D8</f>
        <v>0.44999999999999996</v>
      </c>
      <c r="J2" s="49">
        <f>+D9</f>
        <v>0.7</v>
      </c>
      <c r="K2" s="49">
        <f>+D10</f>
        <v>0.45999999999999996</v>
      </c>
      <c r="L2" s="49">
        <f>+D11</f>
        <v>0.51</v>
      </c>
      <c r="M2" s="49">
        <f>+D12</f>
        <v>0.66999999999999993</v>
      </c>
      <c r="N2" s="49">
        <f>+D13</f>
        <v>0.6</v>
      </c>
      <c r="O2" s="49">
        <f>+D14</f>
        <v>0.43000000000000005</v>
      </c>
      <c r="P2" s="49">
        <f>+D15</f>
        <v>0.69</v>
      </c>
      <c r="Q2" s="49">
        <f>+D16</f>
        <v>0.69</v>
      </c>
      <c r="R2" s="49">
        <f>+D17</f>
        <v>0.87</v>
      </c>
      <c r="S2" s="49">
        <f>+D18</f>
        <v>0.87</v>
      </c>
      <c r="T2" s="49">
        <f>+D19</f>
        <v>0.85</v>
      </c>
      <c r="U2" s="49">
        <f>+D20</f>
        <v>0.7</v>
      </c>
      <c r="V2" s="49">
        <f>+D21</f>
        <v>0.8</v>
      </c>
      <c r="W2" s="49">
        <f>+D22</f>
        <v>0.63</v>
      </c>
      <c r="X2" s="49">
        <f>+D23</f>
        <v>0.63</v>
      </c>
      <c r="Y2" s="49">
        <f>+D24</f>
        <v>0.5</v>
      </c>
      <c r="Z2" s="49">
        <f>+D25</f>
        <v>0.5</v>
      </c>
    </row>
    <row r="3" spans="1:29" x14ac:dyDescent="0.25">
      <c r="A3" s="43" t="s">
        <v>21</v>
      </c>
      <c r="B3" s="43" t="s">
        <v>63</v>
      </c>
      <c r="C3" s="45">
        <v>0.35</v>
      </c>
      <c r="D3" s="49">
        <f>+(1-C3)</f>
        <v>0.65</v>
      </c>
      <c r="E3" s="50">
        <f>1-($D$3*E2)</f>
        <v>0.5774999999999999</v>
      </c>
      <c r="F3" s="51">
        <f t="shared" ref="F3:Z3" si="0">1-($D$3*F2)</f>
        <v>0.74</v>
      </c>
      <c r="G3" s="51">
        <f t="shared" si="0"/>
        <v>0.83750000000000002</v>
      </c>
      <c r="H3" s="51">
        <f t="shared" si="0"/>
        <v>0.87</v>
      </c>
      <c r="I3" s="52">
        <f t="shared" si="0"/>
        <v>0.70750000000000002</v>
      </c>
      <c r="J3" s="52">
        <f t="shared" si="0"/>
        <v>0.54500000000000004</v>
      </c>
      <c r="K3" s="51">
        <f t="shared" si="0"/>
        <v>0.70100000000000007</v>
      </c>
      <c r="L3" s="53">
        <f t="shared" si="0"/>
        <v>0.66849999999999998</v>
      </c>
      <c r="M3" s="51">
        <f t="shared" si="0"/>
        <v>0.5645</v>
      </c>
      <c r="N3" s="53">
        <f t="shared" si="0"/>
        <v>0.61</v>
      </c>
      <c r="O3" s="53">
        <f t="shared" si="0"/>
        <v>0.72049999999999992</v>
      </c>
      <c r="P3" s="53">
        <f t="shared" si="0"/>
        <v>0.5515000000000001</v>
      </c>
      <c r="Q3" s="54">
        <f t="shared" si="0"/>
        <v>0.5515000000000001</v>
      </c>
      <c r="R3" s="53">
        <f t="shared" si="0"/>
        <v>0.4345</v>
      </c>
      <c r="S3" s="53">
        <f t="shared" si="0"/>
        <v>0.4345</v>
      </c>
      <c r="T3" s="51">
        <f t="shared" si="0"/>
        <v>0.44750000000000001</v>
      </c>
      <c r="U3" s="53">
        <f t="shared" si="0"/>
        <v>0.54500000000000004</v>
      </c>
      <c r="V3" s="53">
        <f t="shared" si="0"/>
        <v>0.48</v>
      </c>
      <c r="W3" s="53">
        <f t="shared" si="0"/>
        <v>0.59050000000000002</v>
      </c>
      <c r="X3" s="53">
        <f t="shared" si="0"/>
        <v>0.59050000000000002</v>
      </c>
      <c r="Y3" s="54">
        <f t="shared" si="0"/>
        <v>0.67500000000000004</v>
      </c>
      <c r="Z3" s="54">
        <f t="shared" si="0"/>
        <v>0.67500000000000004</v>
      </c>
    </row>
    <row r="4" spans="1:29" x14ac:dyDescent="0.25">
      <c r="A4" s="43" t="s">
        <v>22</v>
      </c>
      <c r="B4" s="43" t="s">
        <v>47</v>
      </c>
      <c r="C4" s="45">
        <v>0.6</v>
      </c>
      <c r="D4" s="49">
        <f t="shared" ref="D4:D25" si="1">+(1-C4)</f>
        <v>0.4</v>
      </c>
      <c r="E4" s="51">
        <f>1-+$D$4*E2</f>
        <v>0.74</v>
      </c>
      <c r="F4" s="50">
        <f t="shared" ref="F4:Z4" si="2">1-+$D$4*F2</f>
        <v>0.84</v>
      </c>
      <c r="G4" s="51">
        <f t="shared" si="2"/>
        <v>0.9</v>
      </c>
      <c r="H4" s="51">
        <f t="shared" si="2"/>
        <v>0.92</v>
      </c>
      <c r="I4" s="51">
        <f t="shared" si="2"/>
        <v>0.82000000000000006</v>
      </c>
      <c r="J4" s="51">
        <f t="shared" si="2"/>
        <v>0.72</v>
      </c>
      <c r="K4" s="51">
        <f t="shared" si="2"/>
        <v>0.81600000000000006</v>
      </c>
      <c r="L4" s="53">
        <f t="shared" si="2"/>
        <v>0.79600000000000004</v>
      </c>
      <c r="M4" s="51">
        <f t="shared" si="2"/>
        <v>0.73199999999999998</v>
      </c>
      <c r="N4" s="53">
        <f t="shared" si="2"/>
        <v>0.76</v>
      </c>
      <c r="O4" s="53">
        <f t="shared" si="2"/>
        <v>0.82799999999999996</v>
      </c>
      <c r="P4" s="51">
        <f t="shared" si="2"/>
        <v>0.72399999999999998</v>
      </c>
      <c r="Q4" s="51">
        <f t="shared" si="2"/>
        <v>0.72399999999999998</v>
      </c>
      <c r="R4" s="51">
        <f t="shared" si="2"/>
        <v>0.65199999999999991</v>
      </c>
      <c r="S4" s="51">
        <f t="shared" si="2"/>
        <v>0.65199999999999991</v>
      </c>
      <c r="T4" s="51">
        <f t="shared" si="2"/>
        <v>0.65999999999999992</v>
      </c>
      <c r="U4" s="53">
        <f t="shared" si="2"/>
        <v>0.72</v>
      </c>
      <c r="V4" s="53">
        <f t="shared" si="2"/>
        <v>0.67999999999999994</v>
      </c>
      <c r="W4" s="51">
        <f t="shared" si="2"/>
        <v>0.748</v>
      </c>
      <c r="X4" s="51">
        <f t="shared" si="2"/>
        <v>0.748</v>
      </c>
      <c r="Y4" s="51">
        <f t="shared" si="2"/>
        <v>0.8</v>
      </c>
      <c r="Z4" s="51">
        <f t="shared" si="2"/>
        <v>0.8</v>
      </c>
    </row>
    <row r="5" spans="1:29" x14ac:dyDescent="0.25">
      <c r="A5" s="43" t="s">
        <v>23</v>
      </c>
      <c r="B5" s="43" t="s">
        <v>48</v>
      </c>
      <c r="C5" s="45">
        <v>0.75</v>
      </c>
      <c r="D5" s="49">
        <f t="shared" si="1"/>
        <v>0.25</v>
      </c>
      <c r="E5" s="51">
        <f>1-+$D$5*E2</f>
        <v>0.83750000000000002</v>
      </c>
      <c r="F5" s="51">
        <f t="shared" ref="F5:Z5" si="3">1-+$D$5*F2</f>
        <v>0.9</v>
      </c>
      <c r="G5" s="50">
        <f t="shared" si="3"/>
        <v>0.9375</v>
      </c>
      <c r="H5" s="51">
        <f t="shared" si="3"/>
        <v>0.95</v>
      </c>
      <c r="I5" s="51">
        <f t="shared" si="3"/>
        <v>0.88749999999999996</v>
      </c>
      <c r="J5" s="51">
        <f t="shared" si="3"/>
        <v>0.82499999999999996</v>
      </c>
      <c r="K5" s="51">
        <f t="shared" si="3"/>
        <v>0.88500000000000001</v>
      </c>
      <c r="L5" s="53">
        <f t="shared" si="3"/>
        <v>0.87250000000000005</v>
      </c>
      <c r="M5" s="51">
        <f t="shared" si="3"/>
        <v>0.83250000000000002</v>
      </c>
      <c r="N5" s="53">
        <f t="shared" si="3"/>
        <v>0.85</v>
      </c>
      <c r="O5" s="53">
        <f t="shared" si="3"/>
        <v>0.89249999999999996</v>
      </c>
      <c r="P5" s="51">
        <f t="shared" si="3"/>
        <v>0.82750000000000001</v>
      </c>
      <c r="Q5" s="51">
        <f t="shared" si="3"/>
        <v>0.82750000000000001</v>
      </c>
      <c r="R5" s="51">
        <f t="shared" si="3"/>
        <v>0.78249999999999997</v>
      </c>
      <c r="S5" s="51">
        <f t="shared" si="3"/>
        <v>0.78249999999999997</v>
      </c>
      <c r="T5" s="51">
        <f t="shared" si="3"/>
        <v>0.78749999999999998</v>
      </c>
      <c r="U5" s="53">
        <f t="shared" si="3"/>
        <v>0.82499999999999996</v>
      </c>
      <c r="V5" s="53">
        <f t="shared" si="3"/>
        <v>0.8</v>
      </c>
      <c r="W5" s="51">
        <f t="shared" si="3"/>
        <v>0.84250000000000003</v>
      </c>
      <c r="X5" s="51">
        <f t="shared" si="3"/>
        <v>0.84250000000000003</v>
      </c>
      <c r="Y5" s="51">
        <f t="shared" si="3"/>
        <v>0.875</v>
      </c>
      <c r="Z5" s="51">
        <f t="shared" si="3"/>
        <v>0.875</v>
      </c>
    </row>
    <row r="6" spans="1:29" x14ac:dyDescent="0.25">
      <c r="A6" s="43" t="s">
        <v>24</v>
      </c>
      <c r="B6" s="43" t="s">
        <v>49</v>
      </c>
      <c r="C6" s="45">
        <v>0.8</v>
      </c>
      <c r="D6" s="49">
        <f t="shared" si="1"/>
        <v>0.19999999999999996</v>
      </c>
      <c r="E6" s="51">
        <f>1-+$D$6*E2</f>
        <v>0.87</v>
      </c>
      <c r="F6" s="51">
        <f t="shared" ref="F6:Z6" si="4">1-+$D$6*F2</f>
        <v>0.92</v>
      </c>
      <c r="G6" s="51">
        <f t="shared" si="4"/>
        <v>0.95</v>
      </c>
      <c r="H6" s="50">
        <f t="shared" si="4"/>
        <v>0.96</v>
      </c>
      <c r="I6" s="51">
        <f t="shared" si="4"/>
        <v>0.91</v>
      </c>
      <c r="J6" s="51">
        <f t="shared" si="4"/>
        <v>0.8600000000000001</v>
      </c>
      <c r="K6" s="51">
        <f t="shared" si="4"/>
        <v>0.90800000000000003</v>
      </c>
      <c r="L6" s="53">
        <f t="shared" si="4"/>
        <v>0.89800000000000002</v>
      </c>
      <c r="M6" s="51">
        <f t="shared" si="4"/>
        <v>0.8660000000000001</v>
      </c>
      <c r="N6" s="53">
        <f t="shared" si="4"/>
        <v>0.88</v>
      </c>
      <c r="O6" s="53">
        <f t="shared" si="4"/>
        <v>0.91400000000000003</v>
      </c>
      <c r="P6" s="51">
        <f t="shared" si="4"/>
        <v>0.8620000000000001</v>
      </c>
      <c r="Q6" s="51">
        <f t="shared" si="4"/>
        <v>0.8620000000000001</v>
      </c>
      <c r="R6" s="51">
        <f t="shared" si="4"/>
        <v>0.82600000000000007</v>
      </c>
      <c r="S6" s="51">
        <f t="shared" si="4"/>
        <v>0.82600000000000007</v>
      </c>
      <c r="T6" s="51">
        <f t="shared" si="4"/>
        <v>0.83000000000000007</v>
      </c>
      <c r="U6" s="53">
        <f t="shared" si="4"/>
        <v>0.8600000000000001</v>
      </c>
      <c r="V6" s="53">
        <f t="shared" si="4"/>
        <v>0.84000000000000008</v>
      </c>
      <c r="W6" s="51">
        <f t="shared" si="4"/>
        <v>0.874</v>
      </c>
      <c r="X6" s="51">
        <f t="shared" si="4"/>
        <v>0.874</v>
      </c>
      <c r="Y6" s="51">
        <f t="shared" si="4"/>
        <v>0.9</v>
      </c>
      <c r="Z6" s="51">
        <f t="shared" si="4"/>
        <v>0.9</v>
      </c>
    </row>
    <row r="7" spans="1:29" x14ac:dyDescent="0.25">
      <c r="B7" s="43" t="s">
        <v>94</v>
      </c>
      <c r="D7" s="49"/>
      <c r="E7" s="51"/>
      <c r="F7" s="51"/>
      <c r="G7" s="51"/>
      <c r="H7" s="50"/>
      <c r="I7" s="51"/>
      <c r="J7" s="51"/>
      <c r="K7" s="51"/>
      <c r="L7" s="53"/>
      <c r="M7" s="51"/>
      <c r="N7" s="53"/>
      <c r="O7" s="53"/>
      <c r="P7" s="51"/>
      <c r="Q7" s="51"/>
      <c r="R7" s="51"/>
      <c r="S7" s="51"/>
      <c r="T7" s="51"/>
      <c r="U7" s="53"/>
      <c r="V7" s="53"/>
      <c r="W7" s="51"/>
      <c r="X7" s="51"/>
      <c r="Y7" s="51"/>
      <c r="Z7" s="51"/>
    </row>
    <row r="8" spans="1:29" x14ac:dyDescent="0.25">
      <c r="A8" s="43" t="s">
        <v>25</v>
      </c>
      <c r="B8" s="43" t="s">
        <v>95</v>
      </c>
      <c r="C8" s="45">
        <v>0.55000000000000004</v>
      </c>
      <c r="D8" s="49">
        <f t="shared" si="1"/>
        <v>0.44999999999999996</v>
      </c>
      <c r="E8" s="52">
        <f>1-+$D$8*E2</f>
        <v>0.70750000000000002</v>
      </c>
      <c r="F8" s="51">
        <f t="shared" ref="F8:Z8" si="5">1-+$D$8*F2</f>
        <v>0.82000000000000006</v>
      </c>
      <c r="G8" s="51">
        <f t="shared" si="5"/>
        <v>0.88749999999999996</v>
      </c>
      <c r="H8" s="51">
        <f t="shared" si="5"/>
        <v>0.91</v>
      </c>
      <c r="I8" s="50">
        <f t="shared" si="5"/>
        <v>0.7975000000000001</v>
      </c>
      <c r="J8" s="53">
        <f t="shared" si="5"/>
        <v>0.68500000000000005</v>
      </c>
      <c r="K8" s="51">
        <f t="shared" si="5"/>
        <v>0.79300000000000004</v>
      </c>
      <c r="L8" s="51">
        <f t="shared" si="5"/>
        <v>0.77049999999999996</v>
      </c>
      <c r="M8" s="54">
        <f t="shared" si="5"/>
        <v>0.69850000000000012</v>
      </c>
      <c r="N8" s="54">
        <f t="shared" si="5"/>
        <v>0.73</v>
      </c>
      <c r="O8" s="54">
        <f t="shared" si="5"/>
        <v>0.80649999999999999</v>
      </c>
      <c r="P8" s="55">
        <f t="shared" si="5"/>
        <v>0.6895</v>
      </c>
      <c r="Q8" s="55">
        <f t="shared" si="5"/>
        <v>0.6895</v>
      </c>
      <c r="R8" s="55">
        <f t="shared" si="5"/>
        <v>0.60850000000000004</v>
      </c>
      <c r="S8" s="55">
        <f t="shared" si="5"/>
        <v>0.60850000000000004</v>
      </c>
      <c r="T8" s="51">
        <f t="shared" si="5"/>
        <v>0.61750000000000005</v>
      </c>
      <c r="U8" s="53">
        <f t="shared" si="5"/>
        <v>0.68500000000000005</v>
      </c>
      <c r="V8" s="53">
        <f t="shared" si="5"/>
        <v>0.64</v>
      </c>
      <c r="W8" s="55">
        <f t="shared" si="5"/>
        <v>0.71650000000000003</v>
      </c>
      <c r="X8" s="55">
        <f t="shared" si="5"/>
        <v>0.71650000000000003</v>
      </c>
      <c r="Y8" s="53">
        <f t="shared" si="5"/>
        <v>0.77500000000000002</v>
      </c>
      <c r="Z8" s="55">
        <f t="shared" si="5"/>
        <v>0.77500000000000002</v>
      </c>
    </row>
    <row r="9" spans="1:29" x14ac:dyDescent="0.25">
      <c r="A9" s="43" t="s">
        <v>32</v>
      </c>
      <c r="B9" s="43" t="s">
        <v>96</v>
      </c>
      <c r="C9" s="45">
        <v>0.3</v>
      </c>
      <c r="D9" s="49">
        <f t="shared" si="1"/>
        <v>0.7</v>
      </c>
      <c r="E9" s="52">
        <f>1-+$D$9*E2</f>
        <v>0.54500000000000004</v>
      </c>
      <c r="F9" s="51">
        <f t="shared" ref="F9:Z9" si="6">1-+$D$9*F2</f>
        <v>0.72</v>
      </c>
      <c r="G9" s="51">
        <f t="shared" si="6"/>
        <v>0.82499999999999996</v>
      </c>
      <c r="H9" s="51">
        <f t="shared" si="6"/>
        <v>0.8600000000000001</v>
      </c>
      <c r="I9" s="51">
        <f t="shared" si="6"/>
        <v>0.68500000000000005</v>
      </c>
      <c r="J9" s="50">
        <f t="shared" si="6"/>
        <v>0.51</v>
      </c>
      <c r="K9" s="51">
        <f t="shared" si="6"/>
        <v>0.67800000000000005</v>
      </c>
      <c r="L9" s="51">
        <f t="shared" si="6"/>
        <v>0.64300000000000002</v>
      </c>
      <c r="M9" s="53">
        <f t="shared" si="6"/>
        <v>0.53100000000000014</v>
      </c>
      <c r="N9" s="53">
        <f t="shared" si="6"/>
        <v>0.58000000000000007</v>
      </c>
      <c r="O9" s="53">
        <f t="shared" si="6"/>
        <v>0.69900000000000007</v>
      </c>
      <c r="P9" s="55">
        <f t="shared" si="6"/>
        <v>0.51700000000000013</v>
      </c>
      <c r="Q9" s="55">
        <f t="shared" si="6"/>
        <v>0.51700000000000013</v>
      </c>
      <c r="R9" s="55">
        <f t="shared" si="6"/>
        <v>0.39100000000000001</v>
      </c>
      <c r="S9" s="55">
        <f t="shared" si="6"/>
        <v>0.39100000000000001</v>
      </c>
      <c r="T9" s="51">
        <f t="shared" si="6"/>
        <v>0.40500000000000003</v>
      </c>
      <c r="U9" s="53">
        <f t="shared" si="6"/>
        <v>0.51</v>
      </c>
      <c r="V9" s="53">
        <f t="shared" si="6"/>
        <v>0.44000000000000006</v>
      </c>
      <c r="W9" s="55">
        <f t="shared" si="6"/>
        <v>0.55900000000000005</v>
      </c>
      <c r="X9" s="55">
        <f t="shared" si="6"/>
        <v>0.55900000000000005</v>
      </c>
      <c r="Y9" s="55">
        <f t="shared" si="6"/>
        <v>0.65</v>
      </c>
      <c r="Z9" s="55">
        <f t="shared" si="6"/>
        <v>0.65</v>
      </c>
    </row>
    <row r="10" spans="1:29" x14ac:dyDescent="0.25">
      <c r="A10" s="43" t="s">
        <v>26</v>
      </c>
      <c r="B10" s="43" t="s">
        <v>97</v>
      </c>
      <c r="C10" s="45">
        <v>0.54</v>
      </c>
      <c r="D10" s="49">
        <f t="shared" si="1"/>
        <v>0.45999999999999996</v>
      </c>
      <c r="E10" s="51">
        <f>1-+$D$10*E2</f>
        <v>0.70100000000000007</v>
      </c>
      <c r="F10" s="51">
        <f t="shared" ref="F10:Z10" si="7">1-+$D$10*F2</f>
        <v>0.81600000000000006</v>
      </c>
      <c r="G10" s="51">
        <f t="shared" si="7"/>
        <v>0.88500000000000001</v>
      </c>
      <c r="H10" s="51">
        <f t="shared" si="7"/>
        <v>0.90800000000000003</v>
      </c>
      <c r="I10" s="51">
        <f t="shared" si="7"/>
        <v>0.79300000000000004</v>
      </c>
      <c r="J10" s="51">
        <f t="shared" si="7"/>
        <v>0.67800000000000005</v>
      </c>
      <c r="K10" s="50">
        <f t="shared" si="7"/>
        <v>0.78839999999999999</v>
      </c>
      <c r="L10" s="51">
        <f t="shared" si="7"/>
        <v>0.76540000000000008</v>
      </c>
      <c r="M10" s="51">
        <f t="shared" si="7"/>
        <v>0.69180000000000008</v>
      </c>
      <c r="N10" s="51">
        <f t="shared" si="7"/>
        <v>0.72399999999999998</v>
      </c>
      <c r="O10" s="51">
        <f t="shared" si="7"/>
        <v>0.80220000000000002</v>
      </c>
      <c r="P10" s="51">
        <f t="shared" si="7"/>
        <v>0.6826000000000001</v>
      </c>
      <c r="Q10" s="51">
        <f t="shared" si="7"/>
        <v>0.6826000000000001</v>
      </c>
      <c r="R10" s="51">
        <f t="shared" si="7"/>
        <v>0.59980000000000011</v>
      </c>
      <c r="S10" s="51">
        <f t="shared" si="7"/>
        <v>0.59980000000000011</v>
      </c>
      <c r="T10" s="51">
        <f t="shared" si="7"/>
        <v>0.60899999999999999</v>
      </c>
      <c r="U10" s="51">
        <f t="shared" si="7"/>
        <v>0.67800000000000005</v>
      </c>
      <c r="V10" s="51">
        <f t="shared" si="7"/>
        <v>0.63200000000000001</v>
      </c>
      <c r="W10" s="51">
        <f t="shared" si="7"/>
        <v>0.71019999999999994</v>
      </c>
      <c r="X10" s="51">
        <f t="shared" si="7"/>
        <v>0.71019999999999994</v>
      </c>
      <c r="Y10" s="51">
        <f t="shared" si="7"/>
        <v>0.77</v>
      </c>
      <c r="Z10" s="51">
        <f t="shared" si="7"/>
        <v>0.77</v>
      </c>
    </row>
    <row r="11" spans="1:29" x14ac:dyDescent="0.25">
      <c r="A11" s="43" t="s">
        <v>27</v>
      </c>
      <c r="B11" s="43" t="s">
        <v>51</v>
      </c>
      <c r="C11" s="45">
        <v>0.49</v>
      </c>
      <c r="D11" s="49">
        <f t="shared" si="1"/>
        <v>0.51</v>
      </c>
      <c r="E11" s="53">
        <f>1-+$D$11*E2</f>
        <v>0.66849999999999998</v>
      </c>
      <c r="F11" s="53">
        <f t="shared" ref="F11:Z11" si="8">1-+$D$11*F2</f>
        <v>0.79600000000000004</v>
      </c>
      <c r="G11" s="53">
        <f t="shared" si="8"/>
        <v>0.87250000000000005</v>
      </c>
      <c r="H11" s="53">
        <f t="shared" si="8"/>
        <v>0.89800000000000002</v>
      </c>
      <c r="I11" s="51">
        <f t="shared" si="8"/>
        <v>0.77049999999999996</v>
      </c>
      <c r="J11" s="51">
        <f t="shared" si="8"/>
        <v>0.64300000000000002</v>
      </c>
      <c r="K11" s="51">
        <f t="shared" si="8"/>
        <v>0.76540000000000008</v>
      </c>
      <c r="L11" s="50">
        <f t="shared" si="8"/>
        <v>0.7399</v>
      </c>
      <c r="M11" s="53">
        <f t="shared" si="8"/>
        <v>0.65830000000000011</v>
      </c>
      <c r="N11" s="53">
        <f t="shared" si="8"/>
        <v>0.69399999999999995</v>
      </c>
      <c r="O11" s="53">
        <f t="shared" si="8"/>
        <v>0.78069999999999995</v>
      </c>
      <c r="P11" s="53">
        <f t="shared" si="8"/>
        <v>0.64810000000000001</v>
      </c>
      <c r="Q11" s="53">
        <f t="shared" si="8"/>
        <v>0.64810000000000001</v>
      </c>
      <c r="R11" s="53">
        <f t="shared" si="8"/>
        <v>0.55630000000000002</v>
      </c>
      <c r="S11" s="53">
        <f t="shared" si="8"/>
        <v>0.55630000000000002</v>
      </c>
      <c r="T11" s="51">
        <f t="shared" si="8"/>
        <v>0.5665</v>
      </c>
      <c r="U11" s="51">
        <f t="shared" si="8"/>
        <v>0.64300000000000002</v>
      </c>
      <c r="V11" s="51">
        <f t="shared" si="8"/>
        <v>0.59199999999999997</v>
      </c>
      <c r="W11" s="53">
        <f t="shared" si="8"/>
        <v>0.67869999999999997</v>
      </c>
      <c r="X11" s="53">
        <f t="shared" si="8"/>
        <v>0.67869999999999997</v>
      </c>
      <c r="Y11" s="53">
        <f t="shared" si="8"/>
        <v>0.745</v>
      </c>
      <c r="Z11" s="53">
        <f t="shared" si="8"/>
        <v>0.745</v>
      </c>
    </row>
    <row r="12" spans="1:29" x14ac:dyDescent="0.25">
      <c r="A12" s="43" t="s">
        <v>28</v>
      </c>
      <c r="B12" s="43" t="s">
        <v>52</v>
      </c>
      <c r="C12" s="45">
        <v>0.33</v>
      </c>
      <c r="D12" s="49">
        <f t="shared" si="1"/>
        <v>0.66999999999999993</v>
      </c>
      <c r="E12" s="51">
        <f>1-+$D$12*E2</f>
        <v>0.5645</v>
      </c>
      <c r="F12" s="51">
        <f t="shared" ref="F12:Z12" si="9">1-+$D$12*F2</f>
        <v>0.73199999999999998</v>
      </c>
      <c r="G12" s="51">
        <f t="shared" si="9"/>
        <v>0.83250000000000002</v>
      </c>
      <c r="H12" s="51">
        <f t="shared" si="9"/>
        <v>0.8660000000000001</v>
      </c>
      <c r="I12" s="54">
        <f t="shared" si="9"/>
        <v>0.69850000000000012</v>
      </c>
      <c r="J12" s="53">
        <f t="shared" si="9"/>
        <v>0.53100000000000014</v>
      </c>
      <c r="K12" s="51">
        <f t="shared" si="9"/>
        <v>0.69180000000000008</v>
      </c>
      <c r="L12" s="53">
        <f t="shared" si="9"/>
        <v>0.65830000000000011</v>
      </c>
      <c r="M12" s="50">
        <f t="shared" si="9"/>
        <v>0.55110000000000015</v>
      </c>
      <c r="N12" s="53">
        <f t="shared" si="9"/>
        <v>0.59800000000000009</v>
      </c>
      <c r="O12" s="53">
        <f t="shared" si="9"/>
        <v>0.71189999999999998</v>
      </c>
      <c r="P12" s="54">
        <f t="shared" si="9"/>
        <v>0.53770000000000007</v>
      </c>
      <c r="Q12" s="54">
        <f t="shared" si="9"/>
        <v>0.53770000000000007</v>
      </c>
      <c r="R12" s="53">
        <f t="shared" si="9"/>
        <v>0.41710000000000003</v>
      </c>
      <c r="S12" s="53">
        <f t="shared" si="9"/>
        <v>0.41710000000000003</v>
      </c>
      <c r="T12" s="51">
        <f t="shared" si="9"/>
        <v>0.4305000000000001</v>
      </c>
      <c r="U12" s="53">
        <f t="shared" si="9"/>
        <v>0.53100000000000014</v>
      </c>
      <c r="V12" s="53">
        <f t="shared" si="9"/>
        <v>0.46400000000000008</v>
      </c>
      <c r="W12" s="53">
        <f t="shared" si="9"/>
        <v>0.57790000000000008</v>
      </c>
      <c r="X12" s="53">
        <f t="shared" si="9"/>
        <v>0.57790000000000008</v>
      </c>
      <c r="Y12" s="53">
        <f t="shared" si="9"/>
        <v>0.66500000000000004</v>
      </c>
      <c r="Z12" s="54">
        <f t="shared" si="9"/>
        <v>0.66500000000000004</v>
      </c>
    </row>
    <row r="13" spans="1:29" x14ac:dyDescent="0.25">
      <c r="A13" s="43" t="s">
        <v>29</v>
      </c>
      <c r="B13" s="43" t="s">
        <v>53</v>
      </c>
      <c r="C13" s="45">
        <v>0.4</v>
      </c>
      <c r="D13" s="49">
        <f t="shared" si="1"/>
        <v>0.6</v>
      </c>
      <c r="E13" s="53">
        <f>1-+$D$13*E2</f>
        <v>0.61</v>
      </c>
      <c r="F13" s="53">
        <f t="shared" ref="F13:Z13" si="10">1-+$D$13*F2</f>
        <v>0.76</v>
      </c>
      <c r="G13" s="53">
        <f t="shared" si="10"/>
        <v>0.85</v>
      </c>
      <c r="H13" s="53">
        <f t="shared" si="10"/>
        <v>0.88</v>
      </c>
      <c r="I13" s="54">
        <f t="shared" si="10"/>
        <v>0.73</v>
      </c>
      <c r="J13" s="53">
        <f t="shared" si="10"/>
        <v>0.58000000000000007</v>
      </c>
      <c r="K13" s="51">
        <f t="shared" si="10"/>
        <v>0.72399999999999998</v>
      </c>
      <c r="L13" s="53">
        <f t="shared" si="10"/>
        <v>0.69399999999999995</v>
      </c>
      <c r="M13" s="53">
        <f t="shared" si="10"/>
        <v>0.59800000000000009</v>
      </c>
      <c r="N13" s="50">
        <f t="shared" si="10"/>
        <v>0.64</v>
      </c>
      <c r="O13" s="53">
        <f t="shared" si="10"/>
        <v>0.74199999999999999</v>
      </c>
      <c r="P13" s="53">
        <f t="shared" si="10"/>
        <v>0.58600000000000008</v>
      </c>
      <c r="Q13" s="54">
        <f t="shared" si="10"/>
        <v>0.58600000000000008</v>
      </c>
      <c r="R13" s="53">
        <f t="shared" si="10"/>
        <v>0.47799999999999998</v>
      </c>
      <c r="S13" s="53">
        <f t="shared" si="10"/>
        <v>0.47799999999999998</v>
      </c>
      <c r="T13" s="51">
        <f t="shared" si="10"/>
        <v>0.49</v>
      </c>
      <c r="U13" s="53">
        <f t="shared" si="10"/>
        <v>0.58000000000000007</v>
      </c>
      <c r="V13" s="53">
        <f t="shared" si="10"/>
        <v>0.52</v>
      </c>
      <c r="W13" s="53">
        <f t="shared" si="10"/>
        <v>0.622</v>
      </c>
      <c r="X13" s="53">
        <f t="shared" si="10"/>
        <v>0.622</v>
      </c>
      <c r="Y13" s="53">
        <f t="shared" si="10"/>
        <v>0.7</v>
      </c>
      <c r="Z13" s="53">
        <f t="shared" si="10"/>
        <v>0.7</v>
      </c>
    </row>
    <row r="14" spans="1:29" x14ac:dyDescent="0.25">
      <c r="A14" s="43" t="s">
        <v>33</v>
      </c>
      <c r="B14" s="43" t="s">
        <v>19</v>
      </c>
      <c r="C14" s="45">
        <v>0.56999999999999995</v>
      </c>
      <c r="D14" s="49">
        <f t="shared" si="1"/>
        <v>0.43000000000000005</v>
      </c>
      <c r="E14" s="53">
        <f>1-+$D$14*E2</f>
        <v>0.72049999999999992</v>
      </c>
      <c r="F14" s="53">
        <f t="shared" ref="F14:Z14" si="11">1-+$D$14*F2</f>
        <v>0.82799999999999996</v>
      </c>
      <c r="G14" s="53">
        <f t="shared" si="11"/>
        <v>0.89249999999999996</v>
      </c>
      <c r="H14" s="53">
        <f t="shared" si="11"/>
        <v>0.91400000000000003</v>
      </c>
      <c r="I14" s="54">
        <f t="shared" si="11"/>
        <v>0.80649999999999999</v>
      </c>
      <c r="J14" s="53">
        <f t="shared" si="11"/>
        <v>0.69900000000000007</v>
      </c>
      <c r="K14" s="51">
        <f t="shared" si="11"/>
        <v>0.80220000000000002</v>
      </c>
      <c r="L14" s="53">
        <f t="shared" si="11"/>
        <v>0.78069999999999995</v>
      </c>
      <c r="M14" s="53">
        <f t="shared" si="11"/>
        <v>0.71189999999999998</v>
      </c>
      <c r="N14" s="53">
        <f t="shared" si="11"/>
        <v>0.74199999999999999</v>
      </c>
      <c r="O14" s="50">
        <f t="shared" si="11"/>
        <v>0.81509999999999994</v>
      </c>
      <c r="P14" s="54">
        <f t="shared" si="11"/>
        <v>0.70330000000000004</v>
      </c>
      <c r="Q14" s="54">
        <f t="shared" si="11"/>
        <v>0.70330000000000004</v>
      </c>
      <c r="R14" s="53">
        <f t="shared" si="11"/>
        <v>0.6258999999999999</v>
      </c>
      <c r="S14" s="54">
        <f t="shared" si="11"/>
        <v>0.6258999999999999</v>
      </c>
      <c r="T14" s="51">
        <f t="shared" si="11"/>
        <v>0.63449999999999995</v>
      </c>
      <c r="U14" s="53">
        <f t="shared" si="11"/>
        <v>0.69900000000000007</v>
      </c>
      <c r="V14" s="53">
        <f t="shared" si="11"/>
        <v>0.65599999999999992</v>
      </c>
      <c r="W14" s="53">
        <f t="shared" si="11"/>
        <v>0.72909999999999997</v>
      </c>
      <c r="X14" s="53">
        <f t="shared" si="11"/>
        <v>0.72909999999999997</v>
      </c>
      <c r="Y14" s="53">
        <f t="shared" si="11"/>
        <v>0.78499999999999992</v>
      </c>
      <c r="Z14" s="54">
        <f t="shared" si="11"/>
        <v>0.78499999999999992</v>
      </c>
    </row>
    <row r="15" spans="1:29" x14ac:dyDescent="0.25">
      <c r="A15" s="43" t="s">
        <v>30</v>
      </c>
      <c r="B15" s="43" t="s">
        <v>64</v>
      </c>
      <c r="C15" s="45">
        <v>0.31</v>
      </c>
      <c r="D15" s="49">
        <f t="shared" si="1"/>
        <v>0.69</v>
      </c>
      <c r="E15" s="53">
        <f>1-+$D$15*E2</f>
        <v>0.5515000000000001</v>
      </c>
      <c r="F15" s="51">
        <f t="shared" ref="F15:Z15" si="12">1-+$D$15*F2</f>
        <v>0.72399999999999998</v>
      </c>
      <c r="G15" s="51">
        <f t="shared" si="12"/>
        <v>0.82750000000000001</v>
      </c>
      <c r="H15" s="51">
        <f t="shared" si="12"/>
        <v>0.8620000000000001</v>
      </c>
      <c r="I15" s="55">
        <f t="shared" si="12"/>
        <v>0.6895</v>
      </c>
      <c r="J15" s="55">
        <f t="shared" si="12"/>
        <v>0.51700000000000013</v>
      </c>
      <c r="K15" s="51">
        <f t="shared" si="12"/>
        <v>0.6826000000000001</v>
      </c>
      <c r="L15" s="53">
        <f t="shared" si="12"/>
        <v>0.64810000000000001</v>
      </c>
      <c r="M15" s="54">
        <f t="shared" si="12"/>
        <v>0.53770000000000007</v>
      </c>
      <c r="N15" s="53">
        <f t="shared" si="12"/>
        <v>0.58600000000000008</v>
      </c>
      <c r="O15" s="54">
        <f t="shared" si="12"/>
        <v>0.70330000000000004</v>
      </c>
      <c r="P15" s="50">
        <f t="shared" si="12"/>
        <v>0.52390000000000003</v>
      </c>
      <c r="Q15" s="50">
        <f t="shared" si="12"/>
        <v>0.52390000000000003</v>
      </c>
      <c r="R15" s="51">
        <f t="shared" si="12"/>
        <v>0.39970000000000006</v>
      </c>
      <c r="S15" s="51">
        <f t="shared" si="12"/>
        <v>0.39970000000000006</v>
      </c>
      <c r="T15" s="51">
        <f t="shared" si="12"/>
        <v>0.41350000000000009</v>
      </c>
      <c r="U15" s="55">
        <f t="shared" si="12"/>
        <v>0.51700000000000013</v>
      </c>
      <c r="V15" s="55">
        <f t="shared" si="12"/>
        <v>0.44800000000000006</v>
      </c>
      <c r="W15" s="53">
        <f t="shared" si="12"/>
        <v>0.56530000000000002</v>
      </c>
      <c r="X15" s="53">
        <f t="shared" si="12"/>
        <v>0.56530000000000002</v>
      </c>
      <c r="Y15" s="51">
        <f t="shared" si="12"/>
        <v>0.65500000000000003</v>
      </c>
      <c r="Z15" s="51">
        <f t="shared" si="12"/>
        <v>0.65500000000000003</v>
      </c>
    </row>
    <row r="16" spans="1:29" x14ac:dyDescent="0.25">
      <c r="A16" s="43" t="s">
        <v>34</v>
      </c>
      <c r="B16" s="43" t="s">
        <v>65</v>
      </c>
      <c r="C16" s="45">
        <v>0.31</v>
      </c>
      <c r="D16" s="49">
        <f t="shared" si="1"/>
        <v>0.69</v>
      </c>
      <c r="E16" s="52">
        <f>1-+$D$16*E2</f>
        <v>0.5515000000000001</v>
      </c>
      <c r="F16" s="51">
        <f t="shared" ref="F16:Z16" si="13">1-+$D$16*F2</f>
        <v>0.72399999999999998</v>
      </c>
      <c r="G16" s="51">
        <f t="shared" si="13"/>
        <v>0.82750000000000001</v>
      </c>
      <c r="H16" s="51">
        <f t="shared" si="13"/>
        <v>0.8620000000000001</v>
      </c>
      <c r="I16" s="55">
        <f t="shared" si="13"/>
        <v>0.6895</v>
      </c>
      <c r="J16" s="55">
        <f t="shared" si="13"/>
        <v>0.51700000000000013</v>
      </c>
      <c r="K16" s="51">
        <f t="shared" si="13"/>
        <v>0.6826000000000001</v>
      </c>
      <c r="L16" s="53">
        <f t="shared" si="13"/>
        <v>0.64810000000000001</v>
      </c>
      <c r="M16" s="54">
        <f t="shared" si="13"/>
        <v>0.53770000000000007</v>
      </c>
      <c r="N16" s="54">
        <f t="shared" si="13"/>
        <v>0.58600000000000008</v>
      </c>
      <c r="O16" s="54">
        <f t="shared" si="13"/>
        <v>0.70330000000000004</v>
      </c>
      <c r="P16" s="50">
        <f t="shared" si="13"/>
        <v>0.52390000000000003</v>
      </c>
      <c r="Q16" s="50">
        <f t="shared" si="13"/>
        <v>0.52390000000000003</v>
      </c>
      <c r="R16" s="51">
        <f t="shared" si="13"/>
        <v>0.39970000000000006</v>
      </c>
      <c r="S16" s="51">
        <f t="shared" si="13"/>
        <v>0.39970000000000006</v>
      </c>
      <c r="T16" s="51">
        <f t="shared" si="13"/>
        <v>0.41350000000000009</v>
      </c>
      <c r="U16" s="54">
        <f t="shared" si="13"/>
        <v>0.51700000000000013</v>
      </c>
      <c r="V16" s="54">
        <f t="shared" si="13"/>
        <v>0.44800000000000006</v>
      </c>
      <c r="W16" s="53">
        <f t="shared" si="13"/>
        <v>0.56530000000000002</v>
      </c>
      <c r="X16" s="53">
        <f t="shared" si="13"/>
        <v>0.56530000000000002</v>
      </c>
      <c r="Y16" s="51">
        <f t="shared" si="13"/>
        <v>0.65500000000000003</v>
      </c>
      <c r="Z16" s="51">
        <f t="shared" si="13"/>
        <v>0.65500000000000003</v>
      </c>
    </row>
    <row r="17" spans="1:26" x14ac:dyDescent="0.25">
      <c r="A17" s="43" t="s">
        <v>35</v>
      </c>
      <c r="B17" s="43" t="s">
        <v>66</v>
      </c>
      <c r="C17" s="45">
        <v>0.13</v>
      </c>
      <c r="D17" s="49">
        <f t="shared" si="1"/>
        <v>0.87</v>
      </c>
      <c r="E17" s="56">
        <f>1-+$D$17*E2</f>
        <v>0.4345</v>
      </c>
      <c r="F17" s="51">
        <f t="shared" ref="F17:Z17" si="14">1-+$D$17*F2</f>
        <v>0.65199999999999991</v>
      </c>
      <c r="G17" s="51">
        <f t="shared" si="14"/>
        <v>0.78249999999999997</v>
      </c>
      <c r="H17" s="51">
        <f t="shared" si="14"/>
        <v>0.82600000000000007</v>
      </c>
      <c r="I17" s="55">
        <f t="shared" si="14"/>
        <v>0.60850000000000004</v>
      </c>
      <c r="J17" s="55">
        <f t="shared" si="14"/>
        <v>0.39100000000000001</v>
      </c>
      <c r="K17" s="51">
        <f t="shared" si="14"/>
        <v>0.59980000000000011</v>
      </c>
      <c r="L17" s="53">
        <f t="shared" si="14"/>
        <v>0.55630000000000002</v>
      </c>
      <c r="M17" s="53">
        <f t="shared" si="14"/>
        <v>0.41710000000000003</v>
      </c>
      <c r="N17" s="53">
        <f t="shared" si="14"/>
        <v>0.47799999999999998</v>
      </c>
      <c r="O17" s="53">
        <f t="shared" si="14"/>
        <v>0.6258999999999999</v>
      </c>
      <c r="P17" s="51">
        <f t="shared" si="14"/>
        <v>0.39970000000000006</v>
      </c>
      <c r="Q17" s="51">
        <f t="shared" si="14"/>
        <v>0.39970000000000006</v>
      </c>
      <c r="R17" s="50">
        <f t="shared" si="14"/>
        <v>0.24309999999999998</v>
      </c>
      <c r="S17" s="50">
        <f t="shared" si="14"/>
        <v>0.24309999999999998</v>
      </c>
      <c r="T17" s="51">
        <f t="shared" si="14"/>
        <v>0.26050000000000006</v>
      </c>
      <c r="U17" s="54">
        <f t="shared" si="14"/>
        <v>0.39100000000000001</v>
      </c>
      <c r="V17" s="54">
        <f t="shared" si="14"/>
        <v>0.30399999999999994</v>
      </c>
      <c r="W17" s="53">
        <f t="shared" si="14"/>
        <v>0.45189999999999997</v>
      </c>
      <c r="X17" s="53">
        <f t="shared" si="14"/>
        <v>0.45189999999999997</v>
      </c>
      <c r="Y17" s="51">
        <f t="shared" si="14"/>
        <v>0.56499999999999995</v>
      </c>
      <c r="Z17" s="51">
        <f t="shared" si="14"/>
        <v>0.56499999999999995</v>
      </c>
    </row>
    <row r="18" spans="1:26" x14ac:dyDescent="0.25">
      <c r="A18" s="43" t="s">
        <v>36</v>
      </c>
      <c r="B18" s="43" t="s">
        <v>67</v>
      </c>
      <c r="C18" s="45">
        <v>0.13</v>
      </c>
      <c r="D18" s="49">
        <f t="shared" si="1"/>
        <v>0.87</v>
      </c>
      <c r="E18" s="53">
        <f>1-+$D$18*E2</f>
        <v>0.4345</v>
      </c>
      <c r="F18" s="51">
        <f t="shared" ref="F18:Z18" si="15">1-+$D$18*F2</f>
        <v>0.65199999999999991</v>
      </c>
      <c r="G18" s="51">
        <f t="shared" si="15"/>
        <v>0.78249999999999997</v>
      </c>
      <c r="H18" s="51">
        <f t="shared" si="15"/>
        <v>0.82600000000000007</v>
      </c>
      <c r="I18" s="55">
        <f t="shared" si="15"/>
        <v>0.60850000000000004</v>
      </c>
      <c r="J18" s="55">
        <f t="shared" si="15"/>
        <v>0.39100000000000001</v>
      </c>
      <c r="K18" s="51">
        <f t="shared" si="15"/>
        <v>0.59980000000000011</v>
      </c>
      <c r="L18" s="53">
        <f t="shared" si="15"/>
        <v>0.55630000000000002</v>
      </c>
      <c r="M18" s="53">
        <f t="shared" si="15"/>
        <v>0.41710000000000003</v>
      </c>
      <c r="N18" s="53">
        <f t="shared" si="15"/>
        <v>0.47799999999999998</v>
      </c>
      <c r="O18" s="54">
        <f t="shared" si="15"/>
        <v>0.6258999999999999</v>
      </c>
      <c r="P18" s="51">
        <f t="shared" si="15"/>
        <v>0.39970000000000006</v>
      </c>
      <c r="Q18" s="51">
        <f t="shared" si="15"/>
        <v>0.39970000000000006</v>
      </c>
      <c r="R18" s="50">
        <f t="shared" si="15"/>
        <v>0.24309999999999998</v>
      </c>
      <c r="S18" s="50">
        <f t="shared" si="15"/>
        <v>0.24309999999999998</v>
      </c>
      <c r="T18" s="51">
        <f t="shared" si="15"/>
        <v>0.26050000000000006</v>
      </c>
      <c r="U18" s="53">
        <f t="shared" si="15"/>
        <v>0.39100000000000001</v>
      </c>
      <c r="V18" s="53">
        <f t="shared" si="15"/>
        <v>0.30399999999999994</v>
      </c>
      <c r="W18" s="53">
        <f t="shared" si="15"/>
        <v>0.45189999999999997</v>
      </c>
      <c r="X18" s="53">
        <f t="shared" si="15"/>
        <v>0.45189999999999997</v>
      </c>
      <c r="Y18" s="51">
        <f t="shared" si="15"/>
        <v>0.56499999999999995</v>
      </c>
      <c r="Z18" s="51">
        <f t="shared" si="15"/>
        <v>0.56499999999999995</v>
      </c>
    </row>
    <row r="19" spans="1:26" x14ac:dyDescent="0.25">
      <c r="A19" s="43" t="s">
        <v>37</v>
      </c>
      <c r="B19" s="43" t="s">
        <v>54</v>
      </c>
      <c r="C19" s="45">
        <v>0.15</v>
      </c>
      <c r="D19" s="49">
        <f t="shared" si="1"/>
        <v>0.85</v>
      </c>
      <c r="E19" s="51">
        <f>1-+$D$19*E2</f>
        <v>0.44750000000000001</v>
      </c>
      <c r="F19" s="51">
        <f t="shared" ref="F19:Z19" si="16">1-+$D$19*F2</f>
        <v>0.65999999999999992</v>
      </c>
      <c r="G19" s="51">
        <f t="shared" si="16"/>
        <v>0.78749999999999998</v>
      </c>
      <c r="H19" s="51">
        <f t="shared" si="16"/>
        <v>0.83000000000000007</v>
      </c>
      <c r="I19" s="55">
        <f t="shared" si="16"/>
        <v>0.61750000000000005</v>
      </c>
      <c r="J19" s="55">
        <f t="shared" si="16"/>
        <v>0.40500000000000003</v>
      </c>
      <c r="K19" s="51">
        <f t="shared" si="16"/>
        <v>0.60899999999999999</v>
      </c>
      <c r="L19" s="51">
        <f t="shared" si="16"/>
        <v>0.5665</v>
      </c>
      <c r="M19" s="51">
        <f t="shared" si="16"/>
        <v>0.4305000000000001</v>
      </c>
      <c r="N19" s="51">
        <f t="shared" si="16"/>
        <v>0.49</v>
      </c>
      <c r="O19" s="51">
        <f t="shared" si="16"/>
        <v>0.63449999999999995</v>
      </c>
      <c r="P19" s="51">
        <f t="shared" si="16"/>
        <v>0.41350000000000009</v>
      </c>
      <c r="Q19" s="51">
        <f t="shared" si="16"/>
        <v>0.41350000000000009</v>
      </c>
      <c r="R19" s="51">
        <f t="shared" si="16"/>
        <v>0.26050000000000006</v>
      </c>
      <c r="S19" s="51">
        <f t="shared" si="16"/>
        <v>0.26050000000000006</v>
      </c>
      <c r="T19" s="50">
        <f t="shared" si="16"/>
        <v>0.27750000000000008</v>
      </c>
      <c r="U19" s="53">
        <f t="shared" si="16"/>
        <v>0.40500000000000003</v>
      </c>
      <c r="V19" s="51">
        <f t="shared" si="16"/>
        <v>0.31999999999999995</v>
      </c>
      <c r="W19" s="53">
        <f t="shared" si="16"/>
        <v>0.46450000000000002</v>
      </c>
      <c r="X19" s="53">
        <f t="shared" si="16"/>
        <v>0.46450000000000002</v>
      </c>
      <c r="Y19" s="51">
        <f t="shared" si="16"/>
        <v>0.57499999999999996</v>
      </c>
      <c r="Z19" s="51">
        <f t="shared" si="16"/>
        <v>0.57499999999999996</v>
      </c>
    </row>
    <row r="20" spans="1:26" x14ac:dyDescent="0.25">
      <c r="A20" s="43" t="s">
        <v>38</v>
      </c>
      <c r="B20" s="43" t="s">
        <v>50</v>
      </c>
      <c r="C20" s="45">
        <v>0.3</v>
      </c>
      <c r="D20" s="49">
        <f t="shared" si="1"/>
        <v>0.7</v>
      </c>
      <c r="E20" s="53">
        <f>1-+$D$20*E2</f>
        <v>0.54500000000000004</v>
      </c>
      <c r="F20" s="53">
        <f t="shared" ref="F20:Z20" si="17">1-+$D$20*F2</f>
        <v>0.72</v>
      </c>
      <c r="G20" s="53">
        <f t="shared" si="17"/>
        <v>0.82499999999999996</v>
      </c>
      <c r="H20" s="53">
        <f t="shared" si="17"/>
        <v>0.8600000000000001</v>
      </c>
      <c r="I20" s="53">
        <f t="shared" si="17"/>
        <v>0.68500000000000005</v>
      </c>
      <c r="J20" s="53">
        <f t="shared" si="17"/>
        <v>0.51</v>
      </c>
      <c r="K20" s="51">
        <f t="shared" si="17"/>
        <v>0.67800000000000005</v>
      </c>
      <c r="L20" s="51">
        <f t="shared" si="17"/>
        <v>0.64300000000000002</v>
      </c>
      <c r="M20" s="53">
        <f t="shared" si="17"/>
        <v>0.53100000000000014</v>
      </c>
      <c r="N20" s="53">
        <f t="shared" si="17"/>
        <v>0.58000000000000007</v>
      </c>
      <c r="O20" s="53">
        <f t="shared" si="17"/>
        <v>0.69900000000000007</v>
      </c>
      <c r="P20" s="55">
        <f t="shared" si="17"/>
        <v>0.51700000000000013</v>
      </c>
      <c r="Q20" s="54">
        <f t="shared" si="17"/>
        <v>0.51700000000000013</v>
      </c>
      <c r="R20" s="54">
        <f t="shared" si="17"/>
        <v>0.39100000000000001</v>
      </c>
      <c r="S20" s="53">
        <f t="shared" si="17"/>
        <v>0.39100000000000001</v>
      </c>
      <c r="T20" s="51">
        <f t="shared" si="17"/>
        <v>0.40500000000000003</v>
      </c>
      <c r="U20" s="50">
        <f t="shared" si="17"/>
        <v>0.51</v>
      </c>
      <c r="V20" s="51">
        <f t="shared" si="17"/>
        <v>0.44000000000000006</v>
      </c>
      <c r="W20" s="54">
        <f t="shared" si="17"/>
        <v>0.55900000000000005</v>
      </c>
      <c r="X20" s="54">
        <f t="shared" si="17"/>
        <v>0.55900000000000005</v>
      </c>
      <c r="Y20" s="54">
        <f t="shared" si="17"/>
        <v>0.65</v>
      </c>
      <c r="Z20" s="53">
        <f t="shared" si="17"/>
        <v>0.65</v>
      </c>
    </row>
    <row r="21" spans="1:26" x14ac:dyDescent="0.25">
      <c r="A21" s="43" t="s">
        <v>39</v>
      </c>
      <c r="B21" s="43" t="s">
        <v>55</v>
      </c>
      <c r="C21" s="45">
        <v>0.2</v>
      </c>
      <c r="D21" s="49">
        <f t="shared" si="1"/>
        <v>0.8</v>
      </c>
      <c r="E21" s="53">
        <f>1-+$D$21*E2</f>
        <v>0.48</v>
      </c>
      <c r="F21" s="53">
        <f t="shared" ref="F21:Z21" si="18">1-+$D$21*F2</f>
        <v>0.67999999999999994</v>
      </c>
      <c r="G21" s="53">
        <f t="shared" si="18"/>
        <v>0.8</v>
      </c>
      <c r="H21" s="53">
        <f t="shared" si="18"/>
        <v>0.84000000000000008</v>
      </c>
      <c r="I21" s="53">
        <f t="shared" si="18"/>
        <v>0.64</v>
      </c>
      <c r="J21" s="53">
        <f t="shared" si="18"/>
        <v>0.44000000000000006</v>
      </c>
      <c r="K21" s="51">
        <f t="shared" si="18"/>
        <v>0.63200000000000001</v>
      </c>
      <c r="L21" s="51">
        <f t="shared" si="18"/>
        <v>0.59199999999999997</v>
      </c>
      <c r="M21" s="53">
        <f t="shared" si="18"/>
        <v>0.46400000000000008</v>
      </c>
      <c r="N21" s="53">
        <f t="shared" si="18"/>
        <v>0.52</v>
      </c>
      <c r="O21" s="53">
        <f t="shared" si="18"/>
        <v>0.65599999999999992</v>
      </c>
      <c r="P21" s="55">
        <f t="shared" si="18"/>
        <v>0.44800000000000006</v>
      </c>
      <c r="Q21" s="54">
        <f t="shared" si="18"/>
        <v>0.44800000000000006</v>
      </c>
      <c r="R21" s="54">
        <f t="shared" si="18"/>
        <v>0.30399999999999994</v>
      </c>
      <c r="S21" s="53">
        <f t="shared" si="18"/>
        <v>0.30399999999999994</v>
      </c>
      <c r="T21" s="51">
        <f t="shared" si="18"/>
        <v>0.31999999999999995</v>
      </c>
      <c r="U21" s="51">
        <f t="shared" si="18"/>
        <v>0.44000000000000006</v>
      </c>
      <c r="V21" s="50">
        <f t="shared" si="18"/>
        <v>0.35999999999999988</v>
      </c>
      <c r="W21" s="54">
        <f t="shared" si="18"/>
        <v>0.496</v>
      </c>
      <c r="X21" s="54">
        <f t="shared" si="18"/>
        <v>0.496</v>
      </c>
      <c r="Y21" s="54">
        <f t="shared" si="18"/>
        <v>0.6</v>
      </c>
      <c r="Z21" s="53">
        <f t="shared" si="18"/>
        <v>0.6</v>
      </c>
    </row>
    <row r="22" spans="1:26" x14ac:dyDescent="0.25">
      <c r="A22" s="43" t="s">
        <v>40</v>
      </c>
      <c r="B22" s="43" t="s">
        <v>68</v>
      </c>
      <c r="C22" s="45">
        <v>0.37</v>
      </c>
      <c r="D22" s="49">
        <f t="shared" si="1"/>
        <v>0.63</v>
      </c>
      <c r="E22" s="53">
        <f>1-+$D$22*E2</f>
        <v>0.59050000000000002</v>
      </c>
      <c r="F22" s="51">
        <f t="shared" ref="F22:Z22" si="19">1-+$D$22*F2</f>
        <v>0.748</v>
      </c>
      <c r="G22" s="51">
        <f t="shared" si="19"/>
        <v>0.84250000000000003</v>
      </c>
      <c r="H22" s="51">
        <f t="shared" si="19"/>
        <v>0.874</v>
      </c>
      <c r="I22" s="55">
        <f t="shared" si="19"/>
        <v>0.71650000000000003</v>
      </c>
      <c r="J22" s="55">
        <f t="shared" si="19"/>
        <v>0.55900000000000005</v>
      </c>
      <c r="K22" s="51">
        <f t="shared" si="19"/>
        <v>0.71019999999999994</v>
      </c>
      <c r="L22" s="53">
        <f t="shared" si="19"/>
        <v>0.67869999999999997</v>
      </c>
      <c r="M22" s="53">
        <f t="shared" si="19"/>
        <v>0.57790000000000008</v>
      </c>
      <c r="N22" s="53">
        <f t="shared" si="19"/>
        <v>0.622</v>
      </c>
      <c r="O22" s="53">
        <f t="shared" si="19"/>
        <v>0.72909999999999997</v>
      </c>
      <c r="P22" s="51">
        <f t="shared" si="19"/>
        <v>0.56530000000000002</v>
      </c>
      <c r="Q22" s="51">
        <f t="shared" si="19"/>
        <v>0.56530000000000002</v>
      </c>
      <c r="R22" s="51">
        <f t="shared" si="19"/>
        <v>0.45189999999999997</v>
      </c>
      <c r="S22" s="51">
        <f t="shared" si="19"/>
        <v>0.45189999999999997</v>
      </c>
      <c r="T22" s="51">
        <f t="shared" si="19"/>
        <v>0.46450000000000002</v>
      </c>
      <c r="U22" s="54">
        <f t="shared" si="19"/>
        <v>0.55900000000000005</v>
      </c>
      <c r="V22" s="54">
        <f t="shared" si="19"/>
        <v>0.496</v>
      </c>
      <c r="W22" s="50">
        <f t="shared" si="19"/>
        <v>0.60309999999999997</v>
      </c>
      <c r="X22" s="50">
        <f t="shared" si="19"/>
        <v>0.60309999999999997</v>
      </c>
      <c r="Y22" s="51">
        <f t="shared" si="19"/>
        <v>0.68500000000000005</v>
      </c>
      <c r="Z22" s="51">
        <f t="shared" si="19"/>
        <v>0.68500000000000005</v>
      </c>
    </row>
    <row r="23" spans="1:26" x14ac:dyDescent="0.25">
      <c r="A23" s="43" t="s">
        <v>41</v>
      </c>
      <c r="B23" s="43" t="s">
        <v>69</v>
      </c>
      <c r="C23" s="45">
        <v>0.37</v>
      </c>
      <c r="D23" s="49">
        <f t="shared" si="1"/>
        <v>0.63</v>
      </c>
      <c r="E23" s="53">
        <f>1-+$D$23*E2</f>
        <v>0.59050000000000002</v>
      </c>
      <c r="F23" s="51">
        <f t="shared" ref="F23:Z23" si="20">1-+$D$23*F2</f>
        <v>0.748</v>
      </c>
      <c r="G23" s="51">
        <f t="shared" si="20"/>
        <v>0.84250000000000003</v>
      </c>
      <c r="H23" s="51">
        <f t="shared" si="20"/>
        <v>0.874</v>
      </c>
      <c r="I23" s="55">
        <f t="shared" si="20"/>
        <v>0.71650000000000003</v>
      </c>
      <c r="J23" s="55">
        <f t="shared" si="20"/>
        <v>0.55900000000000005</v>
      </c>
      <c r="K23" s="51">
        <f t="shared" si="20"/>
        <v>0.71019999999999994</v>
      </c>
      <c r="L23" s="53">
        <f t="shared" si="20"/>
        <v>0.67869999999999997</v>
      </c>
      <c r="M23" s="53">
        <f t="shared" si="20"/>
        <v>0.57790000000000008</v>
      </c>
      <c r="N23" s="53">
        <f t="shared" si="20"/>
        <v>0.622</v>
      </c>
      <c r="O23" s="53">
        <f t="shared" si="20"/>
        <v>0.72909999999999997</v>
      </c>
      <c r="P23" s="51">
        <f t="shared" si="20"/>
        <v>0.56530000000000002</v>
      </c>
      <c r="Q23" s="51">
        <f t="shared" si="20"/>
        <v>0.56530000000000002</v>
      </c>
      <c r="R23" s="51">
        <f t="shared" si="20"/>
        <v>0.45189999999999997</v>
      </c>
      <c r="S23" s="51">
        <f t="shared" si="20"/>
        <v>0.45189999999999997</v>
      </c>
      <c r="T23" s="51">
        <f t="shared" si="20"/>
        <v>0.46450000000000002</v>
      </c>
      <c r="U23" s="54">
        <f t="shared" si="20"/>
        <v>0.55900000000000005</v>
      </c>
      <c r="V23" s="54">
        <f t="shared" si="20"/>
        <v>0.496</v>
      </c>
      <c r="W23" s="50">
        <f t="shared" si="20"/>
        <v>0.60309999999999997</v>
      </c>
      <c r="X23" s="50">
        <f t="shared" si="20"/>
        <v>0.60309999999999997</v>
      </c>
      <c r="Y23" s="51">
        <f t="shared" si="20"/>
        <v>0.68500000000000005</v>
      </c>
      <c r="Z23" s="51">
        <f t="shared" si="20"/>
        <v>0.68500000000000005</v>
      </c>
    </row>
    <row r="24" spans="1:26" x14ac:dyDescent="0.25">
      <c r="A24" s="43" t="s">
        <v>42</v>
      </c>
      <c r="B24" s="43" t="s">
        <v>70</v>
      </c>
      <c r="C24" s="45">
        <v>0.5</v>
      </c>
      <c r="D24" s="49">
        <f t="shared" si="1"/>
        <v>0.5</v>
      </c>
      <c r="E24" s="54">
        <f>1-+$D$24*E2</f>
        <v>0.67500000000000004</v>
      </c>
      <c r="F24" s="51">
        <f t="shared" ref="F24:Z24" si="21">1-+$D$24*F2</f>
        <v>0.8</v>
      </c>
      <c r="G24" s="51">
        <f t="shared" si="21"/>
        <v>0.875</v>
      </c>
      <c r="H24" s="51">
        <f t="shared" si="21"/>
        <v>0.9</v>
      </c>
      <c r="I24" s="55">
        <f t="shared" si="21"/>
        <v>0.77500000000000002</v>
      </c>
      <c r="J24" s="55">
        <f t="shared" si="21"/>
        <v>0.65</v>
      </c>
      <c r="K24" s="51">
        <f t="shared" si="21"/>
        <v>0.77</v>
      </c>
      <c r="L24" s="53">
        <f t="shared" si="21"/>
        <v>0.745</v>
      </c>
      <c r="M24" s="53">
        <f t="shared" si="21"/>
        <v>0.66500000000000004</v>
      </c>
      <c r="N24" s="53">
        <f t="shared" si="21"/>
        <v>0.7</v>
      </c>
      <c r="O24" s="53">
        <f t="shared" si="21"/>
        <v>0.78499999999999992</v>
      </c>
      <c r="P24" s="51">
        <f t="shared" si="21"/>
        <v>0.65500000000000003</v>
      </c>
      <c r="Q24" s="51">
        <f t="shared" si="21"/>
        <v>0.65500000000000003</v>
      </c>
      <c r="R24" s="51">
        <f t="shared" si="21"/>
        <v>0.56499999999999995</v>
      </c>
      <c r="S24" s="51">
        <f t="shared" si="21"/>
        <v>0.56499999999999995</v>
      </c>
      <c r="T24" s="51">
        <f t="shared" si="21"/>
        <v>0.57499999999999996</v>
      </c>
      <c r="U24" s="54">
        <f t="shared" si="21"/>
        <v>0.65</v>
      </c>
      <c r="V24" s="54">
        <f t="shared" si="21"/>
        <v>0.6</v>
      </c>
      <c r="W24" s="51">
        <f t="shared" si="21"/>
        <v>0.68500000000000005</v>
      </c>
      <c r="X24" s="51">
        <f t="shared" si="21"/>
        <v>0.68500000000000005</v>
      </c>
      <c r="Y24" s="50">
        <f t="shared" si="21"/>
        <v>0.75</v>
      </c>
      <c r="Z24" s="50">
        <f t="shared" si="21"/>
        <v>0.75</v>
      </c>
    </row>
    <row r="25" spans="1:26" x14ac:dyDescent="0.25">
      <c r="A25" s="43" t="s">
        <v>43</v>
      </c>
      <c r="B25" s="43" t="s">
        <v>71</v>
      </c>
      <c r="C25" s="45">
        <v>0.5</v>
      </c>
      <c r="D25" s="49">
        <f t="shared" si="1"/>
        <v>0.5</v>
      </c>
      <c r="E25" s="54">
        <f>1-+$D$25*E2</f>
        <v>0.67500000000000004</v>
      </c>
      <c r="F25" s="51">
        <f t="shared" ref="F25:Z25" si="22">1-+$D$25*F2</f>
        <v>0.8</v>
      </c>
      <c r="G25" s="51">
        <f t="shared" si="22"/>
        <v>0.875</v>
      </c>
      <c r="H25" s="51">
        <f t="shared" si="22"/>
        <v>0.9</v>
      </c>
      <c r="I25" s="55">
        <f t="shared" si="22"/>
        <v>0.77500000000000002</v>
      </c>
      <c r="J25" s="55">
        <f t="shared" si="22"/>
        <v>0.65</v>
      </c>
      <c r="K25" s="51">
        <f t="shared" si="22"/>
        <v>0.77</v>
      </c>
      <c r="L25" s="53">
        <f t="shared" si="22"/>
        <v>0.745</v>
      </c>
      <c r="M25" s="54">
        <f t="shared" si="22"/>
        <v>0.66500000000000004</v>
      </c>
      <c r="N25" s="53">
        <f t="shared" si="22"/>
        <v>0.7</v>
      </c>
      <c r="O25" s="54">
        <f t="shared" si="22"/>
        <v>0.78499999999999992</v>
      </c>
      <c r="P25" s="51">
        <f t="shared" si="22"/>
        <v>0.65500000000000003</v>
      </c>
      <c r="Q25" s="51">
        <f t="shared" si="22"/>
        <v>0.65500000000000003</v>
      </c>
      <c r="R25" s="51">
        <f t="shared" si="22"/>
        <v>0.56499999999999995</v>
      </c>
      <c r="S25" s="51">
        <f t="shared" si="22"/>
        <v>0.56499999999999995</v>
      </c>
      <c r="T25" s="51">
        <f t="shared" si="22"/>
        <v>0.57499999999999996</v>
      </c>
      <c r="U25" s="53">
        <f t="shared" si="22"/>
        <v>0.65</v>
      </c>
      <c r="V25" s="53">
        <f t="shared" si="22"/>
        <v>0.6</v>
      </c>
      <c r="W25" s="51">
        <f t="shared" si="22"/>
        <v>0.68500000000000005</v>
      </c>
      <c r="X25" s="51">
        <f t="shared" si="22"/>
        <v>0.68500000000000005</v>
      </c>
      <c r="Y25" s="50">
        <f t="shared" si="22"/>
        <v>0.75</v>
      </c>
      <c r="Z25" s="50">
        <f t="shared" si="22"/>
        <v>0.75</v>
      </c>
    </row>
    <row r="26" spans="1:26" x14ac:dyDescent="0.25">
      <c r="E26" s="46"/>
      <c r="F26" s="46"/>
      <c r="G26" s="46"/>
      <c r="H26" s="46"/>
      <c r="I26" s="57"/>
      <c r="J26" s="57"/>
      <c r="K26" s="46"/>
      <c r="L26" s="46"/>
      <c r="M26" s="46"/>
      <c r="N26" s="46"/>
      <c r="O26" s="46"/>
      <c r="P26" s="46"/>
      <c r="Q26" s="46"/>
      <c r="R26" s="46"/>
      <c r="S26" s="58"/>
    </row>
    <row r="27" spans="1:26" x14ac:dyDescent="0.25">
      <c r="E27" s="46"/>
      <c r="F27" s="46"/>
      <c r="G27" s="46"/>
      <c r="H27" s="46"/>
      <c r="I27" s="57"/>
      <c r="J27" s="57"/>
      <c r="K27" s="46"/>
      <c r="L27" s="46"/>
      <c r="M27" s="46"/>
      <c r="N27" s="46"/>
      <c r="O27" s="46"/>
      <c r="P27" s="46"/>
      <c r="Q27" s="46"/>
      <c r="R27" s="46"/>
      <c r="S27" s="46"/>
    </row>
    <row r="28" spans="1:26" x14ac:dyDescent="0.25">
      <c r="B28" s="43" t="s">
        <v>56</v>
      </c>
      <c r="E28" s="58"/>
      <c r="F28" s="58"/>
      <c r="G28" s="58"/>
      <c r="H28" s="58"/>
      <c r="I28" s="57"/>
      <c r="J28" s="57"/>
      <c r="K28" s="46"/>
      <c r="L28" s="46"/>
      <c r="M28" s="46"/>
      <c r="N28" s="46"/>
      <c r="O28" s="46"/>
      <c r="P28" s="46"/>
      <c r="Q28" s="46"/>
      <c r="R28" s="46"/>
      <c r="S28" s="46"/>
    </row>
    <row r="29" spans="1:26" x14ac:dyDescent="0.25">
      <c r="B29" s="43" t="s">
        <v>57</v>
      </c>
      <c r="C29" s="45" t="s">
        <v>58</v>
      </c>
      <c r="E29" s="46"/>
      <c r="F29" s="46"/>
      <c r="G29" s="46"/>
      <c r="H29" s="46"/>
      <c r="I29" s="57"/>
      <c r="J29" s="57"/>
      <c r="K29" s="46"/>
      <c r="L29" s="46"/>
      <c r="M29" s="46"/>
      <c r="N29" s="46"/>
      <c r="O29" s="46"/>
      <c r="P29" s="46"/>
      <c r="Q29" s="46"/>
      <c r="R29" s="46"/>
      <c r="S29" s="58"/>
    </row>
    <row r="30" spans="1:26" x14ac:dyDescent="0.25">
      <c r="B30" s="43" t="s">
        <v>59</v>
      </c>
      <c r="C30" s="45" t="s">
        <v>60</v>
      </c>
      <c r="E30" s="58"/>
      <c r="F30" s="58"/>
      <c r="G30" s="58"/>
      <c r="H30" s="58"/>
      <c r="I30" s="57"/>
      <c r="J30" s="57"/>
      <c r="K30" s="46"/>
      <c r="L30" s="46"/>
      <c r="M30" s="46"/>
      <c r="N30" s="46"/>
      <c r="O30" s="46"/>
      <c r="P30" s="46"/>
      <c r="Q30" s="46"/>
      <c r="R30" s="46"/>
      <c r="S30" s="58"/>
    </row>
    <row r="31" spans="1:26" x14ac:dyDescent="0.25">
      <c r="B31" s="43" t="s">
        <v>61</v>
      </c>
      <c r="C31" s="45" t="s">
        <v>62</v>
      </c>
      <c r="E31" s="58"/>
      <c r="F31" s="58"/>
      <c r="G31" s="58"/>
      <c r="H31" s="58"/>
      <c r="I31" s="57"/>
      <c r="J31" s="57"/>
      <c r="K31" s="46"/>
      <c r="L31" s="46"/>
      <c r="M31" s="46"/>
      <c r="N31" s="46"/>
      <c r="O31" s="46"/>
      <c r="P31" s="46"/>
      <c r="Q31" s="46"/>
      <c r="R31" s="46"/>
      <c r="S31" s="58"/>
    </row>
    <row r="32" spans="1:26" x14ac:dyDescent="0.25">
      <c r="B32" s="43" t="s">
        <v>113</v>
      </c>
      <c r="E32" s="46"/>
      <c r="F32" s="46"/>
      <c r="G32" s="46"/>
      <c r="H32" s="46"/>
      <c r="I32" s="57"/>
      <c r="J32" s="57"/>
      <c r="K32" s="46"/>
      <c r="L32" s="46"/>
      <c r="M32" s="46"/>
      <c r="N32" s="46"/>
      <c r="O32" s="46"/>
      <c r="P32" s="46"/>
      <c r="Q32" s="46"/>
      <c r="R32" s="46"/>
      <c r="S32" s="58"/>
    </row>
    <row r="33" spans="2:19" x14ac:dyDescent="0.25">
      <c r="B33" s="43" t="s">
        <v>211</v>
      </c>
      <c r="C33" s="45" t="s">
        <v>116</v>
      </c>
      <c r="E33" s="46"/>
      <c r="F33" s="46"/>
      <c r="G33" s="46"/>
      <c r="H33" s="46"/>
      <c r="I33" s="57"/>
      <c r="J33" s="57"/>
      <c r="K33" s="46"/>
      <c r="L33" s="46"/>
      <c r="M33" s="46"/>
      <c r="N33" s="46"/>
      <c r="O33" s="46"/>
      <c r="P33" s="46"/>
      <c r="Q33" s="46"/>
      <c r="R33" s="46"/>
      <c r="S33" s="58"/>
    </row>
    <row r="34" spans="2:19" x14ac:dyDescent="0.25">
      <c r="B34" s="43" t="s">
        <v>212</v>
      </c>
      <c r="E34" s="46"/>
      <c r="F34" s="46"/>
      <c r="G34" s="46"/>
      <c r="H34" s="46"/>
      <c r="I34" s="57"/>
      <c r="J34" s="57"/>
      <c r="K34" s="46"/>
      <c r="L34" s="46"/>
      <c r="M34" s="46"/>
      <c r="N34" s="46"/>
      <c r="O34" s="46"/>
      <c r="P34" s="46"/>
      <c r="Q34" s="46"/>
      <c r="R34" s="46"/>
      <c r="S34" s="58"/>
    </row>
    <row r="35" spans="2:19" x14ac:dyDescent="0.25">
      <c r="B35" s="43" t="s">
        <v>100</v>
      </c>
      <c r="C35" s="45" t="s">
        <v>117</v>
      </c>
      <c r="E35" s="46"/>
      <c r="F35" s="46"/>
      <c r="G35" s="46"/>
      <c r="H35" s="46"/>
      <c r="I35" s="57"/>
      <c r="J35" s="57"/>
      <c r="K35" s="46"/>
      <c r="L35" s="46"/>
      <c r="M35" s="46"/>
      <c r="N35" s="46"/>
      <c r="O35" s="46"/>
      <c r="P35" s="46"/>
      <c r="Q35" s="46"/>
      <c r="R35" s="46"/>
      <c r="S35" s="46"/>
    </row>
    <row r="36" spans="2:19" x14ac:dyDescent="0.25">
      <c r="B36" s="43" t="s">
        <v>101</v>
      </c>
      <c r="E36" s="58"/>
      <c r="F36" s="58"/>
      <c r="G36" s="58"/>
      <c r="H36" s="58"/>
      <c r="I36" s="58"/>
      <c r="J36" s="58"/>
      <c r="K36" s="46"/>
      <c r="L36" s="46"/>
      <c r="M36" s="58"/>
      <c r="N36" s="58"/>
      <c r="O36" s="46"/>
      <c r="P36" s="46"/>
      <c r="Q36" s="46"/>
      <c r="R36" s="46"/>
      <c r="S36" s="46"/>
    </row>
    <row r="37" spans="2:19" x14ac:dyDescent="0.25">
      <c r="B37" s="43" t="s">
        <v>102</v>
      </c>
      <c r="C37" s="43" t="s">
        <v>113</v>
      </c>
      <c r="E37" s="46"/>
      <c r="F37" s="46"/>
      <c r="G37" s="46"/>
      <c r="H37" s="46"/>
      <c r="I37" s="46"/>
      <c r="J37" s="46"/>
      <c r="K37" s="46"/>
      <c r="L37" s="46"/>
      <c r="M37" s="46"/>
      <c r="N37" s="46"/>
      <c r="O37" s="46"/>
      <c r="P37" s="46"/>
      <c r="Q37" s="46"/>
      <c r="R37" s="46"/>
      <c r="S37" s="46"/>
    </row>
    <row r="38" spans="2:19" x14ac:dyDescent="0.25">
      <c r="B38" s="43" t="s">
        <v>115</v>
      </c>
      <c r="C38" s="43" t="s">
        <v>115</v>
      </c>
      <c r="E38" s="46"/>
      <c r="F38" s="46"/>
      <c r="G38" s="46"/>
      <c r="H38" s="46"/>
      <c r="I38" s="46"/>
      <c r="J38" s="46"/>
      <c r="K38" s="46"/>
      <c r="L38" s="46"/>
      <c r="M38" s="46"/>
      <c r="N38" s="46"/>
      <c r="O38" s="46"/>
      <c r="P38" s="46"/>
      <c r="Q38" s="46"/>
      <c r="R38" s="46"/>
      <c r="S38" s="46"/>
    </row>
    <row r="39" spans="2:19" x14ac:dyDescent="0.25">
      <c r="B39" s="43" t="s">
        <v>103</v>
      </c>
      <c r="C39" s="43" t="s">
        <v>103</v>
      </c>
      <c r="E39" s="46"/>
      <c r="F39" s="46"/>
      <c r="G39" s="46"/>
      <c r="H39" s="46"/>
      <c r="I39" s="46"/>
      <c r="J39" s="46"/>
      <c r="K39" s="46"/>
      <c r="L39" s="46"/>
      <c r="M39" s="46"/>
      <c r="N39" s="46"/>
      <c r="O39" s="46"/>
      <c r="P39" s="46"/>
      <c r="Q39" s="46"/>
      <c r="R39" s="46"/>
      <c r="S39" s="46"/>
    </row>
    <row r="40" spans="2:19" x14ac:dyDescent="0.25">
      <c r="B40" s="43" t="s">
        <v>104</v>
      </c>
      <c r="C40" s="43" t="s">
        <v>104</v>
      </c>
      <c r="E40" s="46"/>
      <c r="F40" s="46"/>
      <c r="G40" s="46"/>
      <c r="H40" s="46"/>
      <c r="I40" s="46"/>
      <c r="J40" s="46"/>
      <c r="K40" s="46"/>
      <c r="L40" s="46"/>
      <c r="M40" s="46"/>
      <c r="N40" s="46"/>
      <c r="O40" s="46"/>
      <c r="P40" s="46"/>
      <c r="Q40" s="46"/>
      <c r="R40" s="46"/>
      <c r="S40" s="46"/>
    </row>
    <row r="41" spans="2:19" x14ac:dyDescent="0.25">
      <c r="B41" s="43" t="s">
        <v>198</v>
      </c>
      <c r="E41" s="46"/>
      <c r="F41" s="46"/>
      <c r="G41" s="46"/>
      <c r="H41" s="46"/>
      <c r="I41" s="46"/>
      <c r="J41" s="46"/>
      <c r="K41" s="46"/>
      <c r="L41" s="46"/>
      <c r="M41" s="46"/>
      <c r="N41" s="46"/>
      <c r="O41" s="46"/>
      <c r="P41" s="46"/>
      <c r="Q41" s="46"/>
      <c r="R41" s="46"/>
      <c r="S41" s="46"/>
    </row>
    <row r="42" spans="2:19" x14ac:dyDescent="0.25">
      <c r="B42" s="43" t="s">
        <v>106</v>
      </c>
      <c r="C42" s="45" t="s">
        <v>116</v>
      </c>
    </row>
    <row r="43" spans="2:19" x14ac:dyDescent="0.25">
      <c r="B43" s="43" t="s">
        <v>105</v>
      </c>
      <c r="C43" s="45" t="s">
        <v>119</v>
      </c>
    </row>
    <row r="44" spans="2:19" x14ac:dyDescent="0.25">
      <c r="B44" s="43" t="s">
        <v>107</v>
      </c>
      <c r="C44" s="45" t="s">
        <v>120</v>
      </c>
    </row>
    <row r="45" spans="2:19" x14ac:dyDescent="0.25">
      <c r="B45" s="43" t="s">
        <v>108</v>
      </c>
      <c r="C45" s="45" t="s">
        <v>121</v>
      </c>
    </row>
    <row r="46" spans="2:19" x14ac:dyDescent="0.25">
      <c r="B46" s="43" t="s">
        <v>109</v>
      </c>
    </row>
    <row r="47" spans="2:19" x14ac:dyDescent="0.25">
      <c r="B47" s="43" t="s">
        <v>110</v>
      </c>
    </row>
    <row r="49" spans="2:3" x14ac:dyDescent="0.25">
      <c r="B49" s="43" t="s">
        <v>122</v>
      </c>
    </row>
    <row r="50" spans="2:3" x14ac:dyDescent="0.25">
      <c r="B50" s="43" t="s">
        <v>123</v>
      </c>
    </row>
    <row r="52" spans="2:3" x14ac:dyDescent="0.25">
      <c r="B52" s="43" t="s">
        <v>98</v>
      </c>
      <c r="C52" s="45" t="s">
        <v>98</v>
      </c>
    </row>
    <row r="53" spans="2:3" x14ac:dyDescent="0.25">
      <c r="B53" s="43" t="s">
        <v>99</v>
      </c>
      <c r="C53" s="45" t="s">
        <v>99</v>
      </c>
    </row>
    <row r="54" spans="2:3" x14ac:dyDescent="0.25">
      <c r="C54" s="45" t="str">
        <f>IF(VLEESEENDEN!$L$20="geen techniek","GEEN TECHNIEK","JA")</f>
        <v>GEEN TECHNIEK</v>
      </c>
    </row>
    <row r="55" spans="2:3" x14ac:dyDescent="0.25">
      <c r="C55" s="45" t="s">
        <v>99</v>
      </c>
    </row>
  </sheetData>
  <sheetProtection algorithmName="SHA-512" hashValue="v84SVrf0ISFjy19rnF1bzCKrh1yiNiDYduXbRmnCwPcvPsLlPGrMxt1kFKPjUJ8jxw/YRb13zlVuZd5GyZu3ng==" saltValue="cA1ANmoHCn1G/3b5aEX76w==" spinCount="100000" sheet="1" objects="1" scenarios="1"/>
  <pageMargins left="0.75" right="0.75" top="1" bottom="1" header="0.5" footer="0.5"/>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R170"/>
  <sheetViews>
    <sheetView workbookViewId="0">
      <pane ySplit="2" topLeftCell="A3" activePane="bottomLeft" state="frozen"/>
      <selection pane="bottomLeft" activeCell="H3" sqref="H3:H51"/>
    </sheetView>
  </sheetViews>
  <sheetFormatPr defaultRowHeight="12.75" x14ac:dyDescent="0.2"/>
  <cols>
    <col min="1" max="2" width="6.7109375" style="1" customWidth="1"/>
    <col min="3" max="4" width="9.140625" style="1"/>
    <col min="5" max="5" width="9.140625" style="20"/>
    <col min="6" max="6" width="9.140625" style="1"/>
    <col min="7" max="7" width="9.140625" style="20"/>
    <col min="8" max="12" width="9.140625" style="1"/>
    <col min="13" max="13" width="9.140625" style="20"/>
    <col min="14" max="15" width="9.140625" style="34"/>
    <col min="16" max="19" width="9.140625" style="1"/>
    <col min="20" max="20" width="9.140625" style="14"/>
    <col min="21" max="26" width="9.140625" style="1"/>
    <col min="39" max="40" width="9.140625" style="1"/>
    <col min="41" max="42" width="9.140625" style="4"/>
  </cols>
  <sheetData>
    <row r="1" spans="1:44" s="8" customFormat="1" ht="51" x14ac:dyDescent="0.2">
      <c r="A1" s="9" t="s">
        <v>6</v>
      </c>
      <c r="B1" s="9" t="s">
        <v>3</v>
      </c>
      <c r="C1" s="9" t="s">
        <v>1</v>
      </c>
      <c r="D1" s="9" t="s">
        <v>8</v>
      </c>
      <c r="E1" s="22" t="s">
        <v>8</v>
      </c>
      <c r="F1" s="9" t="s">
        <v>15</v>
      </c>
      <c r="G1" s="22" t="s">
        <v>16</v>
      </c>
      <c r="H1" s="9" t="s">
        <v>2</v>
      </c>
      <c r="I1" s="9" t="s">
        <v>7</v>
      </c>
      <c r="J1" s="9" t="s">
        <v>11</v>
      </c>
      <c r="K1" s="9" t="s">
        <v>12</v>
      </c>
      <c r="L1" s="9" t="s">
        <v>13</v>
      </c>
      <c r="M1" s="22" t="s">
        <v>13</v>
      </c>
      <c r="N1" s="32" t="s">
        <v>17</v>
      </c>
      <c r="O1" s="32" t="s">
        <v>14</v>
      </c>
      <c r="P1" s="9" t="s">
        <v>18</v>
      </c>
      <c r="Q1" s="9"/>
      <c r="R1" s="9" t="s">
        <v>6</v>
      </c>
      <c r="S1" s="9" t="s">
        <v>3</v>
      </c>
      <c r="T1" s="17" t="s">
        <v>9</v>
      </c>
      <c r="U1" s="7"/>
      <c r="V1" s="18"/>
      <c r="W1" s="7"/>
      <c r="X1" s="7"/>
      <c r="Y1" s="18"/>
      <c r="Z1" s="19"/>
      <c r="AM1" s="9" t="s">
        <v>6</v>
      </c>
      <c r="AN1" s="9" t="s">
        <v>3</v>
      </c>
      <c r="AO1" s="6" t="s">
        <v>4</v>
      </c>
      <c r="AP1" s="6" t="s">
        <v>5</v>
      </c>
      <c r="AQ1" s="16"/>
      <c r="AR1" s="16"/>
    </row>
    <row r="2" spans="1:44" s="8" customFormat="1" x14ac:dyDescent="0.2">
      <c r="A2" s="28"/>
      <c r="B2" s="28"/>
      <c r="C2" s="28"/>
      <c r="D2" s="28">
        <v>0.35</v>
      </c>
      <c r="E2" s="41">
        <v>4.8</v>
      </c>
      <c r="F2" s="28"/>
      <c r="G2" s="30">
        <f>+E2</f>
        <v>4.8</v>
      </c>
      <c r="H2" s="28"/>
      <c r="I2" s="28"/>
      <c r="J2" s="28"/>
      <c r="K2" s="28"/>
      <c r="L2" s="28"/>
      <c r="M2" s="30">
        <f>+E2</f>
        <v>4.8</v>
      </c>
      <c r="N2" s="37">
        <f>+M2</f>
        <v>4.8</v>
      </c>
      <c r="O2" s="37">
        <f>+N2</f>
        <v>4.8</v>
      </c>
      <c r="P2" s="31">
        <f>+E2</f>
        <v>4.8</v>
      </c>
      <c r="Q2" s="28"/>
      <c r="R2" s="28"/>
      <c r="S2" s="28"/>
      <c r="T2" s="29"/>
      <c r="U2" s="7"/>
      <c r="V2" s="18"/>
      <c r="W2" s="7"/>
      <c r="X2" s="7"/>
      <c r="Y2" s="18"/>
      <c r="Z2" s="19"/>
      <c r="AM2" s="9"/>
      <c r="AN2" s="9"/>
      <c r="AO2" s="6"/>
      <c r="AP2" s="6"/>
      <c r="AQ2" s="16"/>
      <c r="AR2" s="16"/>
    </row>
    <row r="3" spans="1:44" x14ac:dyDescent="0.2">
      <c r="A3" s="1">
        <v>1</v>
      </c>
      <c r="B3" s="1">
        <v>1</v>
      </c>
      <c r="C3" s="4">
        <f>0.000000000384*T3^3-0.000000342064*T3^2+0.001060852819*T3+0.088327034395</f>
        <v>0.16612888582000002</v>
      </c>
      <c r="D3" s="5">
        <f t="shared" ref="D3:D11" si="0">C3</f>
        <v>0.16612888582000002</v>
      </c>
      <c r="E3" s="21">
        <f>IF(C3&lt;$E$2,C3,$E$2)</f>
        <v>0.16612888582000002</v>
      </c>
      <c r="F3" s="4">
        <f t="shared" ref="F3:F34" si="1">C3-D3</f>
        <v>0</v>
      </c>
      <c r="G3" s="25">
        <f>C3-E3</f>
        <v>0</v>
      </c>
      <c r="H3" s="3">
        <v>0.33639999999999998</v>
      </c>
      <c r="I3" s="4">
        <f t="shared" ref="I3:I34" si="2">(H3/1000)*C3*24*365</f>
        <v>0.48955923298306853</v>
      </c>
      <c r="J3" s="4">
        <f>$H3/1000*$F3*24*365+($H3/1000*$D3*24*365)*0.5</f>
        <v>0.24477961649153426</v>
      </c>
      <c r="K3" s="4">
        <f>$H3/1000*$F3*24*365+($H3/1000*$D3*24*365)*0.4</f>
        <v>0.19582369319322743</v>
      </c>
      <c r="L3" s="4">
        <f>$H3/1000*$F3*24*365+($H3/1000*$D3*24*365)*0.3</f>
        <v>0.14686776989492056</v>
      </c>
      <c r="M3" s="25">
        <f>$H3/1000*$G3*24*365+($H3/1000*$E3*24*365)*0.3</f>
        <v>0.14686776989492056</v>
      </c>
      <c r="N3" s="35">
        <f>$H3/1000*$G3*24*365+($H3/1000*$E3*24*365)*0.23</f>
        <v>0.11259862358610577</v>
      </c>
      <c r="O3" s="35">
        <f>$H3/1000*$G3*24*365+($H3/1000*$E3*24*365)*0.2</f>
        <v>9.7911846596613714E-2</v>
      </c>
      <c r="P3" s="4">
        <f>$H3/1000*$G3*24*365+($H3/1000*$E3*24*365)*0.01</f>
        <v>4.8955923298306852E-3</v>
      </c>
      <c r="Q3" s="4"/>
      <c r="R3" s="1">
        <v>1</v>
      </c>
      <c r="S3" s="1">
        <v>1</v>
      </c>
      <c r="T3" s="14">
        <v>75</v>
      </c>
      <c r="V3" s="4"/>
      <c r="Y3" s="4"/>
      <c r="Z3" s="3"/>
      <c r="AM3" s="1">
        <v>1</v>
      </c>
      <c r="AN3" s="1">
        <v>1</v>
      </c>
      <c r="AO3" s="4">
        <v>0.06</v>
      </c>
      <c r="AP3" s="4">
        <v>0.06</v>
      </c>
    </row>
    <row r="4" spans="1:44" x14ac:dyDescent="0.2">
      <c r="A4" s="1">
        <v>1</v>
      </c>
      <c r="B4" s="1">
        <v>2</v>
      </c>
      <c r="C4" s="4">
        <f>0.000000000384*T4^3-0.000000342064*T4^2+0.001060852819*T4+0.088327034395</f>
        <v>0.19137567629499999</v>
      </c>
      <c r="D4" s="5">
        <f t="shared" si="0"/>
        <v>0.19137567629499999</v>
      </c>
      <c r="E4" s="21">
        <f t="shared" ref="E4:E51" si="3">IF(C4&lt;$E$2,C4,$E$2)</f>
        <v>0.19137567629499999</v>
      </c>
      <c r="F4" s="4">
        <f t="shared" si="1"/>
        <v>0</v>
      </c>
      <c r="G4" s="25">
        <f t="shared" ref="G4:G51" si="4">C4-E4</f>
        <v>0</v>
      </c>
      <c r="H4" s="3">
        <v>0.48144723946899115</v>
      </c>
      <c r="I4" s="4">
        <f t="shared" si="2"/>
        <v>0.80712266963075363</v>
      </c>
      <c r="J4" s="4">
        <f t="shared" ref="J4:J51" si="5">$H4/1000*$F4*24*365+($H4/1000*$D4*24*365)*0.5</f>
        <v>0.40356133481537682</v>
      </c>
      <c r="K4" s="4">
        <f t="shared" ref="K4:K51" si="6">$H4/1000*$F4*24*365+($H4/1000*$D4*24*365)*0.4</f>
        <v>0.3228490678523015</v>
      </c>
      <c r="L4" s="4">
        <f t="shared" ref="L4:L51" si="7">$H4/1000*$F4*24*365+($H4/1000*$D4*24*365)*0.3</f>
        <v>0.24213680088922607</v>
      </c>
      <c r="M4" s="25">
        <f t="shared" ref="M4:M51" si="8">$H4/1000*$G4*24*365+($H4/1000*$E4*24*365)*0.3</f>
        <v>0.24213680088922607</v>
      </c>
      <c r="N4" s="35">
        <f t="shared" ref="N4:N51" si="9">$H4/1000*$G4*24*365+($H4/1000*$E4*24*365)*0.23</f>
        <v>0.18563821401507336</v>
      </c>
      <c r="O4" s="35">
        <f t="shared" ref="O4:O51" si="10">$H4/1000*$G4*24*365+($H4/1000*$E4*24*365)*0.2</f>
        <v>0.16142453392615075</v>
      </c>
      <c r="P4" s="4">
        <f t="shared" ref="P4:P51" si="11">$H4/1000*$G4*24*365+($H4/1000*$E4*24*365)*0.01</f>
        <v>8.0712266963075367E-3</v>
      </c>
      <c r="Q4" s="4"/>
      <c r="R4" s="1">
        <v>1</v>
      </c>
      <c r="S4" s="1">
        <v>2</v>
      </c>
      <c r="T4" s="14">
        <v>100</v>
      </c>
      <c r="V4" s="4"/>
      <c r="W4" s="2"/>
      <c r="Y4" s="4"/>
      <c r="Z4" s="3"/>
      <c r="AM4" s="1">
        <v>1</v>
      </c>
      <c r="AN4" s="1">
        <v>2</v>
      </c>
      <c r="AO4" s="4">
        <v>7.0000000000000007E-2</v>
      </c>
      <c r="AP4" s="4">
        <v>7.0000000000000007E-2</v>
      </c>
    </row>
    <row r="5" spans="1:44" x14ac:dyDescent="0.2">
      <c r="A5" s="1">
        <v>1</v>
      </c>
      <c r="B5" s="1">
        <v>3</v>
      </c>
      <c r="C5" s="4">
        <f>0.000000000384*T5^3-0.000000342064*T5^2+0.001060852819*T5+0.088327034395</f>
        <v>0.21633888676999999</v>
      </c>
      <c r="D5" s="5">
        <f t="shared" si="0"/>
        <v>0.21633888676999999</v>
      </c>
      <c r="E5" s="21">
        <f t="shared" si="3"/>
        <v>0.21633888676999999</v>
      </c>
      <c r="F5" s="4">
        <f t="shared" si="1"/>
        <v>0</v>
      </c>
      <c r="G5" s="25">
        <f t="shared" si="4"/>
        <v>0</v>
      </c>
      <c r="H5" s="3">
        <v>0.59377662936378461</v>
      </c>
      <c r="I5" s="4">
        <f t="shared" si="2"/>
        <v>1.1252831008826514</v>
      </c>
      <c r="J5" s="4">
        <f t="shared" si="5"/>
        <v>0.56264155044132569</v>
      </c>
      <c r="K5" s="4">
        <f t="shared" si="6"/>
        <v>0.45011324035306055</v>
      </c>
      <c r="L5" s="4">
        <f t="shared" si="7"/>
        <v>0.33758493026479541</v>
      </c>
      <c r="M5" s="25">
        <f t="shared" si="8"/>
        <v>0.33758493026479541</v>
      </c>
      <c r="N5" s="35">
        <f t="shared" si="9"/>
        <v>0.25881511320300982</v>
      </c>
      <c r="O5" s="35">
        <f t="shared" si="10"/>
        <v>0.22505662017653028</v>
      </c>
      <c r="P5" s="4">
        <f t="shared" si="11"/>
        <v>1.1252831008826514E-2</v>
      </c>
      <c r="Q5" s="4"/>
      <c r="R5" s="1">
        <v>1</v>
      </c>
      <c r="S5" s="1">
        <v>3</v>
      </c>
      <c r="T5" s="14">
        <v>125</v>
      </c>
      <c r="V5" s="4"/>
      <c r="W5" s="2"/>
      <c r="Y5" s="4"/>
      <c r="Z5" s="3"/>
      <c r="AM5" s="1">
        <v>1</v>
      </c>
      <c r="AN5" s="1">
        <v>3</v>
      </c>
      <c r="AO5" s="4">
        <v>0.09</v>
      </c>
      <c r="AP5" s="4">
        <v>0.09</v>
      </c>
    </row>
    <row r="6" spans="1:44" x14ac:dyDescent="0.2">
      <c r="A6" s="1">
        <v>1</v>
      </c>
      <c r="B6" s="1">
        <v>4</v>
      </c>
      <c r="C6" s="4">
        <f t="shared" ref="C6:C51" si="12">0.000000000384*T6^3-0.000000342064*T6^2+0.001060852819*T6+0.088327034395</f>
        <v>0.24105451724499999</v>
      </c>
      <c r="D6" s="5">
        <f t="shared" si="0"/>
        <v>0.24105451724499999</v>
      </c>
      <c r="E6" s="21">
        <f t="shared" si="3"/>
        <v>0.24105451724499999</v>
      </c>
      <c r="F6" s="4">
        <f t="shared" si="1"/>
        <v>0</v>
      </c>
      <c r="G6" s="25">
        <f t="shared" si="4"/>
        <v>0</v>
      </c>
      <c r="H6" s="3">
        <v>0.68903520925181982</v>
      </c>
      <c r="I6" s="4">
        <f t="shared" si="2"/>
        <v>1.4549926356436036</v>
      </c>
      <c r="J6" s="4">
        <f t="shared" si="5"/>
        <v>0.7274963178218018</v>
      </c>
      <c r="K6" s="4">
        <f t="shared" si="6"/>
        <v>0.58199705425744142</v>
      </c>
      <c r="L6" s="4">
        <f t="shared" si="7"/>
        <v>0.43649779069308109</v>
      </c>
      <c r="M6" s="25">
        <f t="shared" si="8"/>
        <v>0.43649779069308109</v>
      </c>
      <c r="N6" s="35">
        <f t="shared" si="9"/>
        <v>0.33464830619802882</v>
      </c>
      <c r="O6" s="35">
        <f t="shared" si="10"/>
        <v>0.29099852712872071</v>
      </c>
      <c r="P6" s="4">
        <f t="shared" si="11"/>
        <v>1.4549926356436036E-2</v>
      </c>
      <c r="Q6" s="4"/>
      <c r="R6" s="1">
        <v>1</v>
      </c>
      <c r="S6" s="1">
        <v>4</v>
      </c>
      <c r="T6" s="14">
        <v>150</v>
      </c>
      <c r="V6" s="4"/>
      <c r="W6" s="2"/>
      <c r="Y6" s="4"/>
      <c r="Z6" s="3"/>
      <c r="AM6" s="1">
        <v>1</v>
      </c>
      <c r="AN6" s="1">
        <v>4</v>
      </c>
      <c r="AO6" s="4">
        <v>0.1</v>
      </c>
      <c r="AP6" s="4">
        <v>0.1</v>
      </c>
    </row>
    <row r="7" spans="1:44" x14ac:dyDescent="0.2">
      <c r="A7" s="1">
        <v>1</v>
      </c>
      <c r="B7" s="1">
        <v>5</v>
      </c>
      <c r="C7" s="4">
        <f t="shared" si="12"/>
        <v>0.26555856771999997</v>
      </c>
      <c r="D7" s="5">
        <f t="shared" si="0"/>
        <v>0.26555856771999997</v>
      </c>
      <c r="E7" s="21">
        <f t="shared" si="3"/>
        <v>0.26555856771999997</v>
      </c>
      <c r="F7" s="4">
        <f t="shared" si="1"/>
        <v>0</v>
      </c>
      <c r="G7" s="25">
        <f t="shared" si="4"/>
        <v>0</v>
      </c>
      <c r="H7" s="3">
        <v>0.77332717794733563</v>
      </c>
      <c r="I7" s="4">
        <f t="shared" si="2"/>
        <v>1.7989856419306816</v>
      </c>
      <c r="J7" s="4">
        <f t="shared" si="5"/>
        <v>0.89949282096534078</v>
      </c>
      <c r="K7" s="4">
        <f t="shared" si="6"/>
        <v>0.71959425677227262</v>
      </c>
      <c r="L7" s="4">
        <f t="shared" si="7"/>
        <v>0.53969569257920447</v>
      </c>
      <c r="M7" s="25">
        <f t="shared" si="8"/>
        <v>0.53969569257920447</v>
      </c>
      <c r="N7" s="35">
        <f t="shared" si="9"/>
        <v>0.41376669764405677</v>
      </c>
      <c r="O7" s="35">
        <f t="shared" si="10"/>
        <v>0.35979712838613631</v>
      </c>
      <c r="P7" s="4">
        <f t="shared" si="11"/>
        <v>1.7989856419306817E-2</v>
      </c>
      <c r="Q7" s="4"/>
      <c r="R7" s="1">
        <v>1</v>
      </c>
      <c r="S7" s="1">
        <v>5</v>
      </c>
      <c r="T7" s="14">
        <v>175</v>
      </c>
      <c r="V7" s="4"/>
      <c r="Y7" s="4"/>
      <c r="Z7" s="3"/>
      <c r="AM7" s="1">
        <v>1</v>
      </c>
      <c r="AN7" s="1">
        <v>5</v>
      </c>
      <c r="AO7" s="4">
        <v>0.12</v>
      </c>
      <c r="AP7" s="4">
        <v>0.12</v>
      </c>
    </row>
    <row r="8" spans="1:44" x14ac:dyDescent="0.2">
      <c r="A8" s="1">
        <v>1</v>
      </c>
      <c r="B8" s="1">
        <v>6</v>
      </c>
      <c r="C8" s="4">
        <f t="shared" si="12"/>
        <v>0.289887038195</v>
      </c>
      <c r="D8" s="5">
        <f t="shared" si="0"/>
        <v>0.289887038195</v>
      </c>
      <c r="E8" s="21">
        <f t="shared" si="3"/>
        <v>0.289887038195</v>
      </c>
      <c r="F8" s="4">
        <f t="shared" si="1"/>
        <v>0</v>
      </c>
      <c r="G8" s="25">
        <f t="shared" si="4"/>
        <v>0</v>
      </c>
      <c r="H8" s="3">
        <v>0.84979821363970398</v>
      </c>
      <c r="I8" s="4">
        <f t="shared" si="2"/>
        <v>2.1579864680070409</v>
      </c>
      <c r="J8" s="4">
        <f t="shared" si="5"/>
        <v>1.0789932340035204</v>
      </c>
      <c r="K8" s="4">
        <f t="shared" si="6"/>
        <v>0.86319458720281639</v>
      </c>
      <c r="L8" s="4">
        <f t="shared" si="7"/>
        <v>0.64739594040211224</v>
      </c>
      <c r="M8" s="25">
        <f t="shared" si="8"/>
        <v>0.64739594040211224</v>
      </c>
      <c r="N8" s="35">
        <f t="shared" si="9"/>
        <v>0.49633688764161943</v>
      </c>
      <c r="O8" s="35">
        <f t="shared" si="10"/>
        <v>0.43159729360140819</v>
      </c>
      <c r="P8" s="4">
        <f t="shared" si="11"/>
        <v>2.157986468007041E-2</v>
      </c>
      <c r="Q8" s="4"/>
      <c r="R8" s="1">
        <v>1</v>
      </c>
      <c r="S8" s="1">
        <v>6</v>
      </c>
      <c r="T8" s="14">
        <v>200</v>
      </c>
      <c r="V8" s="4"/>
      <c r="W8" s="2"/>
      <c r="Y8" s="4"/>
      <c r="Z8" s="3"/>
      <c r="AM8" s="1">
        <v>1</v>
      </c>
      <c r="AN8" s="1">
        <v>6</v>
      </c>
      <c r="AO8" s="4">
        <v>0.14000000000000001</v>
      </c>
      <c r="AP8" s="4">
        <v>0.14000000000000001</v>
      </c>
    </row>
    <row r="9" spans="1:44" x14ac:dyDescent="0.2">
      <c r="A9" s="1">
        <v>1</v>
      </c>
      <c r="B9" s="1">
        <v>7</v>
      </c>
      <c r="C9" s="4">
        <f t="shared" si="12"/>
        <v>0.31407592867</v>
      </c>
      <c r="D9" s="5">
        <f t="shared" si="0"/>
        <v>0.31407592867</v>
      </c>
      <c r="E9" s="21">
        <f t="shared" si="3"/>
        <v>0.31407592867</v>
      </c>
      <c r="F9" s="4">
        <f t="shared" si="1"/>
        <v>0</v>
      </c>
      <c r="G9" s="25">
        <f t="shared" si="4"/>
        <v>0</v>
      </c>
      <c r="H9" s="3">
        <v>0.92032388517371078</v>
      </c>
      <c r="I9" s="4">
        <f t="shared" si="2"/>
        <v>2.5320918312788931</v>
      </c>
      <c r="J9" s="4">
        <f t="shared" si="5"/>
        <v>1.2660459156394466</v>
      </c>
      <c r="K9" s="4">
        <f t="shared" si="6"/>
        <v>1.0128367325115573</v>
      </c>
      <c r="L9" s="4">
        <f t="shared" si="7"/>
        <v>0.75962754938366794</v>
      </c>
      <c r="M9" s="25">
        <f t="shared" si="8"/>
        <v>0.75962754938366794</v>
      </c>
      <c r="N9" s="35">
        <f t="shared" si="9"/>
        <v>0.58238112119414542</v>
      </c>
      <c r="O9" s="35">
        <f t="shared" si="10"/>
        <v>0.50641836625577863</v>
      </c>
      <c r="P9" s="4">
        <f t="shared" si="11"/>
        <v>2.5320918312788931E-2</v>
      </c>
      <c r="Q9" s="4"/>
      <c r="R9" s="1">
        <v>1</v>
      </c>
      <c r="S9" s="1">
        <v>7</v>
      </c>
      <c r="T9" s="14">
        <v>225</v>
      </c>
      <c r="V9" s="4"/>
      <c r="W9" s="2"/>
      <c r="Y9" s="4"/>
      <c r="Z9" s="3"/>
      <c r="AM9" s="1">
        <v>1</v>
      </c>
      <c r="AN9" s="1">
        <v>7</v>
      </c>
      <c r="AO9" s="4">
        <v>0.16</v>
      </c>
      <c r="AP9" s="4">
        <v>0.16</v>
      </c>
    </row>
    <row r="10" spans="1:44" x14ac:dyDescent="0.2">
      <c r="A10" s="1">
        <v>2</v>
      </c>
      <c r="B10" s="1">
        <v>8</v>
      </c>
      <c r="C10" s="4">
        <f t="shared" si="12"/>
        <v>0.33816123914499996</v>
      </c>
      <c r="D10" s="5">
        <f t="shared" si="0"/>
        <v>0.33816123914499996</v>
      </c>
      <c r="E10" s="21">
        <f t="shared" si="3"/>
        <v>0.33816123914499996</v>
      </c>
      <c r="F10" s="4">
        <f t="shared" si="1"/>
        <v>0</v>
      </c>
      <c r="G10" s="25">
        <f t="shared" si="4"/>
        <v>0</v>
      </c>
      <c r="H10" s="3">
        <v>0.98612990306547954</v>
      </c>
      <c r="I10" s="4">
        <f t="shared" si="2"/>
        <v>2.9212051714121965</v>
      </c>
      <c r="J10" s="4">
        <f t="shared" si="5"/>
        <v>1.4606025857060982</v>
      </c>
      <c r="K10" s="4">
        <f t="shared" si="6"/>
        <v>1.1684820685648787</v>
      </c>
      <c r="L10" s="4">
        <f t="shared" si="7"/>
        <v>0.8763615514236589</v>
      </c>
      <c r="M10" s="25">
        <f t="shared" si="8"/>
        <v>0.8763615514236589</v>
      </c>
      <c r="N10" s="35">
        <f t="shared" si="9"/>
        <v>0.67187718942480523</v>
      </c>
      <c r="O10" s="35">
        <f t="shared" si="10"/>
        <v>0.58424103428243934</v>
      </c>
      <c r="P10" s="4">
        <f t="shared" si="11"/>
        <v>2.9212051714121966E-2</v>
      </c>
      <c r="Q10" s="4"/>
      <c r="R10" s="1">
        <v>2</v>
      </c>
      <c r="S10" s="1">
        <v>8</v>
      </c>
      <c r="T10" s="14">
        <v>250</v>
      </c>
      <c r="V10" s="4"/>
      <c r="W10" s="2"/>
      <c r="Y10" s="4"/>
      <c r="Z10" s="3"/>
      <c r="AM10" s="1">
        <v>2</v>
      </c>
      <c r="AN10" s="1">
        <v>8</v>
      </c>
      <c r="AO10" s="4">
        <v>0.18</v>
      </c>
      <c r="AP10" s="4">
        <v>0.18</v>
      </c>
    </row>
    <row r="11" spans="1:44" x14ac:dyDescent="0.2">
      <c r="A11" s="1">
        <v>2</v>
      </c>
      <c r="B11" s="1">
        <v>9</v>
      </c>
      <c r="C11" s="4">
        <f t="shared" si="12"/>
        <v>0.38616512009499998</v>
      </c>
      <c r="D11" s="5">
        <f t="shared" si="0"/>
        <v>0.38616512009499998</v>
      </c>
      <c r="E11" s="21">
        <f t="shared" si="3"/>
        <v>0.38616512009499998</v>
      </c>
      <c r="F11" s="4">
        <f t="shared" si="1"/>
        <v>0</v>
      </c>
      <c r="G11" s="25">
        <f t="shared" si="4"/>
        <v>0</v>
      </c>
      <c r="H11" s="3">
        <v>1.0480698144429763</v>
      </c>
      <c r="I11" s="4">
        <f t="shared" si="2"/>
        <v>3.5454173304778909</v>
      </c>
      <c r="J11" s="4">
        <f t="shared" si="5"/>
        <v>1.7727086652389454</v>
      </c>
      <c r="K11" s="4">
        <f t="shared" si="6"/>
        <v>1.4181669321911565</v>
      </c>
      <c r="L11" s="4">
        <f t="shared" si="7"/>
        <v>1.0636251991433672</v>
      </c>
      <c r="M11" s="25">
        <f t="shared" si="8"/>
        <v>1.0636251991433672</v>
      </c>
      <c r="N11" s="35">
        <f t="shared" si="9"/>
        <v>0.81544598600991491</v>
      </c>
      <c r="O11" s="35">
        <f t="shared" si="10"/>
        <v>0.70908346609557826</v>
      </c>
      <c r="P11" s="4">
        <f t="shared" si="11"/>
        <v>3.5454173304778909E-2</v>
      </c>
      <c r="Q11" s="4"/>
      <c r="R11" s="1">
        <v>2</v>
      </c>
      <c r="S11" s="1">
        <v>9</v>
      </c>
      <c r="T11" s="14">
        <v>300</v>
      </c>
      <c r="V11" s="4"/>
      <c r="W11" s="2"/>
      <c r="Y11" s="4"/>
      <c r="Z11" s="3"/>
      <c r="AM11" s="1">
        <v>2</v>
      </c>
      <c r="AN11" s="1">
        <v>9</v>
      </c>
      <c r="AO11" s="4">
        <v>0.2</v>
      </c>
      <c r="AP11" s="4">
        <v>0.21</v>
      </c>
    </row>
    <row r="12" spans="1:44" x14ac:dyDescent="0.2">
      <c r="A12" s="1">
        <v>2</v>
      </c>
      <c r="B12" s="1">
        <v>10</v>
      </c>
      <c r="C12" s="4">
        <f t="shared" si="12"/>
        <v>0.43418668104499997</v>
      </c>
      <c r="D12" s="11">
        <v>0.35</v>
      </c>
      <c r="E12" s="21">
        <f t="shared" si="3"/>
        <v>0.43418668104499997</v>
      </c>
      <c r="F12" s="4">
        <f t="shared" si="1"/>
        <v>8.4186681044999989E-2</v>
      </c>
      <c r="G12" s="25">
        <f t="shared" si="4"/>
        <v>0</v>
      </c>
      <c r="H12" s="3">
        <v>1.1067664537131101</v>
      </c>
      <c r="I12" s="4">
        <f t="shared" si="2"/>
        <v>4.2095588982916459</v>
      </c>
      <c r="J12" s="4">
        <f t="shared" si="5"/>
        <v>2.5128859247494479</v>
      </c>
      <c r="K12" s="4">
        <f t="shared" si="6"/>
        <v>2.1735513300410085</v>
      </c>
      <c r="L12" s="4">
        <f t="shared" si="7"/>
        <v>1.8342167353325687</v>
      </c>
      <c r="M12" s="25">
        <f t="shared" si="8"/>
        <v>1.2628676694874936</v>
      </c>
      <c r="N12" s="35">
        <f t="shared" si="9"/>
        <v>0.9681985466070786</v>
      </c>
      <c r="O12" s="35">
        <f t="shared" si="10"/>
        <v>0.8419117796583292</v>
      </c>
      <c r="P12" s="4">
        <f t="shared" si="11"/>
        <v>4.209558898291646E-2</v>
      </c>
      <c r="Q12" s="4"/>
      <c r="R12" s="1">
        <v>2</v>
      </c>
      <c r="S12" s="1">
        <v>10</v>
      </c>
      <c r="T12" s="14">
        <v>350</v>
      </c>
      <c r="V12" s="4"/>
      <c r="W12" s="2"/>
      <c r="Y12" s="4"/>
      <c r="Z12" s="3"/>
      <c r="AM12" s="1">
        <v>2</v>
      </c>
      <c r="AN12" s="1">
        <v>10</v>
      </c>
      <c r="AO12" s="4">
        <v>0.22</v>
      </c>
      <c r="AP12" s="4">
        <v>0.24</v>
      </c>
    </row>
    <row r="13" spans="1:44" x14ac:dyDescent="0.2">
      <c r="A13" s="1">
        <v>2</v>
      </c>
      <c r="B13" s="1">
        <v>11</v>
      </c>
      <c r="C13" s="4">
        <f t="shared" si="12"/>
        <v>0.48251392199499998</v>
      </c>
      <c r="D13" s="11">
        <v>0.35</v>
      </c>
      <c r="E13" s="21">
        <f t="shared" si="3"/>
        <v>0.48251392199499998</v>
      </c>
      <c r="F13" s="4">
        <f t="shared" si="1"/>
        <v>0.13251392199500001</v>
      </c>
      <c r="G13" s="25">
        <f t="shared" si="4"/>
        <v>0</v>
      </c>
      <c r="H13" s="3">
        <v>1.162690928086719</v>
      </c>
      <c r="I13" s="4">
        <f t="shared" si="2"/>
        <v>4.9144875436651727</v>
      </c>
      <c r="J13" s="4">
        <f t="shared" si="5"/>
        <v>3.1320823509082327</v>
      </c>
      <c r="K13" s="4">
        <f t="shared" si="6"/>
        <v>2.7756013123568444</v>
      </c>
      <c r="L13" s="4">
        <f t="shared" si="7"/>
        <v>2.4191202738054565</v>
      </c>
      <c r="M13" s="25">
        <f t="shared" si="8"/>
        <v>1.4743462630995519</v>
      </c>
      <c r="N13" s="35">
        <f t="shared" si="9"/>
        <v>1.1303321350429898</v>
      </c>
      <c r="O13" s="35">
        <f t="shared" si="10"/>
        <v>0.98289750873303461</v>
      </c>
      <c r="P13" s="4">
        <f t="shared" si="11"/>
        <v>4.9144875436651726E-2</v>
      </c>
      <c r="Q13" s="4"/>
      <c r="R13" s="1">
        <v>2</v>
      </c>
      <c r="S13" s="1">
        <v>11</v>
      </c>
      <c r="T13" s="14">
        <v>400</v>
      </c>
      <c r="V13" s="4"/>
      <c r="Y13" s="4"/>
      <c r="Z13" s="3"/>
      <c r="AM13" s="1">
        <v>2</v>
      </c>
      <c r="AN13" s="1">
        <v>11</v>
      </c>
      <c r="AO13" s="4">
        <v>0.25</v>
      </c>
      <c r="AP13" s="4">
        <v>0.27</v>
      </c>
    </row>
    <row r="14" spans="1:44" x14ac:dyDescent="0.2">
      <c r="A14" s="1">
        <v>2</v>
      </c>
      <c r="B14" s="1">
        <v>12</v>
      </c>
      <c r="C14" s="4">
        <f t="shared" si="12"/>
        <v>0.53143484294499999</v>
      </c>
      <c r="D14" s="11">
        <v>0.35</v>
      </c>
      <c r="E14" s="21">
        <f t="shared" si="3"/>
        <v>0.53143484294499999</v>
      </c>
      <c r="F14" s="4">
        <f t="shared" si="1"/>
        <v>0.18143484294500001</v>
      </c>
      <c r="G14" s="25">
        <f t="shared" si="4"/>
        <v>0</v>
      </c>
      <c r="H14" s="3">
        <v>1.2162098812797726</v>
      </c>
      <c r="I14" s="4">
        <f t="shared" si="2"/>
        <v>5.6619060514755999</v>
      </c>
      <c r="J14" s="4">
        <f t="shared" si="5"/>
        <v>3.7974563034737088</v>
      </c>
      <c r="K14" s="4">
        <f t="shared" si="6"/>
        <v>3.4245663538733306</v>
      </c>
      <c r="L14" s="4">
        <f t="shared" si="7"/>
        <v>3.0516764042729521</v>
      </c>
      <c r="M14" s="25">
        <f t="shared" si="8"/>
        <v>1.6985718154426799</v>
      </c>
      <c r="N14" s="35">
        <f t="shared" si="9"/>
        <v>1.3022383918393881</v>
      </c>
      <c r="O14" s="35">
        <f t="shared" si="10"/>
        <v>1.1323812102951201</v>
      </c>
      <c r="P14" s="4">
        <f t="shared" si="11"/>
        <v>5.6619060514756001E-2</v>
      </c>
      <c r="Q14" s="4"/>
      <c r="R14" s="1">
        <v>2</v>
      </c>
      <c r="S14" s="1">
        <v>12</v>
      </c>
      <c r="T14" s="14">
        <v>450</v>
      </c>
      <c r="AM14" s="1">
        <v>2</v>
      </c>
      <c r="AN14" s="1">
        <v>12</v>
      </c>
      <c r="AO14" s="4">
        <v>0.28000000000000003</v>
      </c>
      <c r="AP14" s="4">
        <v>0.31</v>
      </c>
    </row>
    <row r="15" spans="1:44" x14ac:dyDescent="0.2">
      <c r="A15" s="1">
        <v>2</v>
      </c>
      <c r="B15" s="1">
        <v>13</v>
      </c>
      <c r="C15" s="4">
        <f t="shared" si="12"/>
        <v>0.58123744389499998</v>
      </c>
      <c r="D15" s="11">
        <v>0.35</v>
      </c>
      <c r="E15" s="21">
        <f t="shared" si="3"/>
        <v>0.58123744389499998</v>
      </c>
      <c r="F15" s="4">
        <f t="shared" si="1"/>
        <v>0.23123744389500001</v>
      </c>
      <c r="G15" s="25">
        <f t="shared" si="4"/>
        <v>0</v>
      </c>
      <c r="H15" s="3">
        <v>1.2676153481444508</v>
      </c>
      <c r="I15" s="4">
        <f t="shared" si="2"/>
        <v>6.4542410220265456</v>
      </c>
      <c r="J15" s="4">
        <f t="shared" si="5"/>
        <v>4.5109866933211045</v>
      </c>
      <c r="K15" s="4">
        <f t="shared" si="6"/>
        <v>4.1223358275800157</v>
      </c>
      <c r="L15" s="4">
        <f t="shared" si="7"/>
        <v>3.733684961838927</v>
      </c>
      <c r="M15" s="25">
        <f t="shared" si="8"/>
        <v>1.9362723066079637</v>
      </c>
      <c r="N15" s="35">
        <f t="shared" si="9"/>
        <v>1.4844754350661056</v>
      </c>
      <c r="O15" s="35">
        <f t="shared" si="10"/>
        <v>1.2908482044053091</v>
      </c>
      <c r="P15" s="4">
        <f t="shared" si="11"/>
        <v>6.4542410220265453E-2</v>
      </c>
      <c r="Q15" s="4"/>
      <c r="R15" s="1">
        <v>2</v>
      </c>
      <c r="S15" s="1">
        <v>13</v>
      </c>
      <c r="T15" s="14">
        <v>500</v>
      </c>
      <c r="AM15" s="1">
        <v>2</v>
      </c>
      <c r="AN15" s="1">
        <v>13</v>
      </c>
      <c r="AO15" s="4">
        <v>0.31</v>
      </c>
      <c r="AP15" s="4">
        <v>0.35</v>
      </c>
    </row>
    <row r="16" spans="1:44" x14ac:dyDescent="0.2">
      <c r="A16" s="1">
        <v>2</v>
      </c>
      <c r="B16" s="1">
        <v>14</v>
      </c>
      <c r="C16" s="4">
        <f t="shared" si="12"/>
        <v>0.63220972484499993</v>
      </c>
      <c r="D16" s="11">
        <v>0.35</v>
      </c>
      <c r="E16" s="21">
        <f t="shared" si="3"/>
        <v>0.63220972484499993</v>
      </c>
      <c r="F16" s="4">
        <f t="shared" si="1"/>
        <v>0.28220972484499995</v>
      </c>
      <c r="G16" s="25">
        <f t="shared" si="4"/>
        <v>0</v>
      </c>
      <c r="H16" s="3">
        <v>1.3171444528366822</v>
      </c>
      <c r="I16" s="4">
        <f t="shared" si="2"/>
        <v>7.2945530212748126</v>
      </c>
      <c r="J16" s="4">
        <f t="shared" si="5"/>
        <v>5.2753705750761792</v>
      </c>
      <c r="K16" s="4">
        <f t="shared" si="6"/>
        <v>4.8715340858364531</v>
      </c>
      <c r="L16" s="4">
        <f t="shared" si="7"/>
        <v>4.4676975965967261</v>
      </c>
      <c r="M16" s="25">
        <f t="shared" si="8"/>
        <v>2.1883659063824439</v>
      </c>
      <c r="N16" s="35">
        <f t="shared" si="9"/>
        <v>1.677747194893207</v>
      </c>
      <c r="O16" s="35">
        <f t="shared" si="10"/>
        <v>1.4589106042549627</v>
      </c>
      <c r="P16" s="4">
        <f t="shared" si="11"/>
        <v>7.2945530212748133E-2</v>
      </c>
      <c r="Q16" s="4"/>
      <c r="R16" s="1">
        <v>2</v>
      </c>
      <c r="S16" s="1">
        <v>14</v>
      </c>
      <c r="T16" s="14">
        <v>550</v>
      </c>
      <c r="AM16" s="1">
        <v>2</v>
      </c>
      <c r="AN16" s="1">
        <v>14</v>
      </c>
      <c r="AO16" s="4">
        <v>0.34</v>
      </c>
      <c r="AP16" s="4">
        <v>0.39</v>
      </c>
    </row>
    <row r="17" spans="1:42" x14ac:dyDescent="0.2">
      <c r="A17" s="1">
        <v>3</v>
      </c>
      <c r="B17" s="1">
        <v>15</v>
      </c>
      <c r="C17" s="4">
        <f t="shared" si="12"/>
        <v>0.68463968579500001</v>
      </c>
      <c r="D17" s="11">
        <v>0.35</v>
      </c>
      <c r="E17" s="21">
        <f t="shared" si="3"/>
        <v>0.68463968579500001</v>
      </c>
      <c r="F17" s="4">
        <f t="shared" si="1"/>
        <v>0.33463968579500003</v>
      </c>
      <c r="G17" s="25">
        <f t="shared" si="4"/>
        <v>0</v>
      </c>
      <c r="H17" s="3">
        <v>1.3649928808471363</v>
      </c>
      <c r="I17" s="4">
        <f t="shared" si="2"/>
        <v>8.1864678822070154</v>
      </c>
      <c r="J17" s="4">
        <f t="shared" si="5"/>
        <v>6.093933795868355</v>
      </c>
      <c r="K17" s="4">
        <f t="shared" si="6"/>
        <v>5.6754269786006235</v>
      </c>
      <c r="L17" s="4">
        <f t="shared" si="7"/>
        <v>5.2569201613328911</v>
      </c>
      <c r="M17" s="25">
        <f t="shared" si="8"/>
        <v>2.4559403646621045</v>
      </c>
      <c r="N17" s="35">
        <f t="shared" si="9"/>
        <v>1.8828876129076135</v>
      </c>
      <c r="O17" s="35">
        <f t="shared" si="10"/>
        <v>1.6372935764414032</v>
      </c>
      <c r="P17" s="4">
        <f t="shared" si="11"/>
        <v>8.1864678822070158E-2</v>
      </c>
      <c r="Q17" s="4"/>
      <c r="R17" s="1">
        <v>3</v>
      </c>
      <c r="S17" s="1">
        <v>15</v>
      </c>
      <c r="T17" s="14">
        <v>600</v>
      </c>
      <c r="AM17" s="1">
        <v>3</v>
      </c>
      <c r="AN17" s="1">
        <v>15</v>
      </c>
      <c r="AO17" s="4">
        <v>0.38</v>
      </c>
      <c r="AP17" s="4">
        <v>0.43</v>
      </c>
    </row>
    <row r="18" spans="1:42" x14ac:dyDescent="0.2">
      <c r="A18" s="1">
        <v>3</v>
      </c>
      <c r="B18" s="1">
        <v>16</v>
      </c>
      <c r="C18" s="4">
        <f t="shared" si="12"/>
        <v>0.77793117900999997</v>
      </c>
      <c r="D18" s="11">
        <v>0.35</v>
      </c>
      <c r="E18" s="21">
        <f t="shared" si="3"/>
        <v>0.77793117900999997</v>
      </c>
      <c r="F18" s="4">
        <f t="shared" si="1"/>
        <v>0.42793117901</v>
      </c>
      <c r="G18" s="25">
        <f t="shared" si="4"/>
        <v>0</v>
      </c>
      <c r="H18" s="3">
        <v>1.4113243745205084</v>
      </c>
      <c r="I18" s="4">
        <f t="shared" si="2"/>
        <v>9.6177199354138985</v>
      </c>
      <c r="J18" s="4">
        <f t="shared" si="5"/>
        <v>7.4541596692739605</v>
      </c>
      <c r="K18" s="4">
        <f t="shared" si="6"/>
        <v>7.0214476160459727</v>
      </c>
      <c r="L18" s="4">
        <f t="shared" si="7"/>
        <v>6.588735562817984</v>
      </c>
      <c r="M18" s="25">
        <f t="shared" si="8"/>
        <v>2.8853159806241693</v>
      </c>
      <c r="N18" s="35">
        <f t="shared" si="9"/>
        <v>2.2120755851451968</v>
      </c>
      <c r="O18" s="35">
        <f t="shared" si="10"/>
        <v>1.9235439870827797</v>
      </c>
      <c r="P18" s="4">
        <f t="shared" si="11"/>
        <v>9.6177199354138987E-2</v>
      </c>
      <c r="Q18" s="4"/>
      <c r="R18" s="1">
        <v>3</v>
      </c>
      <c r="S18" s="1">
        <v>16</v>
      </c>
      <c r="T18" s="14">
        <v>685</v>
      </c>
      <c r="AM18" s="1">
        <v>3</v>
      </c>
      <c r="AN18" s="1">
        <v>16</v>
      </c>
      <c r="AO18" s="4">
        <v>0.41</v>
      </c>
      <c r="AP18" s="4">
        <v>0.48</v>
      </c>
    </row>
    <row r="19" spans="1:42" x14ac:dyDescent="0.2">
      <c r="A19" s="1">
        <v>3</v>
      </c>
      <c r="B19" s="1">
        <v>17</v>
      </c>
      <c r="C19" s="4">
        <f t="shared" si="12"/>
        <v>0.87768263142499992</v>
      </c>
      <c r="D19" s="11">
        <v>0.35</v>
      </c>
      <c r="E19" s="21">
        <f t="shared" si="3"/>
        <v>0.87768263142499992</v>
      </c>
      <c r="F19" s="4">
        <f t="shared" si="1"/>
        <v>0.52768263142499994</v>
      </c>
      <c r="G19" s="25">
        <f t="shared" si="4"/>
        <v>0</v>
      </c>
      <c r="H19" s="3">
        <v>1.4562775995930568</v>
      </c>
      <c r="I19" s="4">
        <f t="shared" si="2"/>
        <v>11.196590107897979</v>
      </c>
      <c r="J19" s="4">
        <f t="shared" si="5"/>
        <v>8.9641165477218241</v>
      </c>
      <c r="K19" s="4">
        <f t="shared" si="6"/>
        <v>8.5176218356865938</v>
      </c>
      <c r="L19" s="4">
        <f t="shared" si="7"/>
        <v>8.0711271236513618</v>
      </c>
      <c r="M19" s="25">
        <f t="shared" si="8"/>
        <v>3.3589770323693937</v>
      </c>
      <c r="N19" s="35">
        <f t="shared" si="9"/>
        <v>2.5752157248165353</v>
      </c>
      <c r="O19" s="35">
        <f t="shared" si="10"/>
        <v>2.2393180215795958</v>
      </c>
      <c r="P19" s="4">
        <f t="shared" si="11"/>
        <v>0.11196590107897979</v>
      </c>
      <c r="Q19" s="4"/>
      <c r="R19" s="1">
        <v>3</v>
      </c>
      <c r="S19" s="1">
        <v>17</v>
      </c>
      <c r="T19" s="14">
        <v>770</v>
      </c>
      <c r="AM19" s="1">
        <v>3</v>
      </c>
      <c r="AN19" s="1">
        <v>17</v>
      </c>
      <c r="AO19" s="4">
        <v>0.45</v>
      </c>
      <c r="AP19" s="4">
        <v>0.52</v>
      </c>
    </row>
    <row r="20" spans="1:42" x14ac:dyDescent="0.2">
      <c r="A20" s="1">
        <v>3</v>
      </c>
      <c r="B20" s="1">
        <v>18</v>
      </c>
      <c r="C20" s="4">
        <f t="shared" si="12"/>
        <v>0.98530898703999992</v>
      </c>
      <c r="D20" s="11">
        <v>0.35</v>
      </c>
      <c r="E20" s="21">
        <f t="shared" si="3"/>
        <v>0.98530898703999992</v>
      </c>
      <c r="F20" s="4">
        <f t="shared" si="1"/>
        <v>0.63530898703999994</v>
      </c>
      <c r="G20" s="25">
        <f t="shared" si="4"/>
        <v>0</v>
      </c>
      <c r="H20" s="3">
        <v>1.4999712215646515</v>
      </c>
      <c r="I20" s="4">
        <f t="shared" si="2"/>
        <v>12.946711694202998</v>
      </c>
      <c r="J20" s="4">
        <f t="shared" si="5"/>
        <v>10.647255811544388</v>
      </c>
      <c r="K20" s="4">
        <f t="shared" si="6"/>
        <v>10.187364635012667</v>
      </c>
      <c r="L20" s="4">
        <f t="shared" si="7"/>
        <v>9.7274734584809437</v>
      </c>
      <c r="M20" s="25">
        <f t="shared" si="8"/>
        <v>3.8840135082608991</v>
      </c>
      <c r="N20" s="35">
        <f t="shared" si="9"/>
        <v>2.9777436896666898</v>
      </c>
      <c r="O20" s="35">
        <f t="shared" si="10"/>
        <v>2.5893423388405998</v>
      </c>
      <c r="P20" s="4">
        <f t="shared" si="11"/>
        <v>0.12946711694202998</v>
      </c>
      <c r="Q20" s="4"/>
      <c r="R20" s="1">
        <v>3</v>
      </c>
      <c r="S20" s="1">
        <v>18</v>
      </c>
      <c r="T20" s="14">
        <v>855</v>
      </c>
      <c r="AM20" s="1">
        <v>3</v>
      </c>
      <c r="AN20" s="1">
        <v>18</v>
      </c>
      <c r="AO20" s="4">
        <v>0.5</v>
      </c>
      <c r="AP20" s="4">
        <v>0.57999999999999996</v>
      </c>
    </row>
    <row r="21" spans="1:42" x14ac:dyDescent="0.2">
      <c r="A21" s="1">
        <v>3</v>
      </c>
      <c r="B21" s="1">
        <v>19</v>
      </c>
      <c r="C21" s="4">
        <f t="shared" si="12"/>
        <v>1.102225189855</v>
      </c>
      <c r="D21" s="11">
        <v>0.35</v>
      </c>
      <c r="E21" s="21">
        <f t="shared" si="3"/>
        <v>1.102225189855</v>
      </c>
      <c r="F21" s="4">
        <f t="shared" si="1"/>
        <v>0.75222518985499998</v>
      </c>
      <c r="G21" s="25">
        <f t="shared" si="4"/>
        <v>0</v>
      </c>
      <c r="H21" s="3">
        <v>1.5425077315602014</v>
      </c>
      <c r="I21" s="4">
        <f t="shared" si="2"/>
        <v>14.893672084900514</v>
      </c>
      <c r="J21" s="4">
        <f t="shared" si="5"/>
        <v>12.529007732418727</v>
      </c>
      <c r="K21" s="4">
        <f t="shared" si="6"/>
        <v>12.056074861922369</v>
      </c>
      <c r="L21" s="4">
        <f t="shared" si="7"/>
        <v>11.583141991426011</v>
      </c>
      <c r="M21" s="25">
        <f t="shared" si="8"/>
        <v>4.4681016254701538</v>
      </c>
      <c r="N21" s="35">
        <f t="shared" si="9"/>
        <v>3.4255445795271182</v>
      </c>
      <c r="O21" s="35">
        <f t="shared" si="10"/>
        <v>2.9787344169801031</v>
      </c>
      <c r="P21" s="4">
        <f t="shared" si="11"/>
        <v>0.14893672084900514</v>
      </c>
      <c r="Q21" s="4"/>
      <c r="R21" s="1">
        <v>3</v>
      </c>
      <c r="S21" s="1">
        <v>19</v>
      </c>
      <c r="T21" s="14">
        <v>940</v>
      </c>
      <c r="AM21" s="1">
        <v>3</v>
      </c>
      <c r="AN21" s="1">
        <v>19</v>
      </c>
      <c r="AO21" s="4">
        <v>0.54</v>
      </c>
      <c r="AP21" s="4">
        <v>0.63</v>
      </c>
    </row>
    <row r="22" spans="1:42" x14ac:dyDescent="0.2">
      <c r="A22" s="1">
        <v>3</v>
      </c>
      <c r="B22" s="1">
        <v>20</v>
      </c>
      <c r="C22" s="4">
        <f t="shared" si="12"/>
        <v>1.2298461838699999</v>
      </c>
      <c r="D22" s="11">
        <v>0.35</v>
      </c>
      <c r="E22" s="21">
        <f t="shared" si="3"/>
        <v>1.2298461838699999</v>
      </c>
      <c r="F22" s="4">
        <f t="shared" si="1"/>
        <v>0.87984618386999991</v>
      </c>
      <c r="G22" s="25">
        <f t="shared" si="4"/>
        <v>0</v>
      </c>
      <c r="H22" s="3">
        <v>1.5839763789448924</v>
      </c>
      <c r="I22" s="4">
        <f t="shared" si="2"/>
        <v>17.064894391673825</v>
      </c>
      <c r="J22" s="4">
        <f t="shared" si="5"/>
        <v>14.636658602751307</v>
      </c>
      <c r="K22" s="4">
        <f t="shared" si="6"/>
        <v>14.151011444966802</v>
      </c>
      <c r="L22" s="4">
        <f t="shared" si="7"/>
        <v>13.665364287182298</v>
      </c>
      <c r="M22" s="25">
        <f t="shared" si="8"/>
        <v>5.1194683175021476</v>
      </c>
      <c r="N22" s="35">
        <f t="shared" si="9"/>
        <v>3.9249257100849797</v>
      </c>
      <c r="O22" s="35">
        <f t="shared" si="10"/>
        <v>3.4129788783347652</v>
      </c>
      <c r="P22" s="4">
        <f t="shared" si="11"/>
        <v>0.17064894391673824</v>
      </c>
      <c r="Q22" s="4"/>
      <c r="R22" s="1">
        <v>3</v>
      </c>
      <c r="S22" s="1">
        <v>20</v>
      </c>
      <c r="T22" s="14">
        <v>1025</v>
      </c>
      <c r="AM22" s="1">
        <v>3</v>
      </c>
      <c r="AN22" s="1">
        <v>20</v>
      </c>
      <c r="AO22" s="4">
        <v>0.59</v>
      </c>
      <c r="AP22" s="4">
        <v>0.69</v>
      </c>
    </row>
    <row r="23" spans="1:42" x14ac:dyDescent="0.2">
      <c r="A23" s="1">
        <v>3</v>
      </c>
      <c r="B23" s="1">
        <v>21</v>
      </c>
      <c r="C23" s="4">
        <f t="shared" si="12"/>
        <v>1.3695869130849998</v>
      </c>
      <c r="D23" s="11">
        <v>0.35</v>
      </c>
      <c r="E23" s="21">
        <f t="shared" si="3"/>
        <v>1.3695869130849998</v>
      </c>
      <c r="F23" s="4">
        <f t="shared" si="1"/>
        <v>1.0195869130849999</v>
      </c>
      <c r="G23" s="25">
        <f t="shared" si="4"/>
        <v>0</v>
      </c>
      <c r="H23" s="3">
        <v>1.6244554532147113</v>
      </c>
      <c r="I23" s="4">
        <f t="shared" si="2"/>
        <v>19.489536463404892</v>
      </c>
      <c r="J23" s="4">
        <f t="shared" si="5"/>
        <v>16.999246253626744</v>
      </c>
      <c r="K23" s="4">
        <f t="shared" si="6"/>
        <v>16.501188211671113</v>
      </c>
      <c r="L23" s="4">
        <f t="shared" si="7"/>
        <v>16.003130169715483</v>
      </c>
      <c r="M23" s="25">
        <f t="shared" si="8"/>
        <v>5.8468609390214672</v>
      </c>
      <c r="N23" s="35">
        <f t="shared" si="9"/>
        <v>4.4825933865831251</v>
      </c>
      <c r="O23" s="35">
        <f t="shared" si="10"/>
        <v>3.8979072926809786</v>
      </c>
      <c r="P23" s="4">
        <f t="shared" si="11"/>
        <v>0.19489536463404894</v>
      </c>
      <c r="Q23" s="4"/>
      <c r="R23" s="1">
        <v>3</v>
      </c>
      <c r="S23" s="1">
        <v>21</v>
      </c>
      <c r="T23" s="14">
        <v>1110</v>
      </c>
      <c r="AM23" s="1">
        <v>3</v>
      </c>
      <c r="AN23" s="1">
        <v>21</v>
      </c>
      <c r="AO23" s="4">
        <v>0.64</v>
      </c>
      <c r="AP23" s="4">
        <v>0.75</v>
      </c>
    </row>
    <row r="24" spans="1:42" x14ac:dyDescent="0.2">
      <c r="A24" s="1">
        <v>4</v>
      </c>
      <c r="B24" s="1">
        <v>22</v>
      </c>
      <c r="C24" s="4">
        <f t="shared" si="12"/>
        <v>1.5323302571949999</v>
      </c>
      <c r="D24" s="11">
        <v>0.35</v>
      </c>
      <c r="E24" s="21">
        <f t="shared" si="3"/>
        <v>1.5323302571949999</v>
      </c>
      <c r="F24" s="4">
        <f t="shared" si="1"/>
        <v>1.1823302571949998</v>
      </c>
      <c r="G24" s="25">
        <f t="shared" si="4"/>
        <v>0</v>
      </c>
      <c r="H24" s="3">
        <v>1.6640140834809463</v>
      </c>
      <c r="I24" s="4">
        <f t="shared" si="2"/>
        <v>22.336415565804195</v>
      </c>
      <c r="J24" s="4">
        <f t="shared" si="5"/>
        <v>19.785481975827899</v>
      </c>
      <c r="K24" s="4">
        <f t="shared" si="6"/>
        <v>19.275295257832642</v>
      </c>
      <c r="L24" s="4">
        <f t="shared" si="7"/>
        <v>18.765108539837385</v>
      </c>
      <c r="M24" s="25">
        <f t="shared" si="8"/>
        <v>6.7009246697412586</v>
      </c>
      <c r="N24" s="35">
        <f t="shared" si="9"/>
        <v>5.1373755801349654</v>
      </c>
      <c r="O24" s="35">
        <f t="shared" si="10"/>
        <v>4.467283113160839</v>
      </c>
      <c r="P24" s="4">
        <f t="shared" si="11"/>
        <v>0.22336415565804196</v>
      </c>
      <c r="Q24" s="4"/>
      <c r="R24" s="1">
        <v>4</v>
      </c>
      <c r="S24" s="1">
        <v>22</v>
      </c>
      <c r="T24" s="14">
        <v>1200</v>
      </c>
      <c r="AM24" s="1">
        <v>4</v>
      </c>
      <c r="AN24" s="1">
        <v>22</v>
      </c>
      <c r="AO24" s="4">
        <v>0.69</v>
      </c>
      <c r="AP24" s="4">
        <v>0.82</v>
      </c>
    </row>
    <row r="25" spans="1:42" x14ac:dyDescent="0.2">
      <c r="A25" s="1">
        <v>4</v>
      </c>
      <c r="B25" s="1">
        <v>23</v>
      </c>
      <c r="C25" s="4">
        <f t="shared" si="12"/>
        <v>1.70147874241</v>
      </c>
      <c r="D25" s="11">
        <v>0.35</v>
      </c>
      <c r="E25" s="21">
        <f t="shared" si="3"/>
        <v>1.70147874241</v>
      </c>
      <c r="F25" s="4">
        <f t="shared" si="1"/>
        <v>1.3514787424099999</v>
      </c>
      <c r="G25" s="25">
        <f t="shared" si="4"/>
        <v>0</v>
      </c>
      <c r="H25" s="3">
        <v>1.7027136746952953</v>
      </c>
      <c r="I25" s="4">
        <f t="shared" si="2"/>
        <v>25.378868627886579</v>
      </c>
      <c r="J25" s="4">
        <f t="shared" si="5"/>
        <v>22.768608564578692</v>
      </c>
      <c r="K25" s="4">
        <f t="shared" si="6"/>
        <v>22.246556551917116</v>
      </c>
      <c r="L25" s="4">
        <f t="shared" si="7"/>
        <v>21.724504539255538</v>
      </c>
      <c r="M25" s="25">
        <f t="shared" si="8"/>
        <v>7.6136605883659731</v>
      </c>
      <c r="N25" s="35">
        <f t="shared" si="9"/>
        <v>5.837139784413913</v>
      </c>
      <c r="O25" s="35">
        <f t="shared" si="10"/>
        <v>5.0757737255773163</v>
      </c>
      <c r="P25" s="4">
        <f t="shared" si="11"/>
        <v>0.2537886862788658</v>
      </c>
      <c r="Q25" s="4"/>
      <c r="R25" s="1">
        <v>4</v>
      </c>
      <c r="S25" s="1">
        <v>23</v>
      </c>
      <c r="T25" s="14">
        <v>1285</v>
      </c>
      <c r="AM25" s="1">
        <v>4</v>
      </c>
      <c r="AN25" s="1">
        <v>23</v>
      </c>
      <c r="AO25" s="4">
        <v>0.74</v>
      </c>
      <c r="AP25" s="4">
        <v>0.89</v>
      </c>
    </row>
    <row r="26" spans="1:42" x14ac:dyDescent="0.2">
      <c r="A26" s="1">
        <v>4</v>
      </c>
      <c r="B26" s="1">
        <v>24</v>
      </c>
      <c r="C26" s="4">
        <f t="shared" si="12"/>
        <v>1.8870750268250001</v>
      </c>
      <c r="D26" s="11">
        <v>0.35</v>
      </c>
      <c r="E26" s="21">
        <f t="shared" si="3"/>
        <v>1.8870750268250001</v>
      </c>
      <c r="F26" s="4">
        <f t="shared" si="1"/>
        <v>1.5370750268250002</v>
      </c>
      <c r="G26" s="25">
        <f t="shared" si="4"/>
        <v>0</v>
      </c>
      <c r="H26" s="3">
        <v>1.7406090664597387</v>
      </c>
      <c r="I26" s="4">
        <f t="shared" si="2"/>
        <v>28.773620730844627</v>
      </c>
      <c r="J26" s="4">
        <f t="shared" si="5"/>
        <v>26.105267031961848</v>
      </c>
      <c r="K26" s="4">
        <f t="shared" si="6"/>
        <v>25.571596292185291</v>
      </c>
      <c r="L26" s="4">
        <f t="shared" si="7"/>
        <v>25.037925552408737</v>
      </c>
      <c r="M26" s="25">
        <f t="shared" si="8"/>
        <v>8.632086219253388</v>
      </c>
      <c r="N26" s="35">
        <f t="shared" si="9"/>
        <v>6.6179327680942643</v>
      </c>
      <c r="O26" s="35">
        <f t="shared" si="10"/>
        <v>5.7547241461689254</v>
      </c>
      <c r="P26" s="4">
        <f t="shared" si="11"/>
        <v>0.28773620730844629</v>
      </c>
      <c r="Q26" s="4"/>
      <c r="R26" s="1">
        <v>4</v>
      </c>
      <c r="S26" s="1">
        <v>24</v>
      </c>
      <c r="T26" s="14">
        <v>1370</v>
      </c>
      <c r="AM26" s="1">
        <v>4</v>
      </c>
      <c r="AN26" s="1">
        <v>24</v>
      </c>
      <c r="AO26" s="4">
        <v>0.8</v>
      </c>
      <c r="AP26" s="4">
        <v>0.96</v>
      </c>
    </row>
    <row r="27" spans="1:42" x14ac:dyDescent="0.2">
      <c r="A27" s="1">
        <v>4</v>
      </c>
      <c r="B27" s="1">
        <v>25</v>
      </c>
      <c r="C27" s="4">
        <f t="shared" si="12"/>
        <v>2.09053405444</v>
      </c>
      <c r="D27" s="11">
        <v>0.35</v>
      </c>
      <c r="E27" s="21">
        <f t="shared" si="3"/>
        <v>2.09053405444</v>
      </c>
      <c r="F27" s="4">
        <f t="shared" si="1"/>
        <v>1.7405340544399999</v>
      </c>
      <c r="G27" s="25">
        <f t="shared" si="4"/>
        <v>0</v>
      </c>
      <c r="H27" s="3">
        <v>1.7777494772651317</v>
      </c>
      <c r="I27" s="4">
        <f t="shared" si="2"/>
        <v>32.55606540497444</v>
      </c>
      <c r="J27" s="4">
        <f t="shared" si="5"/>
        <v>29.830775456326986</v>
      </c>
      <c r="K27" s="4">
        <f t="shared" si="6"/>
        <v>29.285717466597497</v>
      </c>
      <c r="L27" s="4">
        <f t="shared" si="7"/>
        <v>28.740659476868007</v>
      </c>
      <c r="M27" s="25">
        <f t="shared" si="8"/>
        <v>9.7668196214923313</v>
      </c>
      <c r="N27" s="35">
        <f t="shared" si="9"/>
        <v>7.4878950431441211</v>
      </c>
      <c r="O27" s="35">
        <f t="shared" si="10"/>
        <v>6.5112130809948887</v>
      </c>
      <c r="P27" s="4">
        <f t="shared" si="11"/>
        <v>0.32556065404974438</v>
      </c>
      <c r="Q27" s="4"/>
      <c r="R27" s="1">
        <v>4</v>
      </c>
      <c r="S27" s="1">
        <v>25</v>
      </c>
      <c r="T27" s="14">
        <v>1455</v>
      </c>
      <c r="AM27" s="1">
        <v>4</v>
      </c>
      <c r="AN27" s="1">
        <v>25</v>
      </c>
      <c r="AO27" s="4">
        <v>0.86</v>
      </c>
      <c r="AP27" s="4">
        <v>1.03</v>
      </c>
    </row>
    <row r="28" spans="1:42" x14ac:dyDescent="0.2">
      <c r="A28" s="1">
        <v>4</v>
      </c>
      <c r="B28" s="1">
        <v>26</v>
      </c>
      <c r="C28" s="4">
        <f t="shared" si="12"/>
        <v>2.3132707692550003</v>
      </c>
      <c r="D28" s="11">
        <v>0.35</v>
      </c>
      <c r="E28" s="21">
        <f t="shared" si="3"/>
        <v>2.3132707692550003</v>
      </c>
      <c r="F28" s="4">
        <f t="shared" si="1"/>
        <v>1.9632707692550002</v>
      </c>
      <c r="G28" s="25">
        <f t="shared" si="4"/>
        <v>0</v>
      </c>
      <c r="H28" s="3">
        <v>1.8141792808343342</v>
      </c>
      <c r="I28" s="4">
        <f t="shared" si="2"/>
        <v>36.762986008749003</v>
      </c>
      <c r="J28" s="4">
        <f t="shared" si="5"/>
        <v>33.981849171229968</v>
      </c>
      <c r="K28" s="4">
        <f t="shared" si="6"/>
        <v>33.425621803726159</v>
      </c>
      <c r="L28" s="4">
        <f t="shared" si="7"/>
        <v>32.86939443622235</v>
      </c>
      <c r="M28" s="25">
        <f t="shared" si="8"/>
        <v>11.028895802624701</v>
      </c>
      <c r="N28" s="35">
        <f t="shared" si="9"/>
        <v>8.4554867820122706</v>
      </c>
      <c r="O28" s="35">
        <f t="shared" si="10"/>
        <v>7.3525972017498011</v>
      </c>
      <c r="P28" s="4">
        <f t="shared" si="11"/>
        <v>0.36762986008749005</v>
      </c>
      <c r="Q28" s="4"/>
      <c r="R28" s="1">
        <v>4</v>
      </c>
      <c r="S28" s="1">
        <v>26</v>
      </c>
      <c r="T28" s="14">
        <v>1540</v>
      </c>
      <c r="AM28" s="1">
        <v>4</v>
      </c>
      <c r="AN28" s="1">
        <v>26</v>
      </c>
      <c r="AO28" s="4">
        <v>0.92</v>
      </c>
      <c r="AP28" s="4">
        <v>1.1100000000000001</v>
      </c>
    </row>
    <row r="29" spans="1:42" x14ac:dyDescent="0.2">
      <c r="A29" s="1">
        <v>4</v>
      </c>
      <c r="B29" s="1">
        <v>27</v>
      </c>
      <c r="C29" s="4">
        <f t="shared" si="12"/>
        <v>2.55670011527</v>
      </c>
      <c r="D29" s="11">
        <v>0.35</v>
      </c>
      <c r="E29" s="21">
        <f t="shared" si="3"/>
        <v>2.55670011527</v>
      </c>
      <c r="F29" s="4">
        <f t="shared" si="1"/>
        <v>2.2067001152699999</v>
      </c>
      <c r="G29" s="25">
        <f t="shared" si="4"/>
        <v>0</v>
      </c>
      <c r="H29" s="3">
        <v>1.8499386496964256</v>
      </c>
      <c r="I29" s="4">
        <f t="shared" si="2"/>
        <v>41.432508024150415</v>
      </c>
      <c r="J29" s="4">
        <f t="shared" si="5"/>
        <v>38.596552074165793</v>
      </c>
      <c r="K29" s="4">
        <f t="shared" si="6"/>
        <v>38.029360884168867</v>
      </c>
      <c r="L29" s="4">
        <f t="shared" si="7"/>
        <v>37.462169694171941</v>
      </c>
      <c r="M29" s="25">
        <f t="shared" si="8"/>
        <v>12.429752407245124</v>
      </c>
      <c r="N29" s="35">
        <f t="shared" si="9"/>
        <v>9.529476845554596</v>
      </c>
      <c r="O29" s="35">
        <f t="shared" si="10"/>
        <v>8.2865016048300841</v>
      </c>
      <c r="P29" s="4">
        <f t="shared" si="11"/>
        <v>0.41432508024150416</v>
      </c>
      <c r="Q29" s="4"/>
      <c r="R29" s="1">
        <v>4</v>
      </c>
      <c r="S29" s="1">
        <v>27</v>
      </c>
      <c r="T29" s="14">
        <v>1625</v>
      </c>
      <c r="AM29" s="1">
        <v>4</v>
      </c>
      <c r="AN29" s="1">
        <v>27</v>
      </c>
      <c r="AO29" s="4">
        <v>0.99</v>
      </c>
      <c r="AP29" s="4">
        <v>1.19</v>
      </c>
    </row>
    <row r="30" spans="1:42" x14ac:dyDescent="0.2">
      <c r="A30" s="1">
        <v>4</v>
      </c>
      <c r="B30" s="1">
        <v>28</v>
      </c>
      <c r="C30" s="4">
        <f t="shared" si="12"/>
        <v>2.8222370364850002</v>
      </c>
      <c r="D30" s="11">
        <v>0.35</v>
      </c>
      <c r="E30" s="21">
        <f t="shared" si="3"/>
        <v>2.8222370364850002</v>
      </c>
      <c r="F30" s="4">
        <f t="shared" si="1"/>
        <v>2.4722370364850002</v>
      </c>
      <c r="G30" s="25">
        <f t="shared" si="4"/>
        <v>0</v>
      </c>
      <c r="H30" s="3">
        <v>1.8850640927470739</v>
      </c>
      <c r="I30" s="4">
        <f t="shared" si="2"/>
        <v>46.604055840601376</v>
      </c>
      <c r="J30" s="4">
        <f t="shared" si="5"/>
        <v>43.714252586420116</v>
      </c>
      <c r="K30" s="4">
        <f t="shared" si="6"/>
        <v>43.136291935583863</v>
      </c>
      <c r="L30" s="4">
        <f t="shared" si="7"/>
        <v>42.558331284747609</v>
      </c>
      <c r="M30" s="25">
        <f t="shared" si="8"/>
        <v>13.981216752180412</v>
      </c>
      <c r="N30" s="35">
        <f t="shared" si="9"/>
        <v>10.718932843338317</v>
      </c>
      <c r="O30" s="35">
        <f t="shared" si="10"/>
        <v>9.3208111681202759</v>
      </c>
      <c r="P30" s="4">
        <f t="shared" si="11"/>
        <v>0.46604055840601377</v>
      </c>
      <c r="Q30" s="4"/>
      <c r="R30" s="1">
        <v>4</v>
      </c>
      <c r="S30" s="1">
        <v>28</v>
      </c>
      <c r="T30" s="14">
        <v>1710</v>
      </c>
      <c r="AM30" s="1">
        <v>4</v>
      </c>
      <c r="AN30" s="1">
        <v>28</v>
      </c>
      <c r="AO30" s="4">
        <v>1.05</v>
      </c>
      <c r="AP30" s="4">
        <v>1.27</v>
      </c>
    </row>
    <row r="31" spans="1:42" x14ac:dyDescent="0.2">
      <c r="A31" s="1">
        <v>5</v>
      </c>
      <c r="B31" s="1">
        <v>29</v>
      </c>
      <c r="C31" s="4">
        <f t="shared" si="12"/>
        <v>3.1290627485950004</v>
      </c>
      <c r="D31" s="11">
        <v>0.35</v>
      </c>
      <c r="E31" s="21">
        <f t="shared" si="3"/>
        <v>3.1290627485950004</v>
      </c>
      <c r="F31" s="4">
        <f t="shared" si="1"/>
        <v>2.7790627485950004</v>
      </c>
      <c r="G31" s="25">
        <f t="shared" si="4"/>
        <v>0</v>
      </c>
      <c r="H31" s="3">
        <v>1.9195889074002137</v>
      </c>
      <c r="I31" s="4">
        <f t="shared" si="2"/>
        <v>52.617063890596754</v>
      </c>
      <c r="J31" s="4">
        <f t="shared" si="5"/>
        <v>49.674334095552219</v>
      </c>
      <c r="K31" s="4">
        <f t="shared" si="6"/>
        <v>49.085788136543314</v>
      </c>
      <c r="L31" s="4">
        <f t="shared" si="7"/>
        <v>48.49724217753441</v>
      </c>
      <c r="M31" s="25">
        <f t="shared" si="8"/>
        <v>15.785119167179026</v>
      </c>
      <c r="N31" s="35">
        <f t="shared" si="9"/>
        <v>12.101924694837253</v>
      </c>
      <c r="O31" s="35">
        <f t="shared" si="10"/>
        <v>10.523412778119351</v>
      </c>
      <c r="P31" s="4">
        <f t="shared" si="11"/>
        <v>0.52617063890596749</v>
      </c>
      <c r="Q31" s="4"/>
      <c r="R31" s="1">
        <v>5</v>
      </c>
      <c r="S31" s="1">
        <v>29</v>
      </c>
      <c r="T31" s="14">
        <v>1800</v>
      </c>
      <c r="AM31" s="1">
        <v>5</v>
      </c>
      <c r="AN31" s="1">
        <v>29</v>
      </c>
      <c r="AO31" s="4">
        <v>1.1200000000000001</v>
      </c>
      <c r="AP31" s="4">
        <v>1.36</v>
      </c>
    </row>
    <row r="32" spans="1:42" x14ac:dyDescent="0.2">
      <c r="A32" s="1">
        <v>5</v>
      </c>
      <c r="B32" s="1">
        <v>30</v>
      </c>
      <c r="C32" s="4">
        <f t="shared" si="12"/>
        <v>3.44457062581</v>
      </c>
      <c r="D32" s="11">
        <v>0.35</v>
      </c>
      <c r="E32" s="21">
        <f t="shared" si="3"/>
        <v>3.44457062581</v>
      </c>
      <c r="F32" s="4">
        <f t="shared" si="1"/>
        <v>3.0945706258099999</v>
      </c>
      <c r="G32" s="25">
        <f t="shared" si="4"/>
        <v>0</v>
      </c>
      <c r="H32" s="3">
        <v>1.9535435623623054</v>
      </c>
      <c r="I32" s="4">
        <f t="shared" si="2"/>
        <v>58.947080435303981</v>
      </c>
      <c r="J32" s="4">
        <f t="shared" si="5"/>
        <v>55.952298154202573</v>
      </c>
      <c r="K32" s="4">
        <f t="shared" si="6"/>
        <v>55.353341697982287</v>
      </c>
      <c r="L32" s="4">
        <f t="shared" si="7"/>
        <v>54.754385241762009</v>
      </c>
      <c r="M32" s="25">
        <f t="shared" si="8"/>
        <v>17.684124130591194</v>
      </c>
      <c r="N32" s="35">
        <f t="shared" si="9"/>
        <v>13.557828500119916</v>
      </c>
      <c r="O32" s="35">
        <f t="shared" si="10"/>
        <v>11.789416087060797</v>
      </c>
      <c r="P32" s="4">
        <f t="shared" si="11"/>
        <v>0.58947080435303978</v>
      </c>
      <c r="Q32" s="4"/>
      <c r="R32" s="1">
        <v>5</v>
      </c>
      <c r="S32" s="1">
        <v>30</v>
      </c>
      <c r="T32" s="14">
        <v>1885</v>
      </c>
      <c r="AM32" s="1">
        <v>5</v>
      </c>
      <c r="AN32" s="1">
        <v>30</v>
      </c>
      <c r="AO32" s="4">
        <v>1.19</v>
      </c>
      <c r="AP32" s="4">
        <v>1.45</v>
      </c>
    </row>
    <row r="33" spans="1:42" x14ac:dyDescent="0.2">
      <c r="A33" s="1">
        <v>5</v>
      </c>
      <c r="B33" s="1">
        <v>31</v>
      </c>
      <c r="C33" s="4">
        <f t="shared" si="12"/>
        <v>3.7865141422250002</v>
      </c>
      <c r="D33" s="11">
        <v>0.35</v>
      </c>
      <c r="E33" s="21">
        <f t="shared" si="3"/>
        <v>3.7865141422250002</v>
      </c>
      <c r="F33" s="4">
        <f t="shared" si="1"/>
        <v>3.4365141422250001</v>
      </c>
      <c r="G33" s="25">
        <f t="shared" si="4"/>
        <v>0</v>
      </c>
      <c r="H33" s="3">
        <v>1.9869560236198514</v>
      </c>
      <c r="I33" s="4">
        <f t="shared" si="2"/>
        <v>65.907060850721706</v>
      </c>
      <c r="J33" s="4">
        <f t="shared" si="5"/>
        <v>62.861057266512461</v>
      </c>
      <c r="K33" s="4">
        <f t="shared" si="6"/>
        <v>62.251856549670613</v>
      </c>
      <c r="L33" s="4">
        <f t="shared" si="7"/>
        <v>61.642655832828765</v>
      </c>
      <c r="M33" s="25">
        <f t="shared" si="8"/>
        <v>19.772118255216512</v>
      </c>
      <c r="N33" s="35">
        <f t="shared" si="9"/>
        <v>15.158623995665993</v>
      </c>
      <c r="O33" s="35">
        <f t="shared" si="10"/>
        <v>13.181412170144341</v>
      </c>
      <c r="P33" s="4">
        <f t="shared" si="11"/>
        <v>0.6590706085072171</v>
      </c>
      <c r="Q33" s="4"/>
      <c r="R33" s="1">
        <v>5</v>
      </c>
      <c r="S33" s="1">
        <v>31</v>
      </c>
      <c r="T33" s="14">
        <v>1970</v>
      </c>
      <c r="AM33" s="1">
        <v>5</v>
      </c>
      <c r="AN33" s="1">
        <v>31</v>
      </c>
      <c r="AO33" s="4">
        <v>1.27</v>
      </c>
      <c r="AP33" s="4">
        <v>1.54</v>
      </c>
    </row>
    <row r="34" spans="1:42" x14ac:dyDescent="0.2">
      <c r="A34" s="1">
        <v>5</v>
      </c>
      <c r="B34" s="1">
        <v>32</v>
      </c>
      <c r="C34" s="4">
        <f t="shared" si="12"/>
        <v>4.1563082418400006</v>
      </c>
      <c r="D34" s="11">
        <v>0.35</v>
      </c>
      <c r="E34" s="21">
        <f t="shared" si="3"/>
        <v>4.1563082418400006</v>
      </c>
      <c r="F34" s="4">
        <f t="shared" si="1"/>
        <v>3.8063082418400005</v>
      </c>
      <c r="G34" s="25">
        <f t="shared" si="4"/>
        <v>0</v>
      </c>
      <c r="H34" s="3">
        <v>2.0198520336153374</v>
      </c>
      <c r="I34" s="4">
        <f t="shared" si="2"/>
        <v>73.541318254407372</v>
      </c>
      <c r="J34" s="4">
        <f t="shared" si="5"/>
        <v>70.444885086875047</v>
      </c>
      <c r="K34" s="4">
        <f t="shared" si="6"/>
        <v>69.825598453368585</v>
      </c>
      <c r="L34" s="4">
        <f t="shared" si="7"/>
        <v>69.206311819862123</v>
      </c>
      <c r="M34" s="25">
        <f t="shared" si="8"/>
        <v>22.062395476322212</v>
      </c>
      <c r="N34" s="35">
        <f t="shared" si="9"/>
        <v>16.914503198513696</v>
      </c>
      <c r="O34" s="35">
        <f t="shared" si="10"/>
        <v>14.708263650881475</v>
      </c>
      <c r="P34" s="4">
        <f t="shared" si="11"/>
        <v>0.73541318254407373</v>
      </c>
      <c r="Q34" s="4"/>
      <c r="R34" s="1">
        <v>5</v>
      </c>
      <c r="S34" s="1">
        <v>32</v>
      </c>
      <c r="T34" s="14">
        <v>2055</v>
      </c>
      <c r="AM34" s="1">
        <v>5</v>
      </c>
      <c r="AN34" s="1">
        <v>32</v>
      </c>
      <c r="AO34" s="4">
        <v>1.34</v>
      </c>
      <c r="AP34" s="4">
        <v>1.64</v>
      </c>
    </row>
    <row r="35" spans="1:42" x14ac:dyDescent="0.2">
      <c r="A35" s="1">
        <v>5</v>
      </c>
      <c r="B35" s="1">
        <v>33</v>
      </c>
      <c r="C35" s="4">
        <f t="shared" si="12"/>
        <v>4.5553678686550008</v>
      </c>
      <c r="D35" s="11">
        <v>0.35</v>
      </c>
      <c r="E35" s="21">
        <f t="shared" si="3"/>
        <v>4.5553678686550008</v>
      </c>
      <c r="F35" s="4">
        <f t="shared" ref="F35:F51" si="13">C35-D35</f>
        <v>4.2053678686550011</v>
      </c>
      <c r="G35" s="25">
        <f t="shared" si="4"/>
        <v>0</v>
      </c>
      <c r="H35" s="3">
        <v>2.0522553515790203</v>
      </c>
      <c r="I35" s="4">
        <f t="shared" ref="I35:I51" si="14">(H35/1000)*C35*24*365</f>
        <v>81.895296040879074</v>
      </c>
      <c r="J35" s="4">
        <f t="shared" si="5"/>
        <v>78.749188586908446</v>
      </c>
      <c r="K35" s="4">
        <f t="shared" si="6"/>
        <v>78.119967096114308</v>
      </c>
      <c r="L35" s="4">
        <f t="shared" si="7"/>
        <v>77.490745605320186</v>
      </c>
      <c r="M35" s="25">
        <f t="shared" si="8"/>
        <v>24.568588812263723</v>
      </c>
      <c r="N35" s="35">
        <f t="shared" si="9"/>
        <v>18.835918089402188</v>
      </c>
      <c r="O35" s="35">
        <f t="shared" si="10"/>
        <v>16.379059208175814</v>
      </c>
      <c r="P35" s="4">
        <f t="shared" si="11"/>
        <v>0.81895296040879073</v>
      </c>
      <c r="Q35" s="4"/>
      <c r="R35" s="1">
        <v>5</v>
      </c>
      <c r="S35" s="1">
        <v>33</v>
      </c>
      <c r="T35" s="14">
        <v>2140</v>
      </c>
      <c r="AM35" s="1">
        <v>5</v>
      </c>
      <c r="AN35" s="1">
        <v>33</v>
      </c>
      <c r="AO35" s="4">
        <v>1.42</v>
      </c>
      <c r="AP35" s="4">
        <v>1.74</v>
      </c>
    </row>
    <row r="36" spans="1:42" x14ac:dyDescent="0.2">
      <c r="A36" s="1">
        <v>5</v>
      </c>
      <c r="B36" s="1">
        <v>34</v>
      </c>
      <c r="C36" s="4">
        <f t="shared" si="12"/>
        <v>4.9851079666700002</v>
      </c>
      <c r="D36" s="11">
        <v>0.35</v>
      </c>
      <c r="E36" s="21">
        <f t="shared" si="3"/>
        <v>4.8</v>
      </c>
      <c r="F36" s="4">
        <f t="shared" si="13"/>
        <v>4.6351079666700006</v>
      </c>
      <c r="G36" s="25">
        <f t="shared" si="4"/>
        <v>0.1851079666700004</v>
      </c>
      <c r="H36" s="3">
        <v>2.0841879614286749</v>
      </c>
      <c r="I36" s="4">
        <f t="shared" si="14"/>
        <v>91.015541612468752</v>
      </c>
      <c r="J36" s="4">
        <f t="shared" si="5"/>
        <v>87.820481467598597</v>
      </c>
      <c r="K36" s="4">
        <f t="shared" si="6"/>
        <v>87.181469438624575</v>
      </c>
      <c r="L36" s="4">
        <f t="shared" si="7"/>
        <v>86.542457409650538</v>
      </c>
      <c r="M36" s="25">
        <f t="shared" si="8"/>
        <v>29.670386830961718</v>
      </c>
      <c r="N36" s="35">
        <f t="shared" si="9"/>
        <v>23.535871352811014</v>
      </c>
      <c r="O36" s="35">
        <f t="shared" si="10"/>
        <v>20.906793290746428</v>
      </c>
      <c r="P36" s="4">
        <f t="shared" si="11"/>
        <v>4.2559655643373695</v>
      </c>
      <c r="Q36" s="4"/>
      <c r="R36" s="1">
        <v>5</v>
      </c>
      <c r="S36" s="1">
        <v>34</v>
      </c>
      <c r="T36" s="14">
        <v>2225</v>
      </c>
      <c r="AM36" s="1">
        <v>5</v>
      </c>
      <c r="AN36" s="1">
        <v>34</v>
      </c>
      <c r="AO36" s="4">
        <v>1.5</v>
      </c>
      <c r="AP36" s="4">
        <v>1.84</v>
      </c>
    </row>
    <row r="37" spans="1:42" x14ac:dyDescent="0.2">
      <c r="A37" s="1">
        <v>5</v>
      </c>
      <c r="B37" s="1">
        <v>35</v>
      </c>
      <c r="C37" s="4">
        <f t="shared" si="12"/>
        <v>5.4469434798850012</v>
      </c>
      <c r="D37" s="11">
        <v>0.35</v>
      </c>
      <c r="E37" s="21">
        <f t="shared" si="3"/>
        <v>4.8</v>
      </c>
      <c r="F37" s="4">
        <f t="shared" si="13"/>
        <v>5.0969434798850015</v>
      </c>
      <c r="G37" s="25">
        <f t="shared" si="4"/>
        <v>0.64694347988500134</v>
      </c>
      <c r="H37" s="3">
        <v>2.1156702524343451</v>
      </c>
      <c r="I37" s="4">
        <f t="shared" si="14"/>
        <v>100.94968187485506</v>
      </c>
      <c r="J37" s="4">
        <f t="shared" si="5"/>
        <v>97.706359377873213</v>
      </c>
      <c r="K37" s="4">
        <f t="shared" si="6"/>
        <v>97.057694878476852</v>
      </c>
      <c r="L37" s="4">
        <f t="shared" si="7"/>
        <v>96.409030379080477</v>
      </c>
      <c r="M37" s="25">
        <f t="shared" si="8"/>
        <v>38.677889932803524</v>
      </c>
      <c r="N37" s="35">
        <f t="shared" si="9"/>
        <v>32.450710738598367</v>
      </c>
      <c r="O37" s="35">
        <f t="shared" si="10"/>
        <v>29.781919655367584</v>
      </c>
      <c r="P37" s="4">
        <f t="shared" si="11"/>
        <v>12.879576128239311</v>
      </c>
      <c r="Q37" s="4"/>
      <c r="R37" s="1">
        <v>5</v>
      </c>
      <c r="S37" s="1">
        <v>35</v>
      </c>
      <c r="T37" s="14">
        <v>2310</v>
      </c>
      <c r="AM37" s="1">
        <v>5</v>
      </c>
      <c r="AN37" s="1">
        <v>35</v>
      </c>
      <c r="AO37" s="4">
        <v>1.59</v>
      </c>
      <c r="AP37" s="4">
        <v>1.95</v>
      </c>
    </row>
    <row r="38" spans="1:42" x14ac:dyDescent="0.2">
      <c r="A38" s="1">
        <v>6</v>
      </c>
      <c r="B38" s="1">
        <v>36</v>
      </c>
      <c r="C38" s="4">
        <f t="shared" si="12"/>
        <v>5.9725011599950006</v>
      </c>
      <c r="D38" s="11">
        <v>0.35</v>
      </c>
      <c r="E38" s="21">
        <f t="shared" si="3"/>
        <v>4.8</v>
      </c>
      <c r="F38" s="4">
        <f t="shared" si="13"/>
        <v>5.622501159995001</v>
      </c>
      <c r="G38" s="25">
        <f t="shared" si="4"/>
        <v>1.1725011599950008</v>
      </c>
      <c r="H38" s="3">
        <v>2.1467211768883234</v>
      </c>
      <c r="I38" s="4">
        <f t="shared" si="14"/>
        <v>112.31454173976576</v>
      </c>
      <c r="J38" s="4">
        <f t="shared" si="5"/>
        <v>109.02361817559598</v>
      </c>
      <c r="K38" s="4">
        <f t="shared" si="6"/>
        <v>108.36543346276203</v>
      </c>
      <c r="L38" s="4">
        <f t="shared" si="7"/>
        <v>107.70724874992806</v>
      </c>
      <c r="M38" s="25">
        <f t="shared" si="8"/>
        <v>49.128809307705623</v>
      </c>
      <c r="N38" s="35">
        <f t="shared" si="9"/>
        <v>42.810236064499605</v>
      </c>
      <c r="O38" s="35">
        <f t="shared" si="10"/>
        <v>40.102276103125604</v>
      </c>
      <c r="P38" s="4">
        <f t="shared" si="11"/>
        <v>22.951863014423559</v>
      </c>
      <c r="Q38" s="4"/>
      <c r="R38" s="1">
        <v>6</v>
      </c>
      <c r="S38" s="1">
        <v>36</v>
      </c>
      <c r="T38" s="14">
        <v>2400</v>
      </c>
      <c r="AM38" s="1">
        <v>6</v>
      </c>
      <c r="AN38" s="1">
        <v>36</v>
      </c>
      <c r="AO38" s="4">
        <v>1.67</v>
      </c>
      <c r="AP38" s="4">
        <v>2.06</v>
      </c>
    </row>
    <row r="39" spans="1:42" x14ac:dyDescent="0.2">
      <c r="A39" s="1">
        <v>6</v>
      </c>
      <c r="B39" s="1">
        <v>37</v>
      </c>
      <c r="C39" s="4">
        <f t="shared" si="12"/>
        <v>6.4147186689440003</v>
      </c>
      <c r="D39" s="11">
        <v>0.35</v>
      </c>
      <c r="E39" s="21">
        <f t="shared" si="3"/>
        <v>4.8</v>
      </c>
      <c r="F39" s="4">
        <f t="shared" si="13"/>
        <v>6.0647186689440007</v>
      </c>
      <c r="G39" s="25">
        <f t="shared" si="4"/>
        <v>1.6147186689440005</v>
      </c>
      <c r="H39" s="3">
        <v>2.1773583882614829</v>
      </c>
      <c r="I39" s="4">
        <f t="shared" si="14"/>
        <v>122.35215955894571</v>
      </c>
      <c r="J39" s="4">
        <f t="shared" si="5"/>
        <v>119.01426914974087</v>
      </c>
      <c r="K39" s="4">
        <f t="shared" si="6"/>
        <v>118.34669106789991</v>
      </c>
      <c r="L39" s="4">
        <f t="shared" si="7"/>
        <v>117.67911298605894</v>
      </c>
      <c r="M39" s="25">
        <f t="shared" si="8"/>
        <v>58.26466370221253</v>
      </c>
      <c r="N39" s="35">
        <f t="shared" si="9"/>
        <v>51.855914116539218</v>
      </c>
      <c r="O39" s="35">
        <f>$H39/1000*$G39*24*365+($H39/1000*$E39*24*365)*0.2</f>
        <v>49.109307151250647</v>
      </c>
      <c r="P39" s="4">
        <f t="shared" si="11"/>
        <v>31.714129704423076</v>
      </c>
      <c r="Q39" s="4"/>
      <c r="R39" s="1">
        <v>6</v>
      </c>
      <c r="S39" s="1">
        <v>37</v>
      </c>
      <c r="T39" s="14">
        <v>2471</v>
      </c>
      <c r="AM39" s="1">
        <v>6</v>
      </c>
      <c r="AN39" s="1">
        <v>37</v>
      </c>
      <c r="AO39" s="4">
        <v>1.76</v>
      </c>
      <c r="AP39" s="4">
        <v>2.17</v>
      </c>
    </row>
    <row r="40" spans="1:42" x14ac:dyDescent="0.2">
      <c r="A40" s="1">
        <v>6</v>
      </c>
      <c r="B40" s="1">
        <v>38</v>
      </c>
      <c r="C40" s="4">
        <f t="shared" si="12"/>
        <v>6.8821868291890009</v>
      </c>
      <c r="D40" s="11">
        <v>0.35</v>
      </c>
      <c r="E40" s="21">
        <f t="shared" si="3"/>
        <v>4.8</v>
      </c>
      <c r="F40" s="4">
        <f t="shared" si="13"/>
        <v>6.5321868291890013</v>
      </c>
      <c r="G40" s="25">
        <f t="shared" si="4"/>
        <v>2.0821868291890011</v>
      </c>
      <c r="H40" s="3">
        <v>2.2075983627206743</v>
      </c>
      <c r="I40" s="4">
        <f t="shared" si="14"/>
        <v>133.09159433424554</v>
      </c>
      <c r="J40" s="4">
        <f t="shared" si="5"/>
        <v>129.70734604419476</v>
      </c>
      <c r="K40" s="4">
        <f t="shared" si="6"/>
        <v>129.03049638618461</v>
      </c>
      <c r="L40" s="4">
        <f t="shared" si="7"/>
        <v>128.35364672817445</v>
      </c>
      <c r="M40" s="25">
        <f t="shared" si="8"/>
        <v>68.114027165270315</v>
      </c>
      <c r="N40" s="35">
        <f t="shared" si="9"/>
        <v>61.616270448372795</v>
      </c>
      <c r="O40" s="35">
        <f t="shared" si="10"/>
        <v>58.831517569702427</v>
      </c>
      <c r="P40" s="4">
        <f t="shared" si="11"/>
        <v>41.19474933812343</v>
      </c>
      <c r="Q40" s="4"/>
      <c r="R40" s="1">
        <v>6</v>
      </c>
      <c r="S40" s="1">
        <v>38</v>
      </c>
      <c r="T40" s="14">
        <v>2542</v>
      </c>
      <c r="AM40" s="1">
        <v>6</v>
      </c>
      <c r="AN40" s="1">
        <v>38</v>
      </c>
      <c r="AO40" s="4">
        <v>1.85</v>
      </c>
      <c r="AP40" s="4">
        <v>2.2799999999999998</v>
      </c>
    </row>
    <row r="41" spans="1:42" x14ac:dyDescent="0.2">
      <c r="A41" s="1">
        <v>6</v>
      </c>
      <c r="B41" s="1">
        <v>39</v>
      </c>
      <c r="C41" s="4">
        <f t="shared" si="12"/>
        <v>7.3757302676740002</v>
      </c>
      <c r="D41" s="11">
        <v>0.35</v>
      </c>
      <c r="E41" s="21">
        <f t="shared" si="3"/>
        <v>4.8</v>
      </c>
      <c r="F41" s="4">
        <f t="shared" si="13"/>
        <v>7.0257302676740006</v>
      </c>
      <c r="G41" s="25">
        <f t="shared" si="4"/>
        <v>2.5757302676740004</v>
      </c>
      <c r="H41" s="3">
        <v>2.23745650639421</v>
      </c>
      <c r="I41" s="4">
        <f t="shared" si="14"/>
        <v>144.56519092890727</v>
      </c>
      <c r="J41" s="4">
        <f t="shared" si="5"/>
        <v>141.13517010460495</v>
      </c>
      <c r="K41" s="4">
        <f t="shared" si="6"/>
        <v>140.44916593974449</v>
      </c>
      <c r="L41" s="4">
        <f t="shared" si="7"/>
        <v>139.76316177488403</v>
      </c>
      <c r="M41" s="25">
        <f t="shared" si="8"/>
        <v>78.708791102302683</v>
      </c>
      <c r="N41" s="35">
        <f t="shared" si="9"/>
        <v>72.123151119642216</v>
      </c>
      <c r="O41" s="35">
        <f t="shared" si="10"/>
        <v>69.300733984216293</v>
      </c>
      <c r="P41" s="4">
        <f t="shared" si="11"/>
        <v>51.425425459852185</v>
      </c>
      <c r="Q41" s="4"/>
      <c r="R41" s="1">
        <v>6</v>
      </c>
      <c r="S41" s="1">
        <v>39</v>
      </c>
      <c r="T41" s="14">
        <v>2613</v>
      </c>
      <c r="AM41" s="1">
        <v>6</v>
      </c>
      <c r="AN41" s="1">
        <v>39</v>
      </c>
      <c r="AO41" s="4">
        <v>1.94</v>
      </c>
      <c r="AP41" s="4">
        <v>2.4</v>
      </c>
    </row>
    <row r="42" spans="1:42" x14ac:dyDescent="0.2">
      <c r="A42" s="1">
        <v>6</v>
      </c>
      <c r="B42" s="1">
        <v>40</v>
      </c>
      <c r="C42" s="4">
        <f t="shared" si="12"/>
        <v>7.8961736113430012</v>
      </c>
      <c r="D42" s="11">
        <v>0.35</v>
      </c>
      <c r="E42" s="21">
        <f t="shared" si="3"/>
        <v>4.8</v>
      </c>
      <c r="F42" s="4">
        <f t="shared" si="13"/>
        <v>7.5461736113430016</v>
      </c>
      <c r="G42" s="25">
        <f t="shared" si="4"/>
        <v>3.0961736113430014</v>
      </c>
      <c r="H42" s="3">
        <v>2.2669472503778456</v>
      </c>
      <c r="I42" s="4">
        <f t="shared" si="14"/>
        <v>156.80583133704346</v>
      </c>
      <c r="J42" s="4">
        <f t="shared" si="5"/>
        <v>153.33060120221424</v>
      </c>
      <c r="K42" s="4">
        <f t="shared" si="6"/>
        <v>152.63555517524838</v>
      </c>
      <c r="L42" s="4">
        <f t="shared" si="7"/>
        <v>151.94050914828253</v>
      </c>
      <c r="M42" s="25">
        <f t="shared" si="8"/>
        <v>90.081412748322094</v>
      </c>
      <c r="N42" s="35">
        <f t="shared" si="9"/>
        <v>83.408970889449961</v>
      </c>
      <c r="O42" s="35">
        <f t="shared" si="10"/>
        <v>80.549352949933336</v>
      </c>
      <c r="P42" s="4">
        <f t="shared" si="11"/>
        <v>62.438439332994676</v>
      </c>
      <c r="Q42" s="4"/>
      <c r="R42" s="1">
        <v>6</v>
      </c>
      <c r="S42" s="1">
        <v>40</v>
      </c>
      <c r="T42" s="14">
        <v>2684</v>
      </c>
      <c r="AM42" s="1">
        <v>6</v>
      </c>
      <c r="AN42" s="1">
        <v>40</v>
      </c>
      <c r="AO42" s="4">
        <v>2.0299999999999998</v>
      </c>
      <c r="AP42" s="4">
        <v>2.52</v>
      </c>
    </row>
    <row r="43" spans="1:42" x14ac:dyDescent="0.2">
      <c r="A43" s="1">
        <v>6</v>
      </c>
      <c r="B43" s="1">
        <v>41</v>
      </c>
      <c r="C43" s="4">
        <f t="shared" si="12"/>
        <v>8.4443414871400009</v>
      </c>
      <c r="D43" s="11">
        <v>0.35</v>
      </c>
      <c r="E43" s="21">
        <f t="shared" si="3"/>
        <v>4.8</v>
      </c>
      <c r="F43" s="4">
        <f t="shared" si="13"/>
        <v>8.0943414871400012</v>
      </c>
      <c r="G43" s="25">
        <f t="shared" si="4"/>
        <v>3.6443414871400011</v>
      </c>
      <c r="H43" s="3">
        <v>2.2960841351525101</v>
      </c>
      <c r="I43" s="4">
        <f t="shared" si="14"/>
        <v>169.84692623898704</v>
      </c>
      <c r="J43" s="4">
        <f t="shared" si="5"/>
        <v>166.32702925979822</v>
      </c>
      <c r="K43" s="4">
        <f t="shared" si="6"/>
        <v>165.62304986396049</v>
      </c>
      <c r="L43" s="4">
        <f t="shared" si="7"/>
        <v>164.91907046812273</v>
      </c>
      <c r="M43" s="25">
        <f t="shared" si="8"/>
        <v>102.26490423856211</v>
      </c>
      <c r="N43" s="35">
        <f t="shared" si="9"/>
        <v>95.50670203851962</v>
      </c>
      <c r="O43" s="35">
        <f t="shared" si="10"/>
        <v>92.610329667072847</v>
      </c>
      <c r="P43" s="4">
        <f t="shared" si="11"/>
        <v>74.266637981243221</v>
      </c>
      <c r="Q43" s="4"/>
      <c r="R43" s="1">
        <v>6</v>
      </c>
      <c r="S43" s="1">
        <v>41</v>
      </c>
      <c r="T43" s="14">
        <v>2755</v>
      </c>
      <c r="AM43" s="1">
        <v>6</v>
      </c>
      <c r="AN43" s="1">
        <v>41</v>
      </c>
      <c r="AO43" s="4">
        <v>2.13</v>
      </c>
      <c r="AP43" s="4">
        <v>2.64</v>
      </c>
    </row>
    <row r="44" spans="1:42" x14ac:dyDescent="0.2">
      <c r="A44" s="1">
        <v>6</v>
      </c>
      <c r="B44" s="1">
        <v>42</v>
      </c>
      <c r="C44" s="4">
        <f t="shared" si="12"/>
        <v>9.0210585220090014</v>
      </c>
      <c r="D44" s="11">
        <v>0.35</v>
      </c>
      <c r="E44" s="21">
        <f t="shared" si="3"/>
        <v>4.8</v>
      </c>
      <c r="F44" s="4">
        <f t="shared" si="13"/>
        <v>8.6710585220090017</v>
      </c>
      <c r="G44" s="25">
        <f t="shared" si="4"/>
        <v>4.2210585220090016</v>
      </c>
      <c r="H44" s="3">
        <v>2.3248798858221513</v>
      </c>
      <c r="I44" s="4">
        <f t="shared" si="14"/>
        <v>183.72240695819477</v>
      </c>
      <c r="J44" s="4">
        <f t="shared" si="5"/>
        <v>180.15836609322938</v>
      </c>
      <c r="K44" s="4">
        <f t="shared" si="6"/>
        <v>179.4455579202363</v>
      </c>
      <c r="L44" s="4">
        <f t="shared" si="7"/>
        <v>178.73274974724322</v>
      </c>
      <c r="M44" s="25">
        <f t="shared" si="8"/>
        <v>115.29282235085986</v>
      </c>
      <c r="N44" s="35">
        <f t="shared" si="9"/>
        <v>108.44986389012638</v>
      </c>
      <c r="O44" s="35">
        <f t="shared" si="10"/>
        <v>105.51716740695488</v>
      </c>
      <c r="P44" s="4">
        <f t="shared" si="11"/>
        <v>86.943423013535423</v>
      </c>
      <c r="Q44" s="4"/>
      <c r="R44" s="1">
        <v>6</v>
      </c>
      <c r="S44" s="1">
        <v>42</v>
      </c>
      <c r="T44" s="14">
        <v>2826</v>
      </c>
      <c r="AM44" s="1">
        <v>6</v>
      </c>
      <c r="AN44" s="1">
        <v>42</v>
      </c>
      <c r="AO44" s="4">
        <v>2.23</v>
      </c>
      <c r="AP44" s="4">
        <v>2.77</v>
      </c>
    </row>
    <row r="45" spans="1:42" x14ac:dyDescent="0.2">
      <c r="A45" s="1">
        <v>7</v>
      </c>
      <c r="B45" s="1">
        <v>43</v>
      </c>
      <c r="C45" s="4">
        <f t="shared" si="12"/>
        <v>9.6534179694950009</v>
      </c>
      <c r="D45" s="11">
        <v>0.35</v>
      </c>
      <c r="E45" s="21">
        <f t="shared" si="3"/>
        <v>4.8</v>
      </c>
      <c r="F45" s="4">
        <f t="shared" si="13"/>
        <v>9.3034179694950012</v>
      </c>
      <c r="G45" s="25">
        <f t="shared" si="4"/>
        <v>4.853417969495001</v>
      </c>
      <c r="H45" s="3">
        <v>2.353346479363803</v>
      </c>
      <c r="I45" s="4">
        <f t="shared" si="14"/>
        <v>199.00825380488382</v>
      </c>
      <c r="J45" s="4">
        <f t="shared" si="5"/>
        <v>195.40057365201909</v>
      </c>
      <c r="K45" s="4">
        <f t="shared" si="6"/>
        <v>194.67903762144616</v>
      </c>
      <c r="L45" s="4">
        <f t="shared" si="7"/>
        <v>193.95750159087322</v>
      </c>
      <c r="M45" s="25">
        <f t="shared" si="8"/>
        <v>129.74079486988137</v>
      </c>
      <c r="N45" s="35">
        <f t="shared" si="9"/>
        <v>122.81404897638114</v>
      </c>
      <c r="O45" s="35">
        <f t="shared" si="10"/>
        <v>119.84544359345246</v>
      </c>
      <c r="P45" s="4">
        <f t="shared" si="11"/>
        <v>101.04427616823752</v>
      </c>
      <c r="Q45" s="4"/>
      <c r="R45" s="1">
        <v>7</v>
      </c>
      <c r="S45" s="1">
        <v>43</v>
      </c>
      <c r="T45" s="14">
        <v>2900</v>
      </c>
      <c r="AM45" s="1">
        <v>7</v>
      </c>
      <c r="AN45" s="1">
        <v>43</v>
      </c>
      <c r="AO45" s="4">
        <v>2.33</v>
      </c>
      <c r="AP45" s="4">
        <v>2.9</v>
      </c>
    </row>
    <row r="46" spans="1:42" x14ac:dyDescent="0.2">
      <c r="A46" s="1">
        <v>7</v>
      </c>
      <c r="B46" s="1">
        <v>44</v>
      </c>
      <c r="C46" s="4">
        <f t="shared" si="12"/>
        <v>10.099222890445001</v>
      </c>
      <c r="D46" s="11">
        <v>0.35</v>
      </c>
      <c r="E46" s="21">
        <f t="shared" si="3"/>
        <v>4.8</v>
      </c>
      <c r="F46" s="4">
        <f t="shared" si="13"/>
        <v>9.7492228904450009</v>
      </c>
      <c r="G46" s="25">
        <f t="shared" si="4"/>
        <v>5.2992228904450007</v>
      </c>
      <c r="H46" s="3">
        <v>2.3814952049031657</v>
      </c>
      <c r="I46" s="4">
        <f t="shared" si="14"/>
        <v>210.68895776874518</v>
      </c>
      <c r="J46" s="4">
        <f t="shared" si="5"/>
        <v>207.03812561962863</v>
      </c>
      <c r="K46" s="4">
        <f t="shared" si="6"/>
        <v>206.30795918980533</v>
      </c>
      <c r="L46" s="4">
        <f t="shared" si="7"/>
        <v>205.577792759982</v>
      </c>
      <c r="M46" s="25">
        <f t="shared" si="8"/>
        <v>140.59298050570735</v>
      </c>
      <c r="N46" s="35">
        <f t="shared" si="9"/>
        <v>133.58338277940356</v>
      </c>
      <c r="O46" s="35">
        <f t="shared" si="10"/>
        <v>130.57926946813052</v>
      </c>
      <c r="P46" s="4">
        <f t="shared" si="11"/>
        <v>111.55321849673454</v>
      </c>
      <c r="Q46" s="4"/>
      <c r="R46" s="1">
        <v>7</v>
      </c>
      <c r="S46" s="1">
        <v>44</v>
      </c>
      <c r="T46" s="14">
        <v>2950</v>
      </c>
      <c r="AM46" s="1">
        <v>7</v>
      </c>
      <c r="AN46" s="1">
        <v>44</v>
      </c>
      <c r="AO46" s="4">
        <v>2.4300000000000002</v>
      </c>
      <c r="AP46" s="4">
        <v>3.03</v>
      </c>
    </row>
    <row r="47" spans="1:42" x14ac:dyDescent="0.2">
      <c r="A47" s="1">
        <v>7</v>
      </c>
      <c r="B47" s="1">
        <v>45</v>
      </c>
      <c r="C47" s="4">
        <f t="shared" si="12"/>
        <v>10.560309491395</v>
      </c>
      <c r="D47" s="11">
        <v>0.35</v>
      </c>
      <c r="E47" s="21">
        <f t="shared" si="3"/>
        <v>4.8</v>
      </c>
      <c r="F47" s="4">
        <f t="shared" si="13"/>
        <v>10.210309491395</v>
      </c>
      <c r="G47" s="25">
        <f t="shared" si="4"/>
        <v>5.7603094913949997</v>
      </c>
      <c r="H47" s="3">
        <v>2.4093367178804237</v>
      </c>
      <c r="I47" s="4">
        <f t="shared" si="14"/>
        <v>222.88367074984023</v>
      </c>
      <c r="J47" s="4">
        <f t="shared" si="5"/>
        <v>219.19015756132956</v>
      </c>
      <c r="K47" s="4">
        <f t="shared" si="6"/>
        <v>218.45145492362744</v>
      </c>
      <c r="L47" s="4">
        <f t="shared" si="7"/>
        <v>217.71275228592529</v>
      </c>
      <c r="M47" s="25">
        <f t="shared" si="8"/>
        <v>151.968217530435</v>
      </c>
      <c r="N47" s="35">
        <f t="shared" si="9"/>
        <v>144.87667220849448</v>
      </c>
      <c r="O47" s="35">
        <f t="shared" si="10"/>
        <v>141.83743849909141</v>
      </c>
      <c r="P47" s="4">
        <f t="shared" si="11"/>
        <v>122.58895833953855</v>
      </c>
      <c r="Q47" s="4"/>
      <c r="R47" s="1">
        <v>7</v>
      </c>
      <c r="S47" s="1">
        <v>45</v>
      </c>
      <c r="T47" s="14">
        <v>3000</v>
      </c>
      <c r="AM47" s="1">
        <v>7</v>
      </c>
      <c r="AN47" s="1">
        <v>45</v>
      </c>
      <c r="AO47" s="4">
        <v>2.5299999999999998</v>
      </c>
      <c r="AP47" s="4">
        <v>3.17</v>
      </c>
    </row>
    <row r="48" spans="1:42" x14ac:dyDescent="0.2">
      <c r="A48" s="1">
        <v>7</v>
      </c>
      <c r="B48" s="1">
        <v>46</v>
      </c>
      <c r="C48" s="4">
        <f t="shared" si="12"/>
        <v>11.036965772345001</v>
      </c>
      <c r="D48" s="11">
        <v>0.35</v>
      </c>
      <c r="E48" s="21">
        <f t="shared" si="3"/>
        <v>4.8</v>
      </c>
      <c r="F48" s="4">
        <f t="shared" si="13"/>
        <v>10.686965772345001</v>
      </c>
      <c r="G48" s="25">
        <f t="shared" si="4"/>
        <v>6.2369657723450009</v>
      </c>
      <c r="H48" s="3">
        <v>2.4368810888470627</v>
      </c>
      <c r="I48" s="4">
        <f t="shared" si="14"/>
        <v>235.60697295938746</v>
      </c>
      <c r="J48" s="4">
        <f t="shared" si="5"/>
        <v>231.8712342501849</v>
      </c>
      <c r="K48" s="4">
        <f t="shared" si="6"/>
        <v>231.12408650834439</v>
      </c>
      <c r="L48" s="4">
        <f t="shared" si="7"/>
        <v>230.37693876650388</v>
      </c>
      <c r="M48" s="25">
        <f t="shared" si="8"/>
        <v>163.88078974269854</v>
      </c>
      <c r="N48" s="35">
        <f t="shared" si="9"/>
        <v>156.70817142102965</v>
      </c>
      <c r="O48" s="35">
        <f t="shared" si="10"/>
        <v>153.63419214031441</v>
      </c>
      <c r="P48" s="4">
        <f t="shared" si="11"/>
        <v>134.16565669578458</v>
      </c>
      <c r="Q48" s="4"/>
      <c r="R48" s="1">
        <v>7</v>
      </c>
      <c r="S48" s="1">
        <v>46</v>
      </c>
      <c r="T48" s="14">
        <v>3050</v>
      </c>
      <c r="AM48" s="1">
        <v>7</v>
      </c>
      <c r="AN48" s="1">
        <v>46</v>
      </c>
      <c r="AO48" s="4">
        <v>2.64</v>
      </c>
      <c r="AP48" s="4">
        <v>3.3</v>
      </c>
    </row>
    <row r="49" spans="1:42" x14ac:dyDescent="0.2">
      <c r="A49" s="1">
        <v>7</v>
      </c>
      <c r="B49" s="1">
        <v>47</v>
      </c>
      <c r="C49" s="4">
        <f t="shared" si="12"/>
        <v>11.529479733295002</v>
      </c>
      <c r="D49" s="11">
        <v>0.35</v>
      </c>
      <c r="E49" s="21">
        <f t="shared" si="3"/>
        <v>4.8</v>
      </c>
      <c r="F49" s="4">
        <f t="shared" si="13"/>
        <v>11.179479733295002</v>
      </c>
      <c r="G49" s="25">
        <f t="shared" si="4"/>
        <v>6.729479733295002</v>
      </c>
      <c r="H49" s="3">
        <v>2.4641378475305378</v>
      </c>
      <c r="I49" s="4">
        <f t="shared" si="14"/>
        <v>248.87359178878089</v>
      </c>
      <c r="J49" s="4">
        <f t="shared" si="5"/>
        <v>245.09606846851662</v>
      </c>
      <c r="K49" s="4">
        <f t="shared" si="6"/>
        <v>244.34056380446376</v>
      </c>
      <c r="L49" s="4">
        <f t="shared" si="7"/>
        <v>243.58505914041089</v>
      </c>
      <c r="M49" s="25">
        <f t="shared" si="8"/>
        <v>176.34514403970607</v>
      </c>
      <c r="N49" s="35">
        <f t="shared" si="9"/>
        <v>169.09229926479858</v>
      </c>
      <c r="O49" s="35">
        <f t="shared" si="10"/>
        <v>165.98393721840966</v>
      </c>
      <c r="P49" s="4">
        <f t="shared" si="11"/>
        <v>146.2976442579465</v>
      </c>
      <c r="Q49" s="4"/>
      <c r="R49" s="1">
        <v>7</v>
      </c>
      <c r="S49" s="1">
        <v>47</v>
      </c>
      <c r="T49" s="14">
        <v>3100</v>
      </c>
      <c r="AM49" s="1">
        <v>7</v>
      </c>
      <c r="AN49" s="1">
        <v>47</v>
      </c>
      <c r="AO49" s="4">
        <v>2.74</v>
      </c>
      <c r="AP49" s="4">
        <v>3.44</v>
      </c>
    </row>
    <row r="50" spans="1:42" x14ac:dyDescent="0.2">
      <c r="A50" s="1">
        <v>7</v>
      </c>
      <c r="B50" s="1">
        <v>48</v>
      </c>
      <c r="C50" s="4">
        <f t="shared" si="12"/>
        <v>12.038139374245</v>
      </c>
      <c r="D50" s="11">
        <v>0.35</v>
      </c>
      <c r="E50" s="21">
        <f t="shared" si="3"/>
        <v>4.8</v>
      </c>
      <c r="F50" s="4">
        <f t="shared" si="13"/>
        <v>11.688139374245001</v>
      </c>
      <c r="G50" s="25">
        <f t="shared" si="4"/>
        <v>7.2381393742450006</v>
      </c>
      <c r="H50" s="3">
        <v>2.4911160227162288</v>
      </c>
      <c r="I50" s="4">
        <f t="shared" si="14"/>
        <v>262.69840045892607</v>
      </c>
      <c r="J50" s="4">
        <f t="shared" si="5"/>
        <v>258.87951959610206</v>
      </c>
      <c r="K50" s="4">
        <f t="shared" si="6"/>
        <v>258.11574342353725</v>
      </c>
      <c r="L50" s="4">
        <f t="shared" si="7"/>
        <v>257.35196725097251</v>
      </c>
      <c r="M50" s="25">
        <f t="shared" si="8"/>
        <v>189.37588789270566</v>
      </c>
      <c r="N50" s="35">
        <f t="shared" si="9"/>
        <v>182.04363663608362</v>
      </c>
      <c r="O50" s="35">
        <f t="shared" si="10"/>
        <v>178.90124324038845</v>
      </c>
      <c r="P50" s="4">
        <f t="shared" si="11"/>
        <v>158.99941840098577</v>
      </c>
      <c r="Q50" s="4"/>
      <c r="R50" s="1">
        <v>7</v>
      </c>
      <c r="S50" s="1">
        <v>48</v>
      </c>
      <c r="T50" s="14">
        <v>3150</v>
      </c>
      <c r="AM50" s="1">
        <v>7</v>
      </c>
      <c r="AN50" s="1">
        <v>48</v>
      </c>
      <c r="AO50" s="4">
        <v>2.85</v>
      </c>
      <c r="AP50" s="4">
        <v>3.59</v>
      </c>
    </row>
    <row r="51" spans="1:42" x14ac:dyDescent="0.2">
      <c r="A51" s="1">
        <v>7</v>
      </c>
      <c r="B51" s="1">
        <v>49</v>
      </c>
      <c r="C51" s="4">
        <f t="shared" si="12"/>
        <v>12.563232695195001</v>
      </c>
      <c r="D51" s="11">
        <v>0.35</v>
      </c>
      <c r="E51" s="21">
        <f t="shared" si="3"/>
        <v>4.8</v>
      </c>
      <c r="F51" s="4">
        <f t="shared" si="13"/>
        <v>12.213232695195002</v>
      </c>
      <c r="G51" s="25">
        <f t="shared" si="4"/>
        <v>7.7632326951950015</v>
      </c>
      <c r="H51" s="3">
        <v>2.5178241784222166</v>
      </c>
      <c r="I51" s="4">
        <f t="shared" si="14"/>
        <v>277.09641670257281</v>
      </c>
      <c r="J51" s="4">
        <f t="shared" si="5"/>
        <v>273.23659223705158</v>
      </c>
      <c r="K51" s="4">
        <f t="shared" si="6"/>
        <v>272.46462734394731</v>
      </c>
      <c r="L51" s="4">
        <f t="shared" si="7"/>
        <v>271.69266245084305</v>
      </c>
      <c r="M51" s="25">
        <f t="shared" si="8"/>
        <v>202.98778696456463</v>
      </c>
      <c r="N51" s="35">
        <f t="shared" si="9"/>
        <v>195.57692399076382</v>
      </c>
      <c r="O51" s="35">
        <f t="shared" si="10"/>
        <v>192.40083985913492</v>
      </c>
      <c r="P51" s="4">
        <f t="shared" si="11"/>
        <v>172.2856403588184</v>
      </c>
      <c r="Q51" s="4"/>
      <c r="R51" s="1">
        <v>7</v>
      </c>
      <c r="S51" s="1">
        <v>49</v>
      </c>
      <c r="T51" s="14">
        <v>3200</v>
      </c>
      <c r="AM51" s="1">
        <v>7</v>
      </c>
      <c r="AN51" s="1">
        <v>49</v>
      </c>
      <c r="AO51" s="4">
        <v>2.96</v>
      </c>
      <c r="AP51" s="4">
        <v>3.73</v>
      </c>
    </row>
    <row r="52" spans="1:42" x14ac:dyDescent="0.2">
      <c r="C52" s="4"/>
      <c r="D52" s="11"/>
      <c r="E52" s="24"/>
      <c r="F52" s="4"/>
      <c r="G52" s="25"/>
      <c r="H52" s="3"/>
      <c r="I52" s="4"/>
      <c r="J52" s="4"/>
      <c r="K52" s="4"/>
      <c r="L52" s="4"/>
      <c r="M52" s="25"/>
      <c r="N52" s="35"/>
      <c r="O52" s="35"/>
      <c r="P52" s="4"/>
      <c r="Q52" s="4"/>
      <c r="AM52" s="1">
        <v>8</v>
      </c>
      <c r="AN52" s="1">
        <v>50</v>
      </c>
      <c r="AO52" s="4">
        <v>3.07</v>
      </c>
      <c r="AP52" s="4">
        <v>3.88</v>
      </c>
    </row>
    <row r="53" spans="1:42" x14ac:dyDescent="0.2">
      <c r="C53" s="4"/>
      <c r="D53" s="11"/>
      <c r="E53" s="24"/>
      <c r="F53" s="4"/>
      <c r="G53" s="25"/>
      <c r="H53" s="15" t="s">
        <v>2</v>
      </c>
      <c r="I53" s="10">
        <f t="shared" ref="I53:P53" si="15">AVERAGE(I3:I51)</f>
        <v>73.000723707554101</v>
      </c>
      <c r="J53" s="10">
        <f t="shared" si="15"/>
        <v>70.456521318614321</v>
      </c>
      <c r="K53" s="10">
        <f t="shared" si="15"/>
        <v>69.947680840826379</v>
      </c>
      <c r="L53" s="10">
        <f t="shared" si="15"/>
        <v>69.438840363038423</v>
      </c>
      <c r="M53" s="26">
        <f t="shared" si="15"/>
        <v>40.749998077158764</v>
      </c>
      <c r="N53" s="36">
        <f t="shared" ref="N53:O53" si="16">AVERAGE(N3:N51)</f>
        <v>37.524925514119232</v>
      </c>
      <c r="O53" s="36">
        <f t="shared" si="16"/>
        <v>36.142751558530861</v>
      </c>
      <c r="P53" s="10">
        <f t="shared" si="15"/>
        <v>27.388983173137845</v>
      </c>
      <c r="Q53" s="10"/>
      <c r="AM53" s="1">
        <v>8</v>
      </c>
      <c r="AN53" s="1">
        <v>51</v>
      </c>
      <c r="AO53" s="4">
        <v>3.18</v>
      </c>
      <c r="AP53" s="4">
        <v>4.03</v>
      </c>
    </row>
    <row r="54" spans="1:42" x14ac:dyDescent="0.2">
      <c r="C54" s="4"/>
      <c r="D54" s="11"/>
      <c r="E54" s="24"/>
      <c r="F54" s="4"/>
      <c r="G54" s="25"/>
      <c r="H54" s="15" t="s">
        <v>10</v>
      </c>
      <c r="I54" s="10"/>
      <c r="J54" s="13">
        <f>($I53-J53)/$I53</f>
        <v>3.485174200644954E-2</v>
      </c>
      <c r="K54" s="13">
        <f>($I53-K53)/$I53</f>
        <v>4.1822090407739258E-2</v>
      </c>
      <c r="L54" s="13">
        <f>($I53-L53)/$I53</f>
        <v>4.8792438809029164E-2</v>
      </c>
      <c r="M54" s="23">
        <f>($I53-M53)/$I53</f>
        <v>0.44178638227744088</v>
      </c>
      <c r="N54" s="33">
        <f t="shared" ref="N54:O54" si="17">($I53-N53)/$I53</f>
        <v>0.48596502050518492</v>
      </c>
      <c r="O54" s="33">
        <f t="shared" si="17"/>
        <v>0.50489872260278956</v>
      </c>
      <c r="P54" s="13">
        <f>($I53-P53)/$I53</f>
        <v>0.62481216922095206</v>
      </c>
      <c r="Q54" s="13"/>
      <c r="AM54" s="1">
        <v>8</v>
      </c>
      <c r="AN54" s="1">
        <v>52</v>
      </c>
      <c r="AO54" s="4">
        <v>3.3</v>
      </c>
      <c r="AP54" s="4">
        <v>4.18</v>
      </c>
    </row>
    <row r="55" spans="1:42" x14ac:dyDescent="0.2">
      <c r="C55" s="4"/>
      <c r="D55" s="11"/>
      <c r="E55" s="24"/>
      <c r="F55" s="4"/>
      <c r="G55" s="25"/>
      <c r="I55" s="4"/>
      <c r="J55" s="4"/>
      <c r="K55" s="4"/>
      <c r="L55" s="4"/>
      <c r="M55" s="25"/>
      <c r="N55" s="35"/>
      <c r="O55" s="35"/>
      <c r="P55" s="4"/>
      <c r="Q55" s="4"/>
      <c r="AM55" s="1">
        <v>8</v>
      </c>
      <c r="AN55" s="1">
        <v>53</v>
      </c>
      <c r="AO55" s="4">
        <v>3.41</v>
      </c>
      <c r="AP55" s="4">
        <v>4.33</v>
      </c>
    </row>
    <row r="56" spans="1:42" x14ac:dyDescent="0.2">
      <c r="C56" s="4"/>
      <c r="D56" s="11"/>
      <c r="E56" s="24"/>
      <c r="F56" s="4"/>
      <c r="G56" s="25"/>
      <c r="H56" s="3"/>
      <c r="I56" s="4"/>
      <c r="J56" s="4"/>
      <c r="K56" s="4"/>
      <c r="L56" s="4"/>
      <c r="M56" s="25"/>
      <c r="N56" s="35"/>
      <c r="O56" s="35"/>
      <c r="P56" s="4"/>
      <c r="Q56" s="4"/>
      <c r="AM56" s="1">
        <v>8</v>
      </c>
      <c r="AN56" s="1">
        <v>54</v>
      </c>
      <c r="AO56" s="4">
        <v>3.53</v>
      </c>
      <c r="AP56" s="4">
        <v>4.49</v>
      </c>
    </row>
    <row r="57" spans="1:42" x14ac:dyDescent="0.2">
      <c r="C57" s="4"/>
      <c r="D57" s="11"/>
      <c r="E57" s="24"/>
      <c r="F57" s="4"/>
      <c r="G57" s="25"/>
      <c r="H57" s="3"/>
      <c r="I57" s="4"/>
      <c r="J57" s="4"/>
      <c r="K57" s="4"/>
      <c r="L57" s="4"/>
      <c r="M57" s="25"/>
      <c r="N57" s="35"/>
      <c r="O57" s="35"/>
      <c r="P57" s="4"/>
      <c r="Q57" s="4"/>
      <c r="AM57" s="1">
        <v>8</v>
      </c>
      <c r="AN57" s="1">
        <v>55</v>
      </c>
      <c r="AO57" s="4">
        <v>3.64</v>
      </c>
      <c r="AP57" s="4">
        <v>4.6500000000000004</v>
      </c>
    </row>
    <row r="58" spans="1:42" x14ac:dyDescent="0.2">
      <c r="C58" s="4"/>
      <c r="D58" s="11"/>
      <c r="E58" s="24"/>
      <c r="F58" s="4"/>
      <c r="G58" s="25"/>
      <c r="H58" s="3"/>
      <c r="I58" s="4"/>
      <c r="J58" s="4"/>
      <c r="K58" s="4"/>
      <c r="L58" s="4"/>
      <c r="M58" s="25"/>
      <c r="N58" s="35"/>
      <c r="O58" s="35"/>
      <c r="P58" s="4"/>
      <c r="Q58" s="4"/>
      <c r="AM58" s="1">
        <v>8</v>
      </c>
      <c r="AN58" s="1">
        <v>56</v>
      </c>
      <c r="AO58" s="4">
        <v>3.76</v>
      </c>
      <c r="AP58" s="4">
        <v>4.8099999999999996</v>
      </c>
    </row>
    <row r="59" spans="1:42" x14ac:dyDescent="0.2">
      <c r="C59" s="4"/>
      <c r="D59" s="11"/>
      <c r="E59" s="24"/>
      <c r="F59" s="4"/>
      <c r="G59" s="25"/>
      <c r="H59" s="3"/>
      <c r="I59" s="4"/>
      <c r="J59" s="4"/>
      <c r="K59" s="4"/>
      <c r="L59" s="4"/>
      <c r="M59" s="25"/>
      <c r="N59" s="35"/>
      <c r="O59" s="35"/>
      <c r="P59" s="4"/>
      <c r="Q59" s="4"/>
      <c r="AM59" s="1">
        <v>9</v>
      </c>
      <c r="AN59" s="1">
        <v>57</v>
      </c>
      <c r="AO59" s="4">
        <v>3.88</v>
      </c>
      <c r="AP59" s="4">
        <v>4.97</v>
      </c>
    </row>
    <row r="60" spans="1:42" x14ac:dyDescent="0.2">
      <c r="C60" s="4"/>
      <c r="D60" s="11"/>
      <c r="E60" s="24"/>
      <c r="F60" s="4"/>
      <c r="G60" s="25"/>
      <c r="H60" s="3"/>
      <c r="I60" s="4"/>
      <c r="J60" s="4"/>
      <c r="K60" s="4"/>
      <c r="L60" s="4"/>
      <c r="M60" s="25"/>
      <c r="N60" s="35"/>
      <c r="O60" s="35"/>
      <c r="P60" s="4"/>
      <c r="Q60" s="4"/>
      <c r="AM60" s="1">
        <v>9</v>
      </c>
      <c r="AN60" s="1">
        <v>58</v>
      </c>
      <c r="AO60" s="4">
        <v>4</v>
      </c>
      <c r="AP60" s="4">
        <v>5.13</v>
      </c>
    </row>
    <row r="61" spans="1:42" x14ac:dyDescent="0.2">
      <c r="C61" s="4"/>
      <c r="D61" s="11"/>
      <c r="E61" s="24"/>
      <c r="F61" s="4"/>
      <c r="G61" s="25"/>
      <c r="H61" s="3"/>
      <c r="I61" s="4"/>
      <c r="J61" s="4"/>
      <c r="K61" s="4"/>
      <c r="L61" s="4"/>
      <c r="M61" s="25"/>
      <c r="N61" s="35"/>
      <c r="O61" s="35"/>
      <c r="P61" s="4"/>
      <c r="Q61" s="4"/>
      <c r="AM61" s="1">
        <v>9</v>
      </c>
      <c r="AN61" s="1">
        <v>59</v>
      </c>
      <c r="AO61" s="4">
        <v>4.13</v>
      </c>
      <c r="AP61" s="4">
        <v>5.3</v>
      </c>
    </row>
    <row r="62" spans="1:42" x14ac:dyDescent="0.2">
      <c r="C62" s="4"/>
      <c r="D62" s="11"/>
      <c r="E62" s="24"/>
      <c r="F62" s="4"/>
      <c r="G62" s="25"/>
      <c r="H62" s="3"/>
      <c r="I62" s="4"/>
      <c r="J62" s="4"/>
      <c r="K62" s="4"/>
      <c r="L62" s="4"/>
      <c r="M62" s="25"/>
      <c r="N62" s="35"/>
      <c r="O62" s="35"/>
      <c r="P62" s="4"/>
      <c r="Q62" s="4"/>
      <c r="AM62" s="1">
        <v>9</v>
      </c>
      <c r="AN62" s="1">
        <v>60</v>
      </c>
      <c r="AO62" s="4">
        <v>4.25</v>
      </c>
      <c r="AP62" s="4">
        <v>5.47</v>
      </c>
    </row>
    <row r="63" spans="1:42" x14ac:dyDescent="0.2">
      <c r="C63" s="4"/>
      <c r="D63" s="11"/>
      <c r="E63" s="24"/>
      <c r="F63" s="4"/>
      <c r="G63" s="25"/>
      <c r="H63" s="3"/>
      <c r="I63" s="4"/>
      <c r="J63" s="4"/>
      <c r="K63" s="4"/>
      <c r="L63" s="4"/>
      <c r="M63" s="25"/>
      <c r="N63" s="35"/>
      <c r="O63" s="35"/>
      <c r="P63" s="4"/>
      <c r="Q63" s="4"/>
      <c r="AM63" s="1">
        <v>9</v>
      </c>
      <c r="AN63" s="1">
        <v>61</v>
      </c>
      <c r="AO63" s="4">
        <v>4.37</v>
      </c>
      <c r="AP63" s="4">
        <v>5.64</v>
      </c>
    </row>
    <row r="64" spans="1:42" x14ac:dyDescent="0.2">
      <c r="C64" s="4"/>
      <c r="D64" s="11"/>
      <c r="E64" s="24"/>
      <c r="F64" s="4"/>
      <c r="G64" s="25"/>
      <c r="H64" s="3"/>
      <c r="I64" s="4"/>
      <c r="J64" s="4"/>
      <c r="K64" s="4"/>
      <c r="L64" s="4"/>
      <c r="M64" s="25"/>
      <c r="N64" s="35"/>
      <c r="O64" s="35"/>
      <c r="P64" s="4"/>
      <c r="Q64" s="4"/>
      <c r="AM64" s="1">
        <v>9</v>
      </c>
      <c r="AN64" s="1">
        <v>62</v>
      </c>
      <c r="AO64" s="4">
        <v>4.5</v>
      </c>
      <c r="AP64" s="4">
        <v>5.81</v>
      </c>
    </row>
    <row r="65" spans="3:42" x14ac:dyDescent="0.2">
      <c r="C65" s="4"/>
      <c r="D65" s="11"/>
      <c r="E65" s="24"/>
      <c r="F65" s="4"/>
      <c r="G65" s="25"/>
      <c r="H65" s="3"/>
      <c r="I65" s="4"/>
      <c r="J65" s="4"/>
      <c r="K65" s="4"/>
      <c r="L65" s="4"/>
      <c r="M65" s="25"/>
      <c r="N65" s="35"/>
      <c r="O65" s="35"/>
      <c r="P65" s="4"/>
      <c r="Q65" s="4"/>
      <c r="AM65" s="1">
        <v>9</v>
      </c>
      <c r="AN65" s="1">
        <v>63</v>
      </c>
      <c r="AO65" s="4">
        <v>4.62</v>
      </c>
      <c r="AP65" s="4">
        <v>5.98</v>
      </c>
    </row>
    <row r="66" spans="3:42" x14ac:dyDescent="0.2">
      <c r="C66" s="4"/>
      <c r="D66" s="11"/>
      <c r="E66" s="24"/>
      <c r="F66" s="4"/>
      <c r="G66" s="25"/>
      <c r="H66" s="3"/>
      <c r="I66" s="4"/>
      <c r="J66" s="4"/>
      <c r="K66" s="4"/>
      <c r="L66" s="4"/>
      <c r="M66" s="25"/>
      <c r="N66" s="35"/>
      <c r="O66" s="35"/>
      <c r="P66" s="4"/>
      <c r="Q66" s="4"/>
      <c r="AM66" s="1">
        <v>10</v>
      </c>
      <c r="AN66" s="1">
        <v>64</v>
      </c>
      <c r="AO66" s="4">
        <v>4.75</v>
      </c>
      <c r="AP66" s="4">
        <v>6.16</v>
      </c>
    </row>
    <row r="67" spans="3:42" x14ac:dyDescent="0.2">
      <c r="C67" s="4"/>
      <c r="D67" s="11"/>
      <c r="E67" s="24"/>
      <c r="F67" s="4"/>
      <c r="G67" s="25"/>
      <c r="H67" s="3"/>
      <c r="I67" s="4"/>
      <c r="J67" s="4"/>
      <c r="K67" s="4"/>
      <c r="L67" s="4"/>
      <c r="M67" s="25"/>
      <c r="N67" s="35"/>
      <c r="O67" s="35"/>
      <c r="P67" s="4"/>
      <c r="Q67" s="4"/>
      <c r="AM67" s="1">
        <v>10</v>
      </c>
      <c r="AN67" s="1">
        <v>65</v>
      </c>
      <c r="AO67" s="4">
        <v>4.87</v>
      </c>
      <c r="AP67" s="4">
        <v>6.33</v>
      </c>
    </row>
    <row r="68" spans="3:42" x14ac:dyDescent="0.2">
      <c r="C68" s="4"/>
      <c r="D68" s="11"/>
      <c r="E68" s="24"/>
      <c r="F68" s="4"/>
      <c r="G68" s="25"/>
      <c r="H68" s="3"/>
      <c r="I68" s="4"/>
      <c r="J68" s="4"/>
      <c r="K68" s="4"/>
      <c r="L68" s="4"/>
      <c r="M68" s="25"/>
      <c r="N68" s="35"/>
      <c r="O68" s="35"/>
      <c r="P68" s="4"/>
      <c r="Q68" s="4"/>
      <c r="AM68" s="1">
        <v>10</v>
      </c>
      <c r="AN68" s="1">
        <v>66</v>
      </c>
      <c r="AO68" s="4">
        <v>5</v>
      </c>
      <c r="AP68" s="4">
        <v>6.51</v>
      </c>
    </row>
    <row r="69" spans="3:42" x14ac:dyDescent="0.2">
      <c r="C69" s="4"/>
      <c r="D69" s="11"/>
      <c r="E69" s="24"/>
      <c r="F69" s="4"/>
      <c r="G69" s="25"/>
      <c r="H69" s="3"/>
      <c r="I69" s="4"/>
      <c r="J69" s="4"/>
      <c r="K69" s="4"/>
      <c r="L69" s="4"/>
      <c r="M69" s="25"/>
      <c r="N69" s="35"/>
      <c r="O69" s="35"/>
      <c r="P69" s="4"/>
      <c r="Q69" s="4"/>
      <c r="AM69" s="1">
        <v>10</v>
      </c>
      <c r="AN69" s="1">
        <v>67</v>
      </c>
      <c r="AO69" s="4">
        <v>5.13</v>
      </c>
      <c r="AP69" s="4">
        <v>6.69</v>
      </c>
    </row>
    <row r="70" spans="3:42" x14ac:dyDescent="0.2">
      <c r="C70" s="4"/>
      <c r="D70" s="11"/>
      <c r="E70" s="24"/>
      <c r="F70" s="4"/>
      <c r="G70" s="25"/>
      <c r="H70" s="3"/>
      <c r="I70" s="4"/>
      <c r="J70" s="4"/>
      <c r="K70" s="4"/>
      <c r="L70" s="4"/>
      <c r="M70" s="25"/>
      <c r="N70" s="35"/>
      <c r="O70" s="35"/>
      <c r="P70" s="4"/>
      <c r="Q70" s="4"/>
      <c r="AM70" s="1">
        <v>10</v>
      </c>
      <c r="AN70" s="1">
        <v>68</v>
      </c>
      <c r="AO70" s="4">
        <v>5.25</v>
      </c>
      <c r="AP70" s="4">
        <v>6.87</v>
      </c>
    </row>
    <row r="71" spans="3:42" x14ac:dyDescent="0.2">
      <c r="C71" s="4"/>
      <c r="D71" s="11"/>
      <c r="E71" s="24"/>
      <c r="F71" s="4"/>
      <c r="G71" s="25"/>
      <c r="H71" s="3"/>
      <c r="I71" s="4"/>
      <c r="J71" s="4"/>
      <c r="K71" s="4"/>
      <c r="L71" s="4"/>
      <c r="M71" s="25"/>
      <c r="N71" s="35"/>
      <c r="O71" s="35"/>
      <c r="P71" s="4"/>
      <c r="Q71" s="4"/>
      <c r="AM71" s="1">
        <v>10</v>
      </c>
      <c r="AN71" s="1">
        <v>69</v>
      </c>
      <c r="AO71" s="4">
        <v>5.38</v>
      </c>
      <c r="AP71" s="4">
        <v>7.05</v>
      </c>
    </row>
    <row r="72" spans="3:42" x14ac:dyDescent="0.2">
      <c r="C72" s="4"/>
      <c r="D72" s="11"/>
      <c r="E72" s="24"/>
      <c r="F72" s="4"/>
      <c r="G72" s="25"/>
      <c r="H72" s="3"/>
      <c r="I72" s="4"/>
      <c r="J72" s="4"/>
      <c r="K72" s="4"/>
      <c r="L72" s="4"/>
      <c r="M72" s="25"/>
      <c r="N72" s="35"/>
      <c r="O72" s="35"/>
      <c r="P72" s="4"/>
      <c r="Q72" s="4"/>
      <c r="AM72" s="1">
        <v>10</v>
      </c>
      <c r="AN72" s="1">
        <v>70</v>
      </c>
      <c r="AO72" s="4">
        <v>5.51</v>
      </c>
      <c r="AP72" s="4">
        <v>7.23</v>
      </c>
    </row>
    <row r="73" spans="3:42" x14ac:dyDescent="0.2">
      <c r="C73" s="4"/>
      <c r="D73" s="11"/>
      <c r="E73" s="24"/>
      <c r="F73" s="4"/>
      <c r="G73" s="25"/>
      <c r="H73" s="3"/>
      <c r="I73" s="4"/>
      <c r="J73" s="4"/>
      <c r="K73" s="4"/>
      <c r="L73" s="4"/>
      <c r="M73" s="25"/>
      <c r="N73" s="35"/>
      <c r="O73" s="35"/>
      <c r="P73" s="4"/>
      <c r="Q73" s="4"/>
      <c r="AM73" s="1">
        <v>11</v>
      </c>
      <c r="AN73" s="1">
        <v>71</v>
      </c>
      <c r="AO73" s="4">
        <v>5.64</v>
      </c>
      <c r="AP73" s="4">
        <v>7.42</v>
      </c>
    </row>
    <row r="74" spans="3:42" x14ac:dyDescent="0.2">
      <c r="C74" s="4"/>
      <c r="D74" s="11"/>
      <c r="E74" s="24"/>
      <c r="F74" s="4"/>
      <c r="G74" s="25"/>
      <c r="H74" s="3"/>
      <c r="I74" s="4"/>
      <c r="J74" s="4"/>
      <c r="K74" s="4"/>
      <c r="L74" s="4"/>
      <c r="M74" s="25"/>
      <c r="N74" s="35"/>
      <c r="O74" s="35"/>
      <c r="P74" s="4"/>
      <c r="Q74" s="4"/>
      <c r="AM74" s="1">
        <v>11</v>
      </c>
      <c r="AN74" s="1">
        <v>72</v>
      </c>
      <c r="AO74" s="4">
        <v>5.77</v>
      </c>
      <c r="AP74" s="4">
        <v>7.6</v>
      </c>
    </row>
    <row r="75" spans="3:42" x14ac:dyDescent="0.2">
      <c r="C75" s="4"/>
      <c r="D75" s="11"/>
      <c r="E75" s="24"/>
      <c r="F75" s="4"/>
      <c r="G75" s="25"/>
      <c r="H75" s="3"/>
      <c r="I75" s="4"/>
      <c r="J75" s="4"/>
      <c r="K75" s="4"/>
      <c r="L75" s="4"/>
      <c r="M75" s="25"/>
      <c r="N75" s="35"/>
      <c r="O75" s="35"/>
      <c r="P75" s="4"/>
      <c r="Q75" s="4"/>
      <c r="AM75" s="1">
        <v>11</v>
      </c>
      <c r="AN75" s="1">
        <v>73</v>
      </c>
      <c r="AO75" s="4">
        <v>5.9</v>
      </c>
      <c r="AP75" s="4">
        <v>7.79</v>
      </c>
    </row>
    <row r="76" spans="3:42" x14ac:dyDescent="0.2">
      <c r="C76" s="4"/>
      <c r="D76" s="11"/>
      <c r="E76" s="24"/>
      <c r="F76" s="4"/>
      <c r="G76" s="25"/>
      <c r="H76" s="3"/>
      <c r="I76" s="4"/>
      <c r="J76" s="4"/>
      <c r="K76" s="4"/>
      <c r="L76" s="4"/>
      <c r="M76" s="25"/>
      <c r="N76" s="35"/>
      <c r="O76" s="35"/>
      <c r="P76" s="4"/>
      <c r="Q76" s="4"/>
      <c r="AM76" s="1">
        <v>11</v>
      </c>
      <c r="AN76" s="1">
        <v>74</v>
      </c>
      <c r="AO76" s="4">
        <v>6.03</v>
      </c>
      <c r="AP76" s="4">
        <v>7.97</v>
      </c>
    </row>
    <row r="77" spans="3:42" x14ac:dyDescent="0.2">
      <c r="C77" s="4"/>
      <c r="D77" s="11"/>
      <c r="E77" s="24"/>
      <c r="F77" s="4"/>
      <c r="G77" s="25"/>
      <c r="H77" s="3"/>
      <c r="I77" s="4"/>
      <c r="J77" s="4"/>
      <c r="K77" s="4"/>
      <c r="L77" s="4"/>
      <c r="M77" s="25"/>
      <c r="N77" s="35"/>
      <c r="O77" s="35"/>
      <c r="P77" s="4"/>
      <c r="Q77" s="4"/>
      <c r="AM77" s="1">
        <v>11</v>
      </c>
      <c r="AN77" s="1">
        <v>75</v>
      </c>
      <c r="AO77" s="4">
        <v>6.16</v>
      </c>
      <c r="AP77" s="4">
        <v>8.16</v>
      </c>
    </row>
    <row r="78" spans="3:42" x14ac:dyDescent="0.2">
      <c r="C78" s="4"/>
      <c r="D78" s="11"/>
      <c r="E78" s="24"/>
      <c r="F78" s="4"/>
      <c r="G78" s="25"/>
      <c r="H78" s="3"/>
      <c r="I78" s="4"/>
      <c r="J78" s="4"/>
      <c r="K78" s="4"/>
      <c r="L78" s="4"/>
      <c r="M78" s="25"/>
      <c r="N78" s="35"/>
      <c r="O78" s="35"/>
      <c r="P78" s="4"/>
      <c r="Q78" s="4"/>
      <c r="AM78" s="1">
        <v>11</v>
      </c>
      <c r="AN78" s="1">
        <v>76</v>
      </c>
      <c r="AO78" s="4">
        <v>6.29</v>
      </c>
      <c r="AP78" s="4">
        <v>8.35</v>
      </c>
    </row>
    <row r="79" spans="3:42" x14ac:dyDescent="0.2">
      <c r="C79" s="4"/>
      <c r="D79" s="11"/>
      <c r="E79" s="24"/>
      <c r="F79" s="4"/>
      <c r="G79" s="25"/>
      <c r="H79" s="3"/>
      <c r="I79" s="4"/>
      <c r="J79" s="4"/>
      <c r="K79" s="4"/>
      <c r="L79" s="4"/>
      <c r="M79" s="25"/>
      <c r="N79" s="35"/>
      <c r="O79" s="35"/>
      <c r="P79" s="4"/>
      <c r="Q79" s="4"/>
      <c r="AM79" s="1">
        <v>11</v>
      </c>
      <c r="AN79" s="1">
        <v>77</v>
      </c>
      <c r="AO79" s="4">
        <v>6.42</v>
      </c>
      <c r="AP79" s="4">
        <v>8.5399999999999991</v>
      </c>
    </row>
    <row r="80" spans="3:42" x14ac:dyDescent="0.2">
      <c r="C80" s="4"/>
      <c r="D80" s="11"/>
      <c r="E80" s="24"/>
      <c r="F80" s="4"/>
      <c r="G80" s="25"/>
      <c r="H80" s="3"/>
      <c r="I80" s="4"/>
      <c r="J80" s="4"/>
      <c r="K80" s="4"/>
      <c r="L80" s="4"/>
      <c r="M80" s="25"/>
      <c r="N80" s="35"/>
      <c r="O80" s="35"/>
      <c r="P80" s="4"/>
      <c r="Q80" s="4"/>
      <c r="AM80" s="1">
        <v>12</v>
      </c>
      <c r="AN80" s="1">
        <v>78</v>
      </c>
      <c r="AO80" s="4">
        <v>6.55</v>
      </c>
      <c r="AP80" s="4">
        <v>8.73</v>
      </c>
    </row>
    <row r="81" spans="3:42" x14ac:dyDescent="0.2">
      <c r="C81" s="4"/>
      <c r="D81" s="11"/>
      <c r="E81" s="24"/>
      <c r="F81" s="4"/>
      <c r="G81" s="25"/>
      <c r="H81" s="3"/>
      <c r="I81" s="4"/>
      <c r="J81" s="4"/>
      <c r="K81" s="4"/>
      <c r="L81" s="4"/>
      <c r="M81" s="25"/>
      <c r="N81" s="35"/>
      <c r="O81" s="35"/>
      <c r="P81" s="4"/>
      <c r="Q81" s="4"/>
      <c r="AM81" s="1">
        <v>12</v>
      </c>
      <c r="AN81" s="1">
        <v>79</v>
      </c>
      <c r="AO81" s="4">
        <v>6.68</v>
      </c>
      <c r="AP81" s="4">
        <v>8.92</v>
      </c>
    </row>
    <row r="82" spans="3:42" x14ac:dyDescent="0.2">
      <c r="C82" s="4"/>
      <c r="D82" s="11"/>
      <c r="E82" s="24"/>
      <c r="F82" s="4"/>
      <c r="G82" s="25"/>
      <c r="H82" s="3"/>
      <c r="I82" s="4"/>
      <c r="J82" s="4"/>
      <c r="K82" s="4"/>
      <c r="L82" s="4"/>
      <c r="M82" s="25"/>
      <c r="N82" s="35"/>
      <c r="O82" s="35"/>
      <c r="P82" s="4"/>
      <c r="Q82" s="4"/>
      <c r="AM82" s="1">
        <v>12</v>
      </c>
      <c r="AN82" s="1">
        <v>80</v>
      </c>
      <c r="AO82" s="4">
        <v>6.81</v>
      </c>
      <c r="AP82" s="4">
        <v>9.11</v>
      </c>
    </row>
    <row r="83" spans="3:42" x14ac:dyDescent="0.2">
      <c r="C83" s="4"/>
      <c r="D83" s="11"/>
      <c r="E83" s="24"/>
      <c r="F83" s="4"/>
      <c r="G83" s="25"/>
      <c r="H83" s="3"/>
      <c r="I83" s="4"/>
      <c r="J83" s="4"/>
      <c r="K83" s="4"/>
      <c r="L83" s="4"/>
      <c r="M83" s="25"/>
      <c r="N83" s="35"/>
      <c r="O83" s="35"/>
      <c r="P83" s="4"/>
      <c r="Q83" s="4"/>
      <c r="AM83" s="1">
        <v>12</v>
      </c>
      <c r="AN83" s="1">
        <v>81</v>
      </c>
      <c r="AO83" s="4">
        <v>6.94</v>
      </c>
      <c r="AP83" s="4">
        <v>9.3000000000000007</v>
      </c>
    </row>
    <row r="84" spans="3:42" x14ac:dyDescent="0.2">
      <c r="C84" s="4"/>
      <c r="D84" s="11"/>
      <c r="E84" s="24"/>
      <c r="F84" s="4"/>
      <c r="G84" s="25"/>
      <c r="H84" s="3"/>
      <c r="I84" s="4"/>
      <c r="J84" s="4"/>
      <c r="K84" s="4"/>
      <c r="L84" s="4"/>
      <c r="M84" s="25"/>
      <c r="N84" s="35"/>
      <c r="O84" s="35"/>
      <c r="P84" s="4"/>
      <c r="Q84" s="4"/>
      <c r="AM84" s="1">
        <v>12</v>
      </c>
      <c r="AN84" s="1">
        <v>82</v>
      </c>
      <c r="AO84" s="4">
        <v>7.07</v>
      </c>
      <c r="AP84" s="4">
        <v>9.5</v>
      </c>
    </row>
    <row r="85" spans="3:42" x14ac:dyDescent="0.2">
      <c r="C85" s="4"/>
      <c r="D85" s="11"/>
      <c r="E85" s="24"/>
      <c r="F85" s="4"/>
      <c r="G85" s="25"/>
      <c r="H85" s="3"/>
      <c r="I85" s="4"/>
      <c r="J85" s="4"/>
      <c r="K85" s="4"/>
      <c r="L85" s="4"/>
      <c r="M85" s="25"/>
      <c r="N85" s="35"/>
      <c r="O85" s="35"/>
      <c r="P85" s="4"/>
      <c r="Q85" s="4"/>
      <c r="AM85" s="1">
        <v>12</v>
      </c>
      <c r="AN85" s="1">
        <v>83</v>
      </c>
      <c r="AO85" s="4">
        <v>7.2</v>
      </c>
      <c r="AP85" s="4">
        <v>9.69</v>
      </c>
    </row>
    <row r="86" spans="3:42" x14ac:dyDescent="0.2">
      <c r="C86" s="4"/>
      <c r="D86" s="11"/>
      <c r="E86" s="24"/>
      <c r="F86" s="4"/>
      <c r="G86" s="25"/>
      <c r="H86" s="3"/>
      <c r="I86" s="4"/>
      <c r="J86" s="4"/>
      <c r="K86" s="4"/>
      <c r="L86" s="4"/>
      <c r="M86" s="25"/>
      <c r="N86" s="35"/>
      <c r="O86" s="35"/>
      <c r="P86" s="4"/>
      <c r="Q86" s="4"/>
      <c r="AM86" s="1">
        <v>12</v>
      </c>
      <c r="AN86" s="1">
        <v>84</v>
      </c>
      <c r="AO86" s="4">
        <v>7.32</v>
      </c>
      <c r="AP86" s="4">
        <v>9.8800000000000008</v>
      </c>
    </row>
    <row r="87" spans="3:42" x14ac:dyDescent="0.2">
      <c r="C87" s="4"/>
      <c r="D87" s="11"/>
      <c r="E87" s="24"/>
      <c r="F87" s="4"/>
      <c r="G87" s="25"/>
      <c r="H87" s="3"/>
      <c r="I87" s="4"/>
      <c r="J87" s="4"/>
      <c r="K87" s="4"/>
      <c r="L87" s="4"/>
      <c r="M87" s="25"/>
      <c r="N87" s="35"/>
      <c r="O87" s="35"/>
      <c r="P87" s="4"/>
      <c r="Q87" s="4"/>
      <c r="AM87" s="1">
        <v>13</v>
      </c>
      <c r="AN87" s="1">
        <v>85</v>
      </c>
      <c r="AO87" s="4">
        <v>7.45</v>
      </c>
      <c r="AP87" s="4">
        <v>10.08</v>
      </c>
    </row>
    <row r="88" spans="3:42" x14ac:dyDescent="0.2">
      <c r="C88" s="4"/>
      <c r="D88" s="11"/>
      <c r="E88" s="24"/>
      <c r="F88" s="4"/>
      <c r="G88" s="25"/>
      <c r="H88" s="3"/>
      <c r="I88" s="4"/>
      <c r="J88" s="4"/>
      <c r="K88" s="4"/>
      <c r="L88" s="4"/>
      <c r="M88" s="25"/>
      <c r="N88" s="35"/>
      <c r="O88" s="35"/>
      <c r="P88" s="4"/>
      <c r="Q88" s="4"/>
      <c r="AM88" s="1">
        <v>13</v>
      </c>
      <c r="AN88" s="1">
        <v>86</v>
      </c>
      <c r="AO88" s="4">
        <v>7.58</v>
      </c>
      <c r="AP88" s="4">
        <v>10.27</v>
      </c>
    </row>
    <row r="89" spans="3:42" x14ac:dyDescent="0.2">
      <c r="C89" s="4"/>
      <c r="D89" s="11"/>
      <c r="E89" s="24"/>
      <c r="F89" s="4"/>
      <c r="G89" s="25"/>
      <c r="H89" s="3"/>
      <c r="I89" s="4"/>
      <c r="J89" s="4"/>
      <c r="K89" s="4"/>
      <c r="L89" s="4"/>
      <c r="M89" s="25"/>
      <c r="N89" s="35"/>
      <c r="O89" s="35"/>
      <c r="P89" s="4"/>
      <c r="Q89" s="4"/>
      <c r="AM89" s="1">
        <v>13</v>
      </c>
      <c r="AN89" s="1">
        <v>87</v>
      </c>
      <c r="AO89" s="4">
        <v>7.71</v>
      </c>
      <c r="AP89" s="4">
        <v>10.47</v>
      </c>
    </row>
    <row r="90" spans="3:42" x14ac:dyDescent="0.2">
      <c r="C90" s="4"/>
      <c r="D90" s="11"/>
      <c r="E90" s="24"/>
      <c r="F90" s="4"/>
      <c r="G90" s="25"/>
      <c r="H90" s="3"/>
      <c r="I90" s="4"/>
      <c r="J90" s="4"/>
      <c r="K90" s="4"/>
      <c r="L90" s="4"/>
      <c r="M90" s="25"/>
      <c r="N90" s="35"/>
      <c r="O90" s="35"/>
      <c r="P90" s="4"/>
      <c r="Q90" s="4"/>
      <c r="AM90" s="1">
        <v>13</v>
      </c>
      <c r="AN90" s="1">
        <v>88</v>
      </c>
      <c r="AO90" s="4">
        <v>7.84</v>
      </c>
      <c r="AP90" s="4">
        <v>10.66</v>
      </c>
    </row>
    <row r="91" spans="3:42" x14ac:dyDescent="0.2">
      <c r="C91" s="4"/>
      <c r="D91" s="11"/>
      <c r="E91" s="24"/>
      <c r="F91" s="4"/>
      <c r="G91" s="25"/>
      <c r="H91" s="3"/>
      <c r="I91" s="4"/>
      <c r="J91" s="4"/>
      <c r="K91" s="4"/>
      <c r="L91" s="4"/>
      <c r="M91" s="25"/>
      <c r="N91" s="35"/>
      <c r="O91" s="35"/>
      <c r="P91" s="4"/>
      <c r="Q91" s="4"/>
      <c r="AM91" s="1">
        <v>13</v>
      </c>
      <c r="AN91" s="1">
        <v>89</v>
      </c>
      <c r="AO91" s="4">
        <v>7.97</v>
      </c>
      <c r="AP91" s="4">
        <v>10.85</v>
      </c>
    </row>
    <row r="92" spans="3:42" x14ac:dyDescent="0.2">
      <c r="C92" s="4"/>
      <c r="D92" s="11"/>
      <c r="E92" s="24"/>
      <c r="F92" s="4"/>
      <c r="G92" s="25"/>
      <c r="H92" s="3"/>
      <c r="I92" s="4"/>
      <c r="J92" s="4"/>
      <c r="K92" s="4"/>
      <c r="L92" s="4"/>
      <c r="M92" s="25"/>
      <c r="N92" s="35"/>
      <c r="O92" s="35"/>
      <c r="P92" s="4"/>
      <c r="Q92" s="4"/>
      <c r="AM92" s="1">
        <v>13</v>
      </c>
      <c r="AN92" s="1">
        <v>90</v>
      </c>
      <c r="AO92" s="4">
        <v>8.09</v>
      </c>
      <c r="AP92" s="4">
        <v>11.05</v>
      </c>
    </row>
    <row r="93" spans="3:42" x14ac:dyDescent="0.2">
      <c r="C93" s="4"/>
      <c r="D93" s="11"/>
      <c r="E93" s="24"/>
      <c r="F93" s="4"/>
      <c r="G93" s="25"/>
      <c r="H93" s="3"/>
      <c r="I93" s="4"/>
      <c r="J93" s="4"/>
      <c r="K93" s="4"/>
      <c r="L93" s="4"/>
      <c r="M93" s="25"/>
      <c r="N93" s="35"/>
      <c r="O93" s="35"/>
      <c r="P93" s="4"/>
      <c r="Q93" s="4"/>
      <c r="AM93" s="1">
        <v>13</v>
      </c>
      <c r="AN93" s="1">
        <v>91</v>
      </c>
      <c r="AO93" s="4">
        <v>8.2200000000000006</v>
      </c>
      <c r="AP93" s="4">
        <v>11.24</v>
      </c>
    </row>
    <row r="94" spans="3:42" x14ac:dyDescent="0.2">
      <c r="C94" s="4"/>
      <c r="D94" s="11"/>
      <c r="E94" s="24"/>
      <c r="F94" s="4"/>
      <c r="G94" s="25"/>
      <c r="H94" s="3"/>
      <c r="I94" s="4"/>
      <c r="J94" s="4"/>
      <c r="K94" s="4"/>
      <c r="L94" s="4"/>
      <c r="M94" s="25"/>
      <c r="N94" s="35"/>
      <c r="O94" s="35"/>
      <c r="P94" s="4"/>
      <c r="Q94" s="4"/>
      <c r="AM94" s="1">
        <v>14</v>
      </c>
      <c r="AN94" s="1">
        <v>92</v>
      </c>
      <c r="AO94" s="4">
        <v>8.35</v>
      </c>
      <c r="AP94" s="4">
        <v>11.44</v>
      </c>
    </row>
    <row r="95" spans="3:42" x14ac:dyDescent="0.2">
      <c r="C95" s="4"/>
      <c r="D95" s="11"/>
      <c r="E95" s="24"/>
      <c r="F95" s="4"/>
      <c r="G95" s="25"/>
      <c r="H95" s="3"/>
      <c r="I95" s="4"/>
      <c r="J95" s="4"/>
      <c r="K95" s="4"/>
      <c r="L95" s="4"/>
      <c r="M95" s="25"/>
      <c r="N95" s="35"/>
      <c r="O95" s="35"/>
      <c r="P95" s="4"/>
      <c r="Q95" s="4"/>
      <c r="AM95" s="1">
        <v>14</v>
      </c>
      <c r="AN95" s="1">
        <v>93</v>
      </c>
      <c r="AO95" s="4">
        <v>8.4700000000000006</v>
      </c>
      <c r="AP95" s="4">
        <v>11.63</v>
      </c>
    </row>
    <row r="96" spans="3:42" x14ac:dyDescent="0.2">
      <c r="C96" s="4"/>
      <c r="D96" s="11"/>
      <c r="E96" s="24"/>
      <c r="F96" s="4"/>
      <c r="G96" s="25"/>
      <c r="H96" s="3"/>
      <c r="I96" s="4"/>
      <c r="J96" s="4"/>
      <c r="K96" s="4"/>
      <c r="L96" s="4"/>
      <c r="M96" s="25"/>
      <c r="N96" s="35"/>
      <c r="O96" s="35"/>
      <c r="P96" s="4"/>
      <c r="Q96" s="4"/>
      <c r="AM96" s="1">
        <v>14</v>
      </c>
      <c r="AN96" s="1">
        <v>94</v>
      </c>
      <c r="AO96" s="4">
        <v>8.6</v>
      </c>
      <c r="AP96" s="4">
        <v>11.83</v>
      </c>
    </row>
    <row r="97" spans="3:42" x14ac:dyDescent="0.2">
      <c r="C97" s="4"/>
      <c r="D97" s="11"/>
      <c r="E97" s="24"/>
      <c r="F97" s="4"/>
      <c r="G97" s="25"/>
      <c r="H97" s="3"/>
      <c r="I97" s="4"/>
      <c r="J97" s="4"/>
      <c r="K97" s="4"/>
      <c r="L97" s="4"/>
      <c r="M97" s="25"/>
      <c r="N97" s="35"/>
      <c r="O97" s="35"/>
      <c r="P97" s="4"/>
      <c r="Q97" s="4"/>
      <c r="AM97" s="1">
        <v>14</v>
      </c>
      <c r="AN97" s="1">
        <v>95</v>
      </c>
      <c r="AO97" s="4">
        <v>8.7200000000000006</v>
      </c>
      <c r="AP97" s="4">
        <v>12.02</v>
      </c>
    </row>
    <row r="98" spans="3:42" x14ac:dyDescent="0.2">
      <c r="C98" s="4"/>
      <c r="D98" s="11"/>
      <c r="E98" s="24"/>
      <c r="F98" s="4"/>
      <c r="G98" s="25"/>
      <c r="H98" s="3"/>
      <c r="I98" s="4"/>
      <c r="J98" s="4"/>
      <c r="K98" s="4"/>
      <c r="L98" s="4"/>
      <c r="M98" s="25"/>
      <c r="N98" s="35"/>
      <c r="O98" s="35"/>
      <c r="P98" s="4"/>
      <c r="Q98" s="4"/>
      <c r="AM98" s="1">
        <v>14</v>
      </c>
      <c r="AN98" s="1">
        <v>96</v>
      </c>
      <c r="AO98" s="4">
        <v>8.85</v>
      </c>
      <c r="AP98" s="4">
        <v>12.22</v>
      </c>
    </row>
    <row r="99" spans="3:42" x14ac:dyDescent="0.2">
      <c r="C99" s="4"/>
      <c r="D99" s="11"/>
      <c r="E99" s="24"/>
      <c r="F99" s="4"/>
      <c r="G99" s="25"/>
      <c r="H99" s="3"/>
      <c r="I99" s="4"/>
      <c r="J99" s="4"/>
      <c r="K99" s="4"/>
      <c r="L99" s="4"/>
      <c r="M99" s="25"/>
      <c r="N99" s="35"/>
      <c r="O99" s="35"/>
      <c r="P99" s="4"/>
      <c r="Q99" s="4"/>
      <c r="AM99" s="1">
        <v>14</v>
      </c>
      <c r="AN99" s="1">
        <v>97</v>
      </c>
      <c r="AO99" s="4">
        <v>8.9700000000000006</v>
      </c>
      <c r="AP99" s="4">
        <v>12.41</v>
      </c>
    </row>
    <row r="100" spans="3:42" x14ac:dyDescent="0.2">
      <c r="C100" s="4"/>
      <c r="D100" s="11"/>
      <c r="E100" s="24"/>
      <c r="F100" s="4"/>
      <c r="G100" s="25"/>
      <c r="H100" s="3"/>
      <c r="I100" s="4"/>
      <c r="J100" s="4"/>
      <c r="K100" s="4"/>
      <c r="L100" s="4"/>
      <c r="M100" s="25"/>
      <c r="N100" s="35"/>
      <c r="O100" s="35"/>
      <c r="P100" s="4"/>
      <c r="Q100" s="4"/>
      <c r="AM100" s="1">
        <v>14</v>
      </c>
      <c r="AN100" s="1">
        <v>98</v>
      </c>
      <c r="AO100" s="4">
        <v>9.09</v>
      </c>
      <c r="AP100" s="4">
        <v>12.61</v>
      </c>
    </row>
    <row r="101" spans="3:42" x14ac:dyDescent="0.2">
      <c r="C101" s="4"/>
      <c r="D101" s="11"/>
      <c r="E101" s="24"/>
      <c r="F101" s="4"/>
      <c r="G101" s="25"/>
      <c r="H101" s="3"/>
      <c r="I101" s="4"/>
      <c r="J101" s="4"/>
      <c r="K101" s="4"/>
      <c r="L101" s="4"/>
      <c r="M101" s="25"/>
      <c r="N101" s="35"/>
      <c r="O101" s="35"/>
      <c r="P101" s="4"/>
      <c r="Q101" s="4"/>
      <c r="AM101" s="1">
        <v>15</v>
      </c>
      <c r="AN101" s="1">
        <v>99</v>
      </c>
      <c r="AO101" s="4">
        <v>9.2200000000000006</v>
      </c>
      <c r="AP101" s="4">
        <v>12.8</v>
      </c>
    </row>
    <row r="102" spans="3:42" x14ac:dyDescent="0.2">
      <c r="C102" s="4"/>
      <c r="D102" s="11"/>
      <c r="E102" s="24"/>
      <c r="F102" s="4"/>
      <c r="G102" s="25"/>
      <c r="H102" s="3"/>
      <c r="I102" s="4"/>
      <c r="J102" s="4"/>
      <c r="K102" s="4"/>
      <c r="L102" s="4"/>
      <c r="M102" s="25"/>
      <c r="N102" s="35"/>
      <c r="O102" s="35"/>
      <c r="P102" s="4"/>
      <c r="Q102" s="4"/>
      <c r="AM102" s="1">
        <v>15</v>
      </c>
      <c r="AN102" s="1">
        <v>100</v>
      </c>
      <c r="AO102" s="4">
        <v>9.34</v>
      </c>
      <c r="AP102" s="4">
        <v>13</v>
      </c>
    </row>
    <row r="103" spans="3:42" x14ac:dyDescent="0.2">
      <c r="C103" s="4"/>
      <c r="D103" s="11"/>
      <c r="E103" s="24"/>
      <c r="F103" s="4"/>
      <c r="G103" s="25"/>
      <c r="H103" s="3"/>
      <c r="I103" s="4"/>
      <c r="J103" s="4"/>
      <c r="K103" s="4"/>
      <c r="L103" s="4"/>
      <c r="M103" s="25"/>
      <c r="N103" s="35"/>
      <c r="O103" s="35"/>
      <c r="P103" s="4"/>
      <c r="Q103" s="4"/>
      <c r="AM103" s="1">
        <v>15</v>
      </c>
      <c r="AN103" s="1">
        <v>101</v>
      </c>
      <c r="AO103" s="4">
        <v>9.4600000000000009</v>
      </c>
      <c r="AP103" s="4">
        <v>13.19</v>
      </c>
    </row>
    <row r="104" spans="3:42" x14ac:dyDescent="0.2">
      <c r="C104" s="4"/>
      <c r="D104" s="11"/>
      <c r="E104" s="24"/>
      <c r="F104" s="4"/>
      <c r="G104" s="25"/>
      <c r="H104" s="3"/>
      <c r="I104" s="4"/>
      <c r="J104" s="4"/>
      <c r="K104" s="4"/>
      <c r="L104" s="4"/>
      <c r="M104" s="25"/>
      <c r="N104" s="35"/>
      <c r="O104" s="35"/>
      <c r="P104" s="4"/>
      <c r="Q104" s="4"/>
      <c r="AM104" s="1">
        <v>15</v>
      </c>
      <c r="AN104" s="1">
        <v>102</v>
      </c>
      <c r="AO104" s="4">
        <v>9.58</v>
      </c>
      <c r="AP104" s="4">
        <v>13.38</v>
      </c>
    </row>
    <row r="105" spans="3:42" x14ac:dyDescent="0.2">
      <c r="C105" s="4"/>
      <c r="D105" s="11"/>
      <c r="E105" s="24"/>
      <c r="F105" s="4"/>
      <c r="G105" s="25"/>
      <c r="H105" s="3"/>
      <c r="I105" s="4"/>
      <c r="J105" s="4"/>
      <c r="K105" s="4"/>
      <c r="L105" s="4"/>
      <c r="M105" s="25"/>
      <c r="N105" s="35"/>
      <c r="O105" s="35"/>
      <c r="P105" s="4"/>
      <c r="Q105" s="4"/>
      <c r="AM105" s="1">
        <v>15</v>
      </c>
      <c r="AN105" s="1">
        <v>103</v>
      </c>
      <c r="AO105" s="4">
        <v>9.6999999999999993</v>
      </c>
      <c r="AP105" s="4">
        <v>13.58</v>
      </c>
    </row>
    <row r="106" spans="3:42" x14ac:dyDescent="0.2">
      <c r="C106" s="4"/>
      <c r="D106" s="11"/>
      <c r="E106" s="24"/>
      <c r="F106" s="4"/>
      <c r="G106" s="25"/>
      <c r="H106" s="3"/>
      <c r="I106" s="4"/>
      <c r="J106" s="4"/>
      <c r="K106" s="4"/>
      <c r="L106" s="4"/>
      <c r="M106" s="25"/>
      <c r="N106" s="35"/>
      <c r="O106" s="35"/>
      <c r="P106" s="4"/>
      <c r="Q106" s="4"/>
      <c r="AM106" s="1">
        <v>15</v>
      </c>
      <c r="AN106" s="1">
        <v>104</v>
      </c>
      <c r="AO106" s="4">
        <v>9.82</v>
      </c>
      <c r="AP106" s="4">
        <v>13.77</v>
      </c>
    </row>
    <row r="107" spans="3:42" x14ac:dyDescent="0.2">
      <c r="C107" s="4"/>
      <c r="D107" s="11"/>
      <c r="E107" s="24"/>
      <c r="F107" s="4"/>
      <c r="G107" s="25"/>
      <c r="H107" s="3"/>
      <c r="I107" s="4"/>
      <c r="J107" s="4"/>
      <c r="K107" s="4"/>
      <c r="L107" s="4"/>
      <c r="M107" s="25"/>
      <c r="N107" s="35"/>
      <c r="O107" s="35"/>
      <c r="P107" s="4"/>
      <c r="Q107" s="4"/>
      <c r="AM107" s="1">
        <v>15</v>
      </c>
      <c r="AN107" s="1">
        <v>105</v>
      </c>
      <c r="AO107" s="4">
        <v>9.94</v>
      </c>
      <c r="AP107" s="4">
        <v>13.96</v>
      </c>
    </row>
    <row r="108" spans="3:42" x14ac:dyDescent="0.2">
      <c r="C108" s="4"/>
      <c r="D108" s="11"/>
      <c r="E108" s="24"/>
      <c r="F108" s="4"/>
      <c r="G108" s="25"/>
      <c r="H108" s="3"/>
      <c r="I108" s="4"/>
      <c r="J108" s="4"/>
      <c r="K108" s="4"/>
      <c r="L108" s="4"/>
      <c r="M108" s="25"/>
      <c r="N108" s="35"/>
      <c r="O108" s="35"/>
      <c r="P108" s="4"/>
      <c r="Q108" s="4"/>
      <c r="AM108" s="1">
        <v>16</v>
      </c>
      <c r="AN108" s="1">
        <v>106</v>
      </c>
      <c r="AO108" s="4">
        <v>10.050000000000001</v>
      </c>
      <c r="AP108" s="4">
        <v>14.15</v>
      </c>
    </row>
    <row r="109" spans="3:42" x14ac:dyDescent="0.2">
      <c r="C109" s="4"/>
      <c r="D109" s="11"/>
      <c r="E109" s="24"/>
      <c r="F109" s="4"/>
      <c r="G109" s="25"/>
      <c r="H109" s="3"/>
      <c r="I109" s="4"/>
      <c r="J109" s="4"/>
      <c r="K109" s="4"/>
      <c r="L109" s="4"/>
      <c r="M109" s="25"/>
      <c r="N109" s="35"/>
      <c r="O109" s="35"/>
      <c r="P109" s="4"/>
      <c r="Q109" s="4"/>
      <c r="AM109" s="1">
        <v>16</v>
      </c>
      <c r="AN109" s="1">
        <v>107</v>
      </c>
      <c r="AO109" s="4">
        <v>10.17</v>
      </c>
      <c r="AP109" s="4">
        <v>14.35</v>
      </c>
    </row>
    <row r="110" spans="3:42" x14ac:dyDescent="0.2">
      <c r="C110" s="4"/>
      <c r="D110" s="11"/>
      <c r="E110" s="24"/>
      <c r="F110" s="4"/>
      <c r="G110" s="25"/>
      <c r="H110" s="3"/>
      <c r="I110" s="4"/>
      <c r="J110" s="4"/>
      <c r="K110" s="4"/>
      <c r="L110" s="4"/>
      <c r="M110" s="25"/>
      <c r="N110" s="35"/>
      <c r="O110" s="35"/>
      <c r="P110" s="4"/>
      <c r="Q110" s="4"/>
      <c r="AM110" s="1">
        <v>16</v>
      </c>
      <c r="AN110" s="1">
        <v>108</v>
      </c>
      <c r="AO110" s="4">
        <v>10.29</v>
      </c>
      <c r="AP110" s="4">
        <v>14.54</v>
      </c>
    </row>
    <row r="111" spans="3:42" x14ac:dyDescent="0.2">
      <c r="C111" s="4"/>
      <c r="D111" s="11"/>
      <c r="E111" s="24"/>
      <c r="F111" s="4"/>
      <c r="G111" s="25"/>
      <c r="H111" s="3"/>
      <c r="I111" s="4"/>
      <c r="J111" s="4"/>
      <c r="K111" s="4"/>
      <c r="L111" s="4"/>
      <c r="M111" s="25"/>
      <c r="N111" s="35"/>
      <c r="O111" s="35"/>
      <c r="P111" s="4"/>
      <c r="Q111" s="4"/>
      <c r="AM111" s="1">
        <v>16</v>
      </c>
      <c r="AN111" s="1">
        <v>109</v>
      </c>
      <c r="AO111" s="4">
        <v>10.4</v>
      </c>
      <c r="AP111" s="4">
        <v>14.73</v>
      </c>
    </row>
    <row r="112" spans="3:42" x14ac:dyDescent="0.2">
      <c r="C112" s="4"/>
      <c r="D112" s="11"/>
      <c r="E112" s="24"/>
      <c r="F112" s="4"/>
      <c r="G112" s="25"/>
      <c r="H112" s="3"/>
      <c r="I112" s="4"/>
      <c r="J112" s="4"/>
      <c r="K112" s="4"/>
      <c r="L112" s="4"/>
      <c r="M112" s="25"/>
      <c r="N112" s="35"/>
      <c r="O112" s="35"/>
      <c r="P112" s="4"/>
      <c r="Q112" s="4"/>
      <c r="AM112" s="1">
        <v>16</v>
      </c>
      <c r="AN112" s="1">
        <v>110</v>
      </c>
      <c r="AO112" s="4">
        <v>10.52</v>
      </c>
      <c r="AP112" s="4">
        <v>14.92</v>
      </c>
    </row>
    <row r="113" spans="3:42" x14ac:dyDescent="0.2">
      <c r="C113" s="4"/>
      <c r="D113" s="11"/>
      <c r="E113" s="24"/>
      <c r="F113" s="4"/>
      <c r="G113" s="25"/>
      <c r="H113" s="3"/>
      <c r="I113" s="4"/>
      <c r="J113" s="4"/>
      <c r="K113" s="4"/>
      <c r="L113" s="4"/>
      <c r="M113" s="25"/>
      <c r="N113" s="35"/>
      <c r="O113" s="35"/>
      <c r="P113" s="4"/>
      <c r="Q113" s="4"/>
      <c r="AM113" s="1">
        <v>16</v>
      </c>
      <c r="AN113" s="1">
        <v>111</v>
      </c>
      <c r="AO113" s="4">
        <v>10.63</v>
      </c>
      <c r="AP113" s="4">
        <v>15.11</v>
      </c>
    </row>
    <row r="114" spans="3:42" x14ac:dyDescent="0.2">
      <c r="C114" s="4"/>
      <c r="D114" s="11"/>
      <c r="E114" s="24"/>
      <c r="F114" s="4"/>
      <c r="G114" s="25"/>
      <c r="H114" s="3"/>
      <c r="I114" s="4"/>
      <c r="J114" s="4"/>
      <c r="K114" s="4"/>
      <c r="L114" s="4"/>
      <c r="M114" s="25"/>
      <c r="N114" s="35"/>
      <c r="O114" s="35"/>
      <c r="P114" s="4"/>
      <c r="Q114" s="4"/>
      <c r="AM114" s="1">
        <v>16</v>
      </c>
      <c r="AN114" s="1">
        <v>112</v>
      </c>
      <c r="AO114" s="10">
        <v>10.74</v>
      </c>
      <c r="AP114" s="4">
        <v>15.3</v>
      </c>
    </row>
    <row r="115" spans="3:42" x14ac:dyDescent="0.2">
      <c r="C115" s="4"/>
      <c r="D115" s="11"/>
      <c r="E115" s="24"/>
      <c r="H115" s="3"/>
      <c r="AM115" s="1">
        <v>17</v>
      </c>
      <c r="AN115" s="1">
        <v>113</v>
      </c>
      <c r="AO115" s="4">
        <v>10.85</v>
      </c>
      <c r="AP115" s="4">
        <v>15.49</v>
      </c>
    </row>
    <row r="116" spans="3:42" x14ac:dyDescent="0.2">
      <c r="C116" s="4"/>
      <c r="D116" s="11"/>
      <c r="E116" s="24"/>
      <c r="H116" s="3"/>
      <c r="AM116" s="1">
        <v>17</v>
      </c>
      <c r="AN116" s="1">
        <v>114</v>
      </c>
      <c r="AO116" s="4">
        <v>10.97</v>
      </c>
      <c r="AP116" s="4">
        <v>14.58</v>
      </c>
    </row>
    <row r="117" spans="3:42" x14ac:dyDescent="0.2">
      <c r="C117" s="4"/>
      <c r="D117" s="11"/>
      <c r="E117" s="24"/>
      <c r="H117" s="3"/>
      <c r="AM117" s="1">
        <v>17</v>
      </c>
      <c r="AN117" s="1">
        <v>115</v>
      </c>
      <c r="AO117" s="4">
        <v>11.07</v>
      </c>
      <c r="AP117" s="4">
        <v>15.86</v>
      </c>
    </row>
    <row r="118" spans="3:42" x14ac:dyDescent="0.2">
      <c r="C118" s="4"/>
      <c r="D118" s="11"/>
      <c r="E118" s="24"/>
      <c r="H118" s="3"/>
      <c r="AM118" s="1">
        <v>17</v>
      </c>
      <c r="AN118" s="1">
        <v>116</v>
      </c>
      <c r="AO118" s="4">
        <v>11.18</v>
      </c>
      <c r="AP118" s="4">
        <v>16.05</v>
      </c>
    </row>
    <row r="119" spans="3:42" x14ac:dyDescent="0.2">
      <c r="C119" s="4"/>
      <c r="D119" s="11"/>
      <c r="E119" s="24"/>
      <c r="H119" s="3"/>
      <c r="AM119" s="1">
        <v>17</v>
      </c>
      <c r="AN119" s="1">
        <v>117</v>
      </c>
      <c r="AO119" s="4">
        <v>11.29</v>
      </c>
      <c r="AP119" s="4">
        <v>16.239999999999998</v>
      </c>
    </row>
    <row r="120" spans="3:42" x14ac:dyDescent="0.2">
      <c r="C120" s="4"/>
      <c r="D120" s="11"/>
      <c r="E120" s="24"/>
      <c r="H120" s="3"/>
      <c r="AM120" s="1">
        <v>17</v>
      </c>
      <c r="AN120" s="1">
        <v>118</v>
      </c>
      <c r="AO120" s="4">
        <v>11.4</v>
      </c>
      <c r="AP120" s="4">
        <v>16.420000000000002</v>
      </c>
    </row>
    <row r="121" spans="3:42" x14ac:dyDescent="0.2">
      <c r="C121" s="4"/>
      <c r="D121" s="11"/>
      <c r="E121" s="24"/>
      <c r="H121" s="3"/>
      <c r="AM121" s="1">
        <v>17</v>
      </c>
      <c r="AN121" s="1">
        <v>119</v>
      </c>
      <c r="AO121" s="4">
        <v>11.5</v>
      </c>
      <c r="AP121" s="4">
        <v>16.61</v>
      </c>
    </row>
    <row r="122" spans="3:42" x14ac:dyDescent="0.2">
      <c r="C122" s="4"/>
      <c r="D122" s="11"/>
      <c r="E122" s="24"/>
      <c r="H122" s="3"/>
      <c r="AM122" s="1">
        <v>18</v>
      </c>
      <c r="AN122" s="1">
        <v>120</v>
      </c>
      <c r="AO122" s="4">
        <v>11.61</v>
      </c>
      <c r="AP122" s="4">
        <v>16.8</v>
      </c>
    </row>
    <row r="123" spans="3:42" x14ac:dyDescent="0.2">
      <c r="C123" s="4"/>
      <c r="D123" s="11"/>
      <c r="E123" s="24"/>
      <c r="H123" s="3"/>
      <c r="AM123" s="1">
        <v>18</v>
      </c>
      <c r="AN123" s="1">
        <v>121</v>
      </c>
      <c r="AO123" s="4">
        <v>11.71</v>
      </c>
      <c r="AP123" s="4">
        <v>16.98</v>
      </c>
    </row>
    <row r="124" spans="3:42" x14ac:dyDescent="0.2">
      <c r="C124" s="4"/>
      <c r="D124" s="11"/>
      <c r="E124" s="24"/>
      <c r="H124" s="3"/>
      <c r="AM124" s="1">
        <v>18</v>
      </c>
      <c r="AN124" s="1">
        <v>122</v>
      </c>
      <c r="AO124" s="4">
        <v>11.82</v>
      </c>
      <c r="AP124" s="4">
        <v>17.16</v>
      </c>
    </row>
    <row r="125" spans="3:42" x14ac:dyDescent="0.2">
      <c r="C125" s="4"/>
      <c r="D125" s="11"/>
      <c r="E125" s="24"/>
      <c r="H125" s="3"/>
      <c r="AM125" s="1">
        <v>18</v>
      </c>
      <c r="AN125" s="1">
        <v>123</v>
      </c>
      <c r="AO125" s="4">
        <v>11.92</v>
      </c>
      <c r="AP125" s="4">
        <v>17.350000000000001</v>
      </c>
    </row>
    <row r="126" spans="3:42" x14ac:dyDescent="0.2">
      <c r="C126" s="4"/>
      <c r="D126" s="11"/>
      <c r="E126" s="24"/>
      <c r="H126" s="3"/>
      <c r="AM126" s="1">
        <v>18</v>
      </c>
      <c r="AN126" s="1">
        <v>124</v>
      </c>
      <c r="AO126" s="4">
        <v>12.02</v>
      </c>
      <c r="AP126" s="4">
        <v>17.53</v>
      </c>
    </row>
    <row r="127" spans="3:42" x14ac:dyDescent="0.2">
      <c r="C127" s="4"/>
      <c r="D127" s="11"/>
      <c r="E127" s="24"/>
      <c r="H127" s="3"/>
      <c r="AM127" s="1">
        <v>18</v>
      </c>
      <c r="AN127" s="1">
        <v>125</v>
      </c>
      <c r="AO127" s="4">
        <v>12.12</v>
      </c>
      <c r="AP127" s="4">
        <v>17.71</v>
      </c>
    </row>
    <row r="128" spans="3:42" x14ac:dyDescent="0.2">
      <c r="C128" s="4"/>
      <c r="D128" s="11"/>
      <c r="E128" s="24"/>
      <c r="H128" s="3"/>
      <c r="AM128" s="1">
        <v>18</v>
      </c>
      <c r="AN128" s="1">
        <v>126</v>
      </c>
      <c r="AO128" s="4">
        <v>12.22</v>
      </c>
      <c r="AP128" s="4">
        <v>17.899999999999999</v>
      </c>
    </row>
    <row r="129" spans="3:42" x14ac:dyDescent="0.2">
      <c r="C129" s="4"/>
      <c r="D129" s="11"/>
      <c r="E129" s="24"/>
      <c r="H129" s="3"/>
      <c r="AM129" s="1">
        <v>19</v>
      </c>
      <c r="AN129" s="1">
        <v>127</v>
      </c>
      <c r="AO129" s="4">
        <v>12.32</v>
      </c>
      <c r="AP129" s="4">
        <v>18.079999999999998</v>
      </c>
    </row>
    <row r="130" spans="3:42" x14ac:dyDescent="0.2">
      <c r="C130" s="4"/>
      <c r="D130" s="11"/>
      <c r="E130" s="24"/>
      <c r="H130" s="3"/>
      <c r="AM130" s="1">
        <v>19</v>
      </c>
      <c r="AN130" s="1">
        <v>128</v>
      </c>
      <c r="AO130" s="4">
        <v>12.41</v>
      </c>
      <c r="AP130" s="4">
        <v>18.260000000000002</v>
      </c>
    </row>
    <row r="131" spans="3:42" x14ac:dyDescent="0.2">
      <c r="C131" s="4"/>
      <c r="D131" s="11"/>
      <c r="E131" s="24"/>
      <c r="H131" s="3"/>
      <c r="AM131" s="1">
        <v>19</v>
      </c>
      <c r="AN131" s="1">
        <v>129</v>
      </c>
      <c r="AO131" s="4">
        <v>12.51</v>
      </c>
      <c r="AP131" s="4">
        <v>18.440000000000001</v>
      </c>
    </row>
    <row r="132" spans="3:42" x14ac:dyDescent="0.2">
      <c r="C132" s="4"/>
      <c r="D132" s="11"/>
      <c r="E132" s="24"/>
      <c r="H132" s="3"/>
      <c r="AM132" s="1">
        <v>19</v>
      </c>
      <c r="AN132" s="1">
        <v>130</v>
      </c>
      <c r="AO132" s="4">
        <v>12.6</v>
      </c>
      <c r="AP132" s="4">
        <v>18.62</v>
      </c>
    </row>
    <row r="133" spans="3:42" x14ac:dyDescent="0.2">
      <c r="C133" s="4"/>
      <c r="D133" s="11"/>
      <c r="E133" s="24"/>
      <c r="H133" s="3"/>
      <c r="AM133" s="1">
        <v>19</v>
      </c>
      <c r="AN133" s="1">
        <v>131</v>
      </c>
      <c r="AO133" s="4">
        <v>12.7</v>
      </c>
      <c r="AP133" s="4">
        <v>18.8</v>
      </c>
    </row>
    <row r="134" spans="3:42" x14ac:dyDescent="0.2">
      <c r="C134" s="4"/>
      <c r="D134" s="11"/>
      <c r="E134" s="24"/>
      <c r="H134" s="3"/>
      <c r="AM134" s="1">
        <v>19</v>
      </c>
      <c r="AN134" s="1">
        <v>132</v>
      </c>
      <c r="AO134" s="4">
        <v>12.79</v>
      </c>
      <c r="AP134" s="4">
        <v>18.98</v>
      </c>
    </row>
    <row r="135" spans="3:42" x14ac:dyDescent="0.2">
      <c r="C135" s="4"/>
      <c r="D135" s="11"/>
      <c r="E135" s="24"/>
      <c r="H135" s="3"/>
      <c r="AM135" s="1">
        <v>19</v>
      </c>
      <c r="AN135" s="1">
        <v>133</v>
      </c>
      <c r="AO135" s="4">
        <v>12.88</v>
      </c>
      <c r="AP135" s="4">
        <v>19.16</v>
      </c>
    </row>
    <row r="136" spans="3:42" x14ac:dyDescent="0.2">
      <c r="C136" s="4"/>
      <c r="D136" s="11"/>
      <c r="E136" s="24"/>
      <c r="H136" s="3"/>
      <c r="AM136" s="1">
        <v>20</v>
      </c>
      <c r="AN136" s="1">
        <v>134</v>
      </c>
      <c r="AO136" s="4">
        <v>12.97</v>
      </c>
      <c r="AP136" s="4">
        <v>19.329999999999998</v>
      </c>
    </row>
    <row r="137" spans="3:42" x14ac:dyDescent="0.2">
      <c r="C137" s="4"/>
      <c r="D137" s="11"/>
      <c r="E137" s="24"/>
      <c r="H137" s="3"/>
      <c r="AM137" s="1">
        <v>20</v>
      </c>
      <c r="AN137" s="1">
        <v>135</v>
      </c>
      <c r="AO137" s="4">
        <v>13.06</v>
      </c>
      <c r="AP137" s="4">
        <v>19.510000000000002</v>
      </c>
    </row>
    <row r="138" spans="3:42" x14ac:dyDescent="0.2">
      <c r="C138" s="4"/>
      <c r="D138" s="11"/>
      <c r="E138" s="24"/>
      <c r="H138" s="3"/>
      <c r="AM138" s="1">
        <v>20</v>
      </c>
      <c r="AN138" s="1">
        <v>136</v>
      </c>
      <c r="AO138" s="4">
        <v>12.15</v>
      </c>
      <c r="AP138" s="4">
        <v>19.690000000000001</v>
      </c>
    </row>
    <row r="139" spans="3:42" x14ac:dyDescent="0.2">
      <c r="C139" s="4"/>
      <c r="D139" s="11"/>
      <c r="E139" s="24"/>
      <c r="H139" s="3"/>
      <c r="AM139" s="1">
        <v>20</v>
      </c>
      <c r="AN139" s="1">
        <v>137</v>
      </c>
      <c r="AO139" s="4">
        <v>13.23</v>
      </c>
      <c r="AP139" s="4">
        <v>19.86</v>
      </c>
    </row>
    <row r="140" spans="3:42" x14ac:dyDescent="0.2">
      <c r="C140" s="4"/>
      <c r="D140" s="11"/>
      <c r="E140" s="24"/>
      <c r="H140" s="3"/>
      <c r="AM140" s="1">
        <v>20</v>
      </c>
      <c r="AN140" s="1">
        <v>138</v>
      </c>
      <c r="AO140" s="4">
        <v>13.32</v>
      </c>
      <c r="AP140" s="4">
        <v>20.04</v>
      </c>
    </row>
    <row r="141" spans="3:42" x14ac:dyDescent="0.2">
      <c r="C141" s="4"/>
      <c r="D141" s="11"/>
      <c r="E141" s="24"/>
      <c r="H141" s="3"/>
      <c r="AM141" s="1">
        <v>20</v>
      </c>
      <c r="AN141" s="1">
        <v>139</v>
      </c>
      <c r="AO141" s="4">
        <v>13.4</v>
      </c>
      <c r="AP141" s="4">
        <v>20.22</v>
      </c>
    </row>
    <row r="142" spans="3:42" x14ac:dyDescent="0.2">
      <c r="C142" s="4"/>
      <c r="D142" s="11"/>
      <c r="E142" s="24"/>
      <c r="H142" s="3"/>
      <c r="AM142" s="1">
        <v>20</v>
      </c>
      <c r="AN142" s="1">
        <v>140</v>
      </c>
      <c r="AO142" s="4">
        <v>13.49</v>
      </c>
      <c r="AP142" s="4">
        <v>20.39</v>
      </c>
    </row>
    <row r="143" spans="3:42" x14ac:dyDescent="0.2">
      <c r="C143" s="4"/>
      <c r="D143" s="11"/>
      <c r="E143" s="24"/>
      <c r="H143" s="3"/>
      <c r="AM143" s="1">
        <v>21</v>
      </c>
      <c r="AN143" s="1">
        <v>141</v>
      </c>
      <c r="AP143" s="4">
        <v>20.57</v>
      </c>
    </row>
    <row r="144" spans="3:42" x14ac:dyDescent="0.2">
      <c r="C144" s="4"/>
      <c r="D144" s="11"/>
      <c r="E144" s="24"/>
      <c r="H144" s="3"/>
      <c r="AM144" s="1">
        <v>21</v>
      </c>
      <c r="AN144" s="1">
        <v>142</v>
      </c>
      <c r="AP144" s="4">
        <v>20.74</v>
      </c>
    </row>
    <row r="145" spans="3:42" x14ac:dyDescent="0.2">
      <c r="C145" s="4"/>
      <c r="D145" s="11"/>
      <c r="E145" s="24"/>
      <c r="H145" s="3"/>
      <c r="AM145" s="1">
        <v>21</v>
      </c>
      <c r="AN145" s="1">
        <v>143</v>
      </c>
      <c r="AP145" s="4">
        <v>20.91</v>
      </c>
    </row>
    <row r="146" spans="3:42" x14ac:dyDescent="0.2">
      <c r="C146" s="4"/>
      <c r="D146" s="11"/>
      <c r="E146" s="24"/>
      <c r="H146" s="3"/>
      <c r="AM146" s="1">
        <v>21</v>
      </c>
      <c r="AN146" s="1">
        <v>144</v>
      </c>
      <c r="AP146" s="4">
        <v>21.09</v>
      </c>
    </row>
    <row r="147" spans="3:42" x14ac:dyDescent="0.2">
      <c r="C147" s="4"/>
      <c r="D147" s="11"/>
      <c r="E147" s="24"/>
      <c r="H147" s="3"/>
      <c r="AM147" s="1">
        <v>21</v>
      </c>
      <c r="AN147" s="1">
        <v>145</v>
      </c>
      <c r="AP147" s="4">
        <v>21.26</v>
      </c>
    </row>
    <row r="148" spans="3:42" x14ac:dyDescent="0.2">
      <c r="C148" s="4"/>
      <c r="D148" s="11"/>
      <c r="E148" s="24"/>
      <c r="H148" s="3"/>
      <c r="AM148" s="1">
        <v>21</v>
      </c>
      <c r="AN148" s="1">
        <v>146</v>
      </c>
      <c r="AP148" s="4">
        <v>21.43</v>
      </c>
    </row>
    <row r="149" spans="3:42" x14ac:dyDescent="0.2">
      <c r="C149" s="4"/>
      <c r="D149" s="11"/>
      <c r="E149" s="24"/>
      <c r="H149" s="3"/>
      <c r="AM149" s="1">
        <v>21</v>
      </c>
      <c r="AN149" s="1">
        <v>147</v>
      </c>
      <c r="AP149" s="10">
        <v>21.6</v>
      </c>
    </row>
    <row r="150" spans="3:42" x14ac:dyDescent="0.2">
      <c r="D150" s="11"/>
      <c r="E150" s="24"/>
      <c r="AM150" s="1">
        <v>22</v>
      </c>
      <c r="AN150" s="1">
        <v>148</v>
      </c>
      <c r="AP150" s="4">
        <v>21.78</v>
      </c>
    </row>
    <row r="151" spans="3:42" x14ac:dyDescent="0.2">
      <c r="I151" s="4"/>
      <c r="J151" s="4"/>
      <c r="K151" s="4"/>
      <c r="L151" s="4"/>
      <c r="M151" s="25"/>
      <c r="N151" s="35"/>
      <c r="O151" s="35"/>
      <c r="P151" s="4"/>
      <c r="Q151" s="4"/>
      <c r="AM151" s="1">
        <v>22</v>
      </c>
      <c r="AN151" s="1">
        <v>149</v>
      </c>
      <c r="AP151" s="4">
        <v>21.95</v>
      </c>
    </row>
    <row r="152" spans="3:42" x14ac:dyDescent="0.2">
      <c r="J152" s="12"/>
      <c r="K152" s="12"/>
      <c r="L152" s="12"/>
      <c r="M152" s="27"/>
      <c r="N152" s="38"/>
      <c r="O152" s="38"/>
      <c r="P152" s="12"/>
      <c r="Q152" s="12"/>
      <c r="AM152" s="1">
        <v>22</v>
      </c>
      <c r="AN152" s="1">
        <v>150</v>
      </c>
      <c r="AP152" s="4">
        <v>22.12</v>
      </c>
    </row>
    <row r="153" spans="3:42" x14ac:dyDescent="0.2">
      <c r="AM153" s="1">
        <v>22</v>
      </c>
      <c r="AN153" s="1">
        <v>151</v>
      </c>
      <c r="AP153" s="4">
        <v>22.29</v>
      </c>
    </row>
    <row r="154" spans="3:42" x14ac:dyDescent="0.2">
      <c r="AM154" s="1">
        <v>22</v>
      </c>
      <c r="AN154" s="1">
        <v>152</v>
      </c>
      <c r="AP154" s="4">
        <v>22.46</v>
      </c>
    </row>
    <row r="155" spans="3:42" x14ac:dyDescent="0.2">
      <c r="AM155" s="1">
        <v>22</v>
      </c>
      <c r="AN155" s="1">
        <v>153</v>
      </c>
      <c r="AP155" s="4">
        <v>22.63</v>
      </c>
    </row>
    <row r="156" spans="3:42" x14ac:dyDescent="0.2">
      <c r="AM156" s="1">
        <v>22</v>
      </c>
      <c r="AN156" s="1">
        <v>154</v>
      </c>
      <c r="AP156" s="4">
        <v>22.8</v>
      </c>
    </row>
    <row r="157" spans="3:42" x14ac:dyDescent="0.2">
      <c r="AM157" s="1">
        <v>23</v>
      </c>
      <c r="AN157" s="1">
        <v>155</v>
      </c>
      <c r="AP157" s="4">
        <v>22.97</v>
      </c>
    </row>
    <row r="158" spans="3:42" x14ac:dyDescent="0.2">
      <c r="AM158" s="1">
        <v>23</v>
      </c>
      <c r="AN158" s="1">
        <v>156</v>
      </c>
      <c r="AP158" s="4">
        <v>23.14</v>
      </c>
    </row>
    <row r="159" spans="3:42" x14ac:dyDescent="0.2">
      <c r="AM159" s="1">
        <v>23</v>
      </c>
      <c r="AN159" s="1">
        <v>157</v>
      </c>
      <c r="AP159" s="4">
        <v>23.31</v>
      </c>
    </row>
    <row r="160" spans="3:42" x14ac:dyDescent="0.2">
      <c r="AM160" s="1">
        <v>23</v>
      </c>
      <c r="AN160" s="1">
        <v>158</v>
      </c>
      <c r="AP160" s="4">
        <v>23.48</v>
      </c>
    </row>
    <row r="161" spans="39:42" x14ac:dyDescent="0.2">
      <c r="AM161" s="1">
        <v>23</v>
      </c>
      <c r="AN161" s="1">
        <v>159</v>
      </c>
      <c r="AP161" s="4">
        <v>23.65</v>
      </c>
    </row>
    <row r="162" spans="39:42" x14ac:dyDescent="0.2">
      <c r="AM162" s="1">
        <v>23</v>
      </c>
      <c r="AN162" s="1">
        <v>160</v>
      </c>
      <c r="AP162" s="4">
        <v>23.82</v>
      </c>
    </row>
    <row r="163" spans="39:42" x14ac:dyDescent="0.2">
      <c r="AM163" s="1">
        <v>23</v>
      </c>
      <c r="AN163" s="1">
        <v>161</v>
      </c>
      <c r="AP163" s="4">
        <v>23.98</v>
      </c>
    </row>
    <row r="164" spans="39:42" x14ac:dyDescent="0.2">
      <c r="AM164" s="1">
        <v>24</v>
      </c>
      <c r="AN164" s="1">
        <v>162</v>
      </c>
      <c r="AP164" s="4">
        <v>24.15</v>
      </c>
    </row>
    <row r="165" spans="39:42" x14ac:dyDescent="0.2">
      <c r="AM165" s="1">
        <v>24</v>
      </c>
      <c r="AN165" s="1">
        <v>163</v>
      </c>
      <c r="AP165" s="4">
        <v>24.32</v>
      </c>
    </row>
    <row r="166" spans="39:42" x14ac:dyDescent="0.2">
      <c r="AM166" s="1">
        <v>24</v>
      </c>
      <c r="AN166" s="1">
        <v>164</v>
      </c>
      <c r="AP166" s="4">
        <v>24.49</v>
      </c>
    </row>
    <row r="167" spans="39:42" x14ac:dyDescent="0.2">
      <c r="AM167" s="1">
        <v>24</v>
      </c>
      <c r="AN167" s="1">
        <v>165</v>
      </c>
      <c r="AP167" s="4">
        <v>24.65</v>
      </c>
    </row>
    <row r="168" spans="39:42" x14ac:dyDescent="0.2">
      <c r="AM168" s="1">
        <v>24</v>
      </c>
      <c r="AN168" s="1">
        <v>166</v>
      </c>
      <c r="AP168" s="4">
        <v>24.82</v>
      </c>
    </row>
    <row r="169" spans="39:42" x14ac:dyDescent="0.2">
      <c r="AM169" s="1">
        <v>24</v>
      </c>
      <c r="AN169" s="1">
        <v>167</v>
      </c>
      <c r="AP169" s="4">
        <v>24.99</v>
      </c>
    </row>
    <row r="170" spans="39:42" x14ac:dyDescent="0.2">
      <c r="AM170" s="1">
        <v>24</v>
      </c>
      <c r="AN170" s="1">
        <v>168</v>
      </c>
      <c r="AP170" s="4">
        <v>25.15</v>
      </c>
    </row>
  </sheetData>
  <sheetProtection algorithmName="SHA-512" hashValue="WFHex9dNr+pECJ4EXPd+1tQZ80TfmsOnU6Jjao///Ivh759jrxRtmZgvuqIfU3IeJdm1PB7dA30eMlWFrPStPw==" saltValue="+MqIOErRt5fR9SIRJYJZ4g==" spinCount="100000" sheet="1" objects="1" scenarios="1"/>
  <phoneticPr fontId="3" type="noConversion"/>
  <conditionalFormatting sqref="S1:S52">
    <cfRule type="cellIs" dxfId="0" priority="1" stopIfTrue="1" operator="equal">
      <formula>-999</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VLEESEENDEN</vt:lpstr>
      <vt:lpstr>wisselend debiet_eend</vt:lpstr>
      <vt:lpstr>Max waarden</vt:lpstr>
      <vt:lpstr>Reductietechnieken</vt:lpstr>
      <vt:lpstr>eenden</vt:lpstr>
      <vt:lpstr>VLEESEENDEN!Afdrukbereik</vt:lpstr>
      <vt:lpstr>'wisselend debiet_eend'!Afdruktitels</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van Emous</dc:creator>
  <cp:lastModifiedBy>Vierhuis, Esther (WVL)</cp:lastModifiedBy>
  <cp:lastPrinted>2021-02-01T12:14:06Z</cp:lastPrinted>
  <dcterms:created xsi:type="dcterms:W3CDTF">2010-11-01T16:40:05Z</dcterms:created>
  <dcterms:modified xsi:type="dcterms:W3CDTF">2021-03-12T10:59:29Z</dcterms:modified>
</cp:coreProperties>
</file>