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G:\wvl\LO_IM\Algemeen\OpdrachtenKR\Landbouw\Bijlage Rav_Rgv_Fijn stof\Wijziging Fijn stof lijst\0. Rekenmodel Vee-combistof\Rekenmodel V2 Excel TEST\"/>
    </mc:Choice>
  </mc:AlternateContent>
  <bookViews>
    <workbookView xWindow="-105" yWindow="-105" windowWidth="23250" windowHeight="12570" tabRatio="632"/>
  </bookViews>
  <sheets>
    <sheet name="VLEESKALKOENEN" sheetId="18" r:id="rId1"/>
    <sheet name="wisselend debiet &amp; reductie_hen" sheetId="19" state="hidden" r:id="rId2"/>
    <sheet name="wisselend debiet &amp;reductie_haan" sheetId="20" state="hidden" r:id="rId3"/>
    <sheet name="Max waarden" sheetId="15" state="hidden" r:id="rId4"/>
    <sheet name="Reductietechnieken" sheetId="14" state="hidden" r:id="rId5"/>
    <sheet name="kalkoenen" sheetId="2" state="hidden" r:id="rId6"/>
  </sheets>
  <definedNames>
    <definedName name="_xlnm.Print_Area" localSheetId="0">VLEESKALKOENEN!$A$1:$Q$34</definedName>
    <definedName name="_xlnm.Print_Titles" localSheetId="1">'wisselend debiet &amp; reductie_hen'!$A:$A</definedName>
    <definedName name="_xlnm.Print_Titles" localSheetId="2">'wisselend debiet &amp;reductie_haan'!$A:$A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 i="18" l="1"/>
  <c r="V7" i="19" l="1"/>
  <c r="M21" i="18" l="1"/>
  <c r="J25" i="18" l="1"/>
  <c r="E122" i="20"/>
  <c r="J122" i="20"/>
  <c r="L122" i="20" s="1"/>
  <c r="E123" i="20"/>
  <c r="J123" i="20"/>
  <c r="E124" i="20"/>
  <c r="J124" i="20"/>
  <c r="E125" i="20"/>
  <c r="J125" i="20"/>
  <c r="E126" i="20"/>
  <c r="J126" i="20"/>
  <c r="E127" i="20"/>
  <c r="J127" i="20"/>
  <c r="E128" i="20"/>
  <c r="J128" i="20"/>
  <c r="E129" i="20"/>
  <c r="J129" i="20"/>
  <c r="E130" i="20"/>
  <c r="J130" i="20"/>
  <c r="E131" i="20"/>
  <c r="J131" i="20"/>
  <c r="E132" i="20"/>
  <c r="J132" i="20"/>
  <c r="E133" i="20"/>
  <c r="J133" i="20"/>
  <c r="E134" i="20"/>
  <c r="J134" i="20"/>
  <c r="E135" i="20"/>
  <c r="J135" i="20"/>
  <c r="E136" i="20"/>
  <c r="J136" i="20"/>
  <c r="L136" i="20" s="1"/>
  <c r="E137" i="20"/>
  <c r="J137" i="20"/>
  <c r="E138" i="20"/>
  <c r="J138" i="20"/>
  <c r="L138" i="20"/>
  <c r="E139" i="20"/>
  <c r="J139" i="20"/>
  <c r="E140" i="20"/>
  <c r="J140" i="20"/>
  <c r="L140" i="20" s="1"/>
  <c r="E141" i="20"/>
  <c r="J141" i="20"/>
  <c r="E142" i="20"/>
  <c r="J142" i="20"/>
  <c r="E143" i="20"/>
  <c r="J143" i="20"/>
  <c r="E144" i="20"/>
  <c r="J144" i="20"/>
  <c r="E145" i="20"/>
  <c r="J145" i="20"/>
  <c r="E146" i="20"/>
  <c r="J146" i="20"/>
  <c r="L146" i="20" s="1"/>
  <c r="E147" i="20"/>
  <c r="J147" i="20"/>
  <c r="E148" i="20"/>
  <c r="J148" i="20"/>
  <c r="L148" i="20"/>
  <c r="E149" i="20"/>
  <c r="J149" i="20"/>
  <c r="E150" i="20"/>
  <c r="J150" i="20"/>
  <c r="L150" i="20" s="1"/>
  <c r="E151" i="20"/>
  <c r="J151" i="20"/>
  <c r="E152" i="20"/>
  <c r="J152" i="20"/>
  <c r="L152" i="20" s="1"/>
  <c r="E153" i="20"/>
  <c r="J153" i="20"/>
  <c r="E154" i="20"/>
  <c r="J154" i="20"/>
  <c r="E155" i="20"/>
  <c r="J155" i="20"/>
  <c r="E156" i="20"/>
  <c r="J156" i="20"/>
  <c r="J121" i="20"/>
  <c r="E121" i="20"/>
  <c r="J120" i="20"/>
  <c r="E120" i="20"/>
  <c r="J119" i="20"/>
  <c r="E119" i="20"/>
  <c r="J118" i="20"/>
  <c r="E118" i="20"/>
  <c r="J117" i="20"/>
  <c r="E117" i="20"/>
  <c r="J116" i="20"/>
  <c r="E116" i="20"/>
  <c r="J115" i="20"/>
  <c r="E115" i="20"/>
  <c r="J114" i="20"/>
  <c r="E114" i="20"/>
  <c r="J113" i="20"/>
  <c r="E113" i="20"/>
  <c r="J112" i="20"/>
  <c r="E112" i="20"/>
  <c r="J111" i="20"/>
  <c r="E111" i="20"/>
  <c r="J110" i="20"/>
  <c r="E110" i="20"/>
  <c r="J109" i="20"/>
  <c r="E109" i="20"/>
  <c r="J108" i="20"/>
  <c r="E108" i="20"/>
  <c r="J107" i="20"/>
  <c r="E107" i="20"/>
  <c r="J106" i="20"/>
  <c r="E106" i="20"/>
  <c r="J105" i="20"/>
  <c r="E105" i="20"/>
  <c r="J104" i="20"/>
  <c r="E104" i="20"/>
  <c r="J103" i="20"/>
  <c r="E103" i="20"/>
  <c r="J102" i="20"/>
  <c r="E102" i="20"/>
  <c r="J101" i="20"/>
  <c r="E101" i="20"/>
  <c r="J100" i="20"/>
  <c r="E100" i="20"/>
  <c r="J99" i="20"/>
  <c r="E99" i="20"/>
  <c r="J98" i="20"/>
  <c r="E98" i="20"/>
  <c r="J97" i="20"/>
  <c r="E97" i="20"/>
  <c r="J96" i="20"/>
  <c r="E96" i="20"/>
  <c r="J95" i="20"/>
  <c r="E95" i="20"/>
  <c r="J94" i="20"/>
  <c r="E94" i="20"/>
  <c r="J93" i="20"/>
  <c r="E93" i="20"/>
  <c r="J92" i="20"/>
  <c r="E92" i="20"/>
  <c r="J91" i="20"/>
  <c r="E91" i="20"/>
  <c r="J90" i="20"/>
  <c r="E90" i="20"/>
  <c r="J89" i="20"/>
  <c r="E89" i="20"/>
  <c r="J88" i="20"/>
  <c r="E88" i="20"/>
  <c r="J87" i="20"/>
  <c r="E87" i="20"/>
  <c r="J86" i="20"/>
  <c r="E86" i="20"/>
  <c r="J85" i="20"/>
  <c r="E85" i="20"/>
  <c r="J84" i="20"/>
  <c r="E84" i="20"/>
  <c r="J83" i="20"/>
  <c r="E83" i="20"/>
  <c r="J82" i="20"/>
  <c r="E82" i="20"/>
  <c r="J81" i="20"/>
  <c r="E81" i="20"/>
  <c r="J80" i="20"/>
  <c r="E80" i="20"/>
  <c r="J79" i="20"/>
  <c r="E79" i="20"/>
  <c r="J78" i="20"/>
  <c r="E78" i="20"/>
  <c r="J77" i="20"/>
  <c r="E77" i="20"/>
  <c r="J76" i="20"/>
  <c r="E76" i="20"/>
  <c r="J75" i="20"/>
  <c r="E75" i="20"/>
  <c r="J74" i="20"/>
  <c r="E74" i="20"/>
  <c r="J73" i="20"/>
  <c r="E73" i="20"/>
  <c r="J72" i="20"/>
  <c r="E72" i="20"/>
  <c r="J71" i="20"/>
  <c r="E71" i="20"/>
  <c r="J70" i="20"/>
  <c r="E70" i="20"/>
  <c r="J69" i="20"/>
  <c r="E69" i="20"/>
  <c r="J68" i="20"/>
  <c r="E68" i="20"/>
  <c r="J67" i="20"/>
  <c r="E67" i="20"/>
  <c r="J66" i="20"/>
  <c r="E66" i="20"/>
  <c r="J65" i="20"/>
  <c r="E65" i="20"/>
  <c r="J64" i="20"/>
  <c r="E64" i="20"/>
  <c r="J63" i="20"/>
  <c r="E63" i="20"/>
  <c r="J62" i="20"/>
  <c r="E62" i="20"/>
  <c r="J61" i="20"/>
  <c r="E61" i="20"/>
  <c r="J60" i="20"/>
  <c r="E60" i="20"/>
  <c r="J59" i="20"/>
  <c r="E59" i="20"/>
  <c r="J58" i="20"/>
  <c r="E58" i="20"/>
  <c r="J57" i="20"/>
  <c r="E57" i="20"/>
  <c r="J56" i="20"/>
  <c r="E56" i="20"/>
  <c r="J55" i="20"/>
  <c r="E55" i="20"/>
  <c r="J54" i="20"/>
  <c r="E54" i="20"/>
  <c r="J53" i="20"/>
  <c r="E53" i="20"/>
  <c r="J52" i="20"/>
  <c r="E52" i="20"/>
  <c r="J51" i="20"/>
  <c r="E51" i="20"/>
  <c r="J50" i="20"/>
  <c r="E50" i="20"/>
  <c r="J49" i="20"/>
  <c r="E49" i="20"/>
  <c r="J48" i="20"/>
  <c r="E48" i="20"/>
  <c r="J47" i="20"/>
  <c r="E47" i="20"/>
  <c r="J46" i="20"/>
  <c r="E46" i="20"/>
  <c r="J45" i="20"/>
  <c r="E45" i="20"/>
  <c r="J44" i="20"/>
  <c r="E44" i="20"/>
  <c r="J43" i="20"/>
  <c r="E43" i="20"/>
  <c r="J42" i="20"/>
  <c r="E42" i="20"/>
  <c r="J41" i="20"/>
  <c r="E41" i="20"/>
  <c r="J40" i="20"/>
  <c r="E40" i="20"/>
  <c r="J39" i="20"/>
  <c r="E39" i="20"/>
  <c r="J38" i="20"/>
  <c r="E38" i="20"/>
  <c r="J37" i="20"/>
  <c r="E37" i="20"/>
  <c r="J36" i="20"/>
  <c r="E36" i="20"/>
  <c r="J35" i="20"/>
  <c r="E35" i="20"/>
  <c r="J34" i="20"/>
  <c r="E34" i="20"/>
  <c r="J33" i="20"/>
  <c r="E33" i="20"/>
  <c r="J32" i="20"/>
  <c r="E32" i="20"/>
  <c r="J31" i="20"/>
  <c r="E31" i="20"/>
  <c r="J30" i="20"/>
  <c r="E30" i="20"/>
  <c r="J29" i="20"/>
  <c r="E29" i="20"/>
  <c r="J28" i="20"/>
  <c r="E28" i="20"/>
  <c r="J27" i="20"/>
  <c r="E27" i="20"/>
  <c r="J26" i="20"/>
  <c r="E26" i="20"/>
  <c r="J25" i="20"/>
  <c r="E25" i="20"/>
  <c r="AA24" i="20"/>
  <c r="J24" i="20"/>
  <c r="E24" i="20"/>
  <c r="AA23" i="20"/>
  <c r="J23" i="20"/>
  <c r="E23" i="20"/>
  <c r="J22" i="20"/>
  <c r="E22" i="20"/>
  <c r="J21" i="20"/>
  <c r="E21" i="20"/>
  <c r="J20" i="20"/>
  <c r="E20" i="20"/>
  <c r="J19" i="20"/>
  <c r="E19" i="20"/>
  <c r="AF18" i="20"/>
  <c r="AF19" i="20" s="1"/>
  <c r="AF21" i="20" s="1"/>
  <c r="AE18" i="20"/>
  <c r="AE19" i="20" s="1"/>
  <c r="AE21" i="20" s="1"/>
  <c r="AD18" i="20"/>
  <c r="AD19" i="20" s="1"/>
  <c r="AD21" i="20" s="1"/>
  <c r="AC18" i="20"/>
  <c r="AC19" i="20" s="1"/>
  <c r="AC21" i="20" s="1"/>
  <c r="J18" i="20"/>
  <c r="E18" i="20"/>
  <c r="J17" i="20"/>
  <c r="E17" i="20"/>
  <c r="J16" i="20"/>
  <c r="E16" i="20"/>
  <c r="J15" i="20"/>
  <c r="E15" i="20"/>
  <c r="J14" i="20"/>
  <c r="E14" i="20"/>
  <c r="J13" i="20"/>
  <c r="E13" i="20"/>
  <c r="AF12" i="20"/>
  <c r="AE12" i="20"/>
  <c r="AD12" i="20"/>
  <c r="AC12" i="20"/>
  <c r="J12" i="20"/>
  <c r="E12" i="20"/>
  <c r="J11" i="20"/>
  <c r="E11" i="20"/>
  <c r="AF10" i="20"/>
  <c r="AE10" i="20"/>
  <c r="AD10" i="20"/>
  <c r="AC10" i="20"/>
  <c r="J10" i="20"/>
  <c r="E10" i="20"/>
  <c r="J3" i="20"/>
  <c r="I35" i="15"/>
  <c r="G35" i="15"/>
  <c r="E35" i="15"/>
  <c r="C35" i="15"/>
  <c r="J11" i="19"/>
  <c r="L11" i="19" s="1"/>
  <c r="J12" i="19"/>
  <c r="L12" i="19" s="1"/>
  <c r="J13" i="19"/>
  <c r="J14" i="19"/>
  <c r="J15" i="19"/>
  <c r="L15" i="19" s="1"/>
  <c r="J16" i="19"/>
  <c r="L16" i="19" s="1"/>
  <c r="J17" i="19"/>
  <c r="J18" i="19"/>
  <c r="J19" i="19"/>
  <c r="L19" i="19" s="1"/>
  <c r="J20" i="19"/>
  <c r="L20" i="19" s="1"/>
  <c r="J21" i="19"/>
  <c r="J22" i="19"/>
  <c r="J23" i="19"/>
  <c r="L23" i="19" s="1"/>
  <c r="J24" i="19"/>
  <c r="L24" i="19" s="1"/>
  <c r="J25" i="19"/>
  <c r="J26" i="19"/>
  <c r="J27" i="19"/>
  <c r="L27" i="19" s="1"/>
  <c r="J28" i="19"/>
  <c r="L28" i="19" s="1"/>
  <c r="J29" i="19"/>
  <c r="J30" i="19"/>
  <c r="J31" i="19"/>
  <c r="L31" i="19" s="1"/>
  <c r="J32" i="19"/>
  <c r="L32" i="19" s="1"/>
  <c r="J33" i="19"/>
  <c r="J34" i="19"/>
  <c r="J35" i="19"/>
  <c r="L35" i="19" s="1"/>
  <c r="J36" i="19"/>
  <c r="L36" i="19" s="1"/>
  <c r="J37" i="19"/>
  <c r="J38" i="19"/>
  <c r="J39" i="19"/>
  <c r="L39" i="19" s="1"/>
  <c r="J40" i="19"/>
  <c r="L40" i="19" s="1"/>
  <c r="J41" i="19"/>
  <c r="J42" i="19"/>
  <c r="J43" i="19"/>
  <c r="L43" i="19" s="1"/>
  <c r="J44" i="19"/>
  <c r="L44" i="19" s="1"/>
  <c r="J45" i="19"/>
  <c r="J46" i="19"/>
  <c r="J47" i="19"/>
  <c r="L47" i="19" s="1"/>
  <c r="J48" i="19"/>
  <c r="L48" i="19" s="1"/>
  <c r="J49" i="19"/>
  <c r="J50" i="19"/>
  <c r="J51" i="19"/>
  <c r="L51" i="19" s="1"/>
  <c r="J52" i="19"/>
  <c r="L52" i="19" s="1"/>
  <c r="J53" i="19"/>
  <c r="J54" i="19"/>
  <c r="J55" i="19"/>
  <c r="L55" i="19" s="1"/>
  <c r="J56" i="19"/>
  <c r="L56" i="19" s="1"/>
  <c r="J57" i="19"/>
  <c r="J58" i="19"/>
  <c r="J59" i="19"/>
  <c r="L59" i="19" s="1"/>
  <c r="J60" i="19"/>
  <c r="L60" i="19" s="1"/>
  <c r="J61" i="19"/>
  <c r="J62" i="19"/>
  <c r="J63" i="19"/>
  <c r="L63" i="19" s="1"/>
  <c r="J64" i="19"/>
  <c r="L64" i="19" s="1"/>
  <c r="J65" i="19"/>
  <c r="J66" i="19"/>
  <c r="J67" i="19"/>
  <c r="L67" i="19" s="1"/>
  <c r="J68" i="19"/>
  <c r="L68" i="19" s="1"/>
  <c r="J69" i="19"/>
  <c r="J70" i="19"/>
  <c r="J71" i="19"/>
  <c r="L71" i="19" s="1"/>
  <c r="J72" i="19"/>
  <c r="L72" i="19" s="1"/>
  <c r="J73" i="19"/>
  <c r="J74" i="19"/>
  <c r="J75" i="19"/>
  <c r="L75" i="19" s="1"/>
  <c r="J76" i="19"/>
  <c r="L76" i="19" s="1"/>
  <c r="J77" i="19"/>
  <c r="J78" i="19"/>
  <c r="J79" i="19"/>
  <c r="L79" i="19" s="1"/>
  <c r="J80" i="19"/>
  <c r="L80" i="19" s="1"/>
  <c r="J81" i="19"/>
  <c r="J82" i="19"/>
  <c r="J83" i="19"/>
  <c r="L83" i="19" s="1"/>
  <c r="J84" i="19"/>
  <c r="L84" i="19" s="1"/>
  <c r="J85" i="19"/>
  <c r="J86" i="19"/>
  <c r="J87" i="19"/>
  <c r="L87" i="19" s="1"/>
  <c r="J88" i="19"/>
  <c r="L88" i="19" s="1"/>
  <c r="J89" i="19"/>
  <c r="J90" i="19"/>
  <c r="J91" i="19"/>
  <c r="L91" i="19" s="1"/>
  <c r="J92" i="19"/>
  <c r="L92" i="19" s="1"/>
  <c r="J93" i="19"/>
  <c r="J94" i="19"/>
  <c r="J95" i="19"/>
  <c r="L95" i="19" s="1"/>
  <c r="J96" i="19"/>
  <c r="L96" i="19" s="1"/>
  <c r="J97" i="19"/>
  <c r="J98" i="19"/>
  <c r="J99" i="19"/>
  <c r="L99" i="19" s="1"/>
  <c r="J100" i="19"/>
  <c r="L100" i="19" s="1"/>
  <c r="J101" i="19"/>
  <c r="J102" i="19"/>
  <c r="J103" i="19"/>
  <c r="L103" i="19" s="1"/>
  <c r="J104" i="19"/>
  <c r="L104" i="19" s="1"/>
  <c r="J105" i="19"/>
  <c r="J106" i="19"/>
  <c r="J107" i="19"/>
  <c r="L107" i="19" s="1"/>
  <c r="J108" i="19"/>
  <c r="L108" i="19" s="1"/>
  <c r="J109" i="19"/>
  <c r="J110" i="19"/>
  <c r="J111" i="19"/>
  <c r="L111" i="19" s="1"/>
  <c r="J112" i="19"/>
  <c r="L112" i="19" s="1"/>
  <c r="J113" i="19"/>
  <c r="J114" i="19"/>
  <c r="J115" i="19"/>
  <c r="L115" i="19" s="1"/>
  <c r="J116" i="19"/>
  <c r="L116" i="19" s="1"/>
  <c r="J117" i="19"/>
  <c r="J118" i="19"/>
  <c r="J119" i="19"/>
  <c r="L119" i="19" s="1"/>
  <c r="J120" i="19"/>
  <c r="L120" i="19" s="1"/>
  <c r="J121" i="19"/>
  <c r="J10"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10" i="19"/>
  <c r="L10" i="19" l="1"/>
  <c r="L118" i="19"/>
  <c r="L114" i="19"/>
  <c r="L110" i="19"/>
  <c r="L106" i="19"/>
  <c r="L102" i="19"/>
  <c r="L98" i="19"/>
  <c r="L94" i="19"/>
  <c r="L90" i="19"/>
  <c r="L86" i="19"/>
  <c r="L82" i="19"/>
  <c r="L78" i="19"/>
  <c r="L74" i="19"/>
  <c r="L70" i="19"/>
  <c r="L66" i="19"/>
  <c r="L62" i="19"/>
  <c r="L58" i="19"/>
  <c r="L54" i="19"/>
  <c r="L50" i="19"/>
  <c r="L46" i="19"/>
  <c r="L42" i="19"/>
  <c r="L38" i="19"/>
  <c r="L34" i="19"/>
  <c r="L30" i="19"/>
  <c r="L26" i="19"/>
  <c r="L22" i="19"/>
  <c r="L18" i="19"/>
  <c r="L14" i="19"/>
  <c r="L121" i="19"/>
  <c r="L117" i="19"/>
  <c r="L113" i="19"/>
  <c r="L109" i="19"/>
  <c r="L105" i="19"/>
  <c r="L101" i="19"/>
  <c r="L97" i="19"/>
  <c r="L93" i="19"/>
  <c r="L89" i="19"/>
  <c r="L85" i="19"/>
  <c r="L81" i="19"/>
  <c r="L77" i="19"/>
  <c r="L73" i="19"/>
  <c r="L69" i="19"/>
  <c r="L65" i="19"/>
  <c r="L61" i="19"/>
  <c r="L57" i="19"/>
  <c r="L53" i="19"/>
  <c r="L49" i="19"/>
  <c r="L45" i="19"/>
  <c r="L41" i="19"/>
  <c r="L37" i="19"/>
  <c r="L33" i="19"/>
  <c r="L29" i="19"/>
  <c r="L25" i="19"/>
  <c r="L21" i="19"/>
  <c r="L17" i="19"/>
  <c r="L13" i="19"/>
  <c r="L153" i="20"/>
  <c r="L151" i="20"/>
  <c r="L144" i="20"/>
  <c r="L142" i="20"/>
  <c r="L41" i="20"/>
  <c r="L119" i="20"/>
  <c r="L149" i="20"/>
  <c r="L147" i="20"/>
  <c r="L156" i="20"/>
  <c r="L139" i="20"/>
  <c r="L154" i="20"/>
  <c r="L155" i="20"/>
  <c r="L137" i="20"/>
  <c r="L127" i="20"/>
  <c r="L145" i="20"/>
  <c r="L143" i="20"/>
  <c r="L135" i="20"/>
  <c r="L133" i="20"/>
  <c r="L128" i="20"/>
  <c r="L141" i="20"/>
  <c r="L130" i="20"/>
  <c r="L134" i="20"/>
  <c r="L131" i="20"/>
  <c r="L126" i="20"/>
  <c r="L125" i="20"/>
  <c r="L123" i="20"/>
  <c r="L132" i="20"/>
  <c r="L129" i="20"/>
  <c r="L124" i="20"/>
  <c r="L38" i="20"/>
  <c r="L51" i="20"/>
  <c r="L15" i="20"/>
  <c r="L16" i="20"/>
  <c r="L19" i="20"/>
  <c r="L24" i="20"/>
  <c r="L34" i="20"/>
  <c r="L11" i="20"/>
  <c r="L29" i="20"/>
  <c r="L31" i="20"/>
  <c r="L35" i="20"/>
  <c r="L23" i="20"/>
  <c r="L121" i="20"/>
  <c r="L12" i="20"/>
  <c r="L39" i="20"/>
  <c r="L20" i="20"/>
  <c r="L45" i="20"/>
  <c r="L103" i="20"/>
  <c r="L26" i="20"/>
  <c r="L30" i="20"/>
  <c r="L33" i="20"/>
  <c r="L10" i="20"/>
  <c r="L14" i="20"/>
  <c r="L18" i="20"/>
  <c r="L22" i="20"/>
  <c r="L25" i="20"/>
  <c r="L27" i="20"/>
  <c r="L13" i="20"/>
  <c r="L17" i="20"/>
  <c r="L21" i="20"/>
  <c r="E161" i="20"/>
  <c r="E159" i="20"/>
  <c r="L28" i="20"/>
  <c r="L37" i="20"/>
  <c r="L32" i="20"/>
  <c r="L42" i="20"/>
  <c r="L48" i="20"/>
  <c r="L44" i="20"/>
  <c r="O174" i="20"/>
  <c r="L40" i="20"/>
  <c r="L47" i="20"/>
  <c r="L50" i="20"/>
  <c r="L53" i="20"/>
  <c r="L55" i="20"/>
  <c r="L57" i="20"/>
  <c r="L59" i="20"/>
  <c r="L61" i="20"/>
  <c r="L63" i="20"/>
  <c r="L65" i="20"/>
  <c r="L67" i="20"/>
  <c r="L69" i="20"/>
  <c r="L36" i="20"/>
  <c r="L43" i="20"/>
  <c r="L46" i="20"/>
  <c r="L49" i="20"/>
  <c r="L52" i="20"/>
  <c r="L54" i="20"/>
  <c r="L56" i="20"/>
  <c r="L58" i="20"/>
  <c r="L60" i="20"/>
  <c r="L62" i="20"/>
  <c r="L64" i="20"/>
  <c r="L66" i="20"/>
  <c r="L68" i="20"/>
  <c r="L71" i="20"/>
  <c r="L75" i="20"/>
  <c r="L78" i="20"/>
  <c r="L85" i="20"/>
  <c r="L92" i="20"/>
  <c r="L95" i="20"/>
  <c r="L96" i="20"/>
  <c r="L100" i="20"/>
  <c r="L107" i="20"/>
  <c r="L70" i="20"/>
  <c r="L72" i="20"/>
  <c r="L77" i="20"/>
  <c r="L84" i="20"/>
  <c r="L87" i="20"/>
  <c r="L88" i="20"/>
  <c r="L97" i="20"/>
  <c r="L98" i="20"/>
  <c r="L74" i="20"/>
  <c r="L79" i="20"/>
  <c r="L80" i="20"/>
  <c r="L89" i="20"/>
  <c r="L90" i="20"/>
  <c r="L102" i="20"/>
  <c r="L108" i="20"/>
  <c r="L116" i="20"/>
  <c r="L73" i="20"/>
  <c r="L76" i="20"/>
  <c r="L81" i="20"/>
  <c r="L82" i="20"/>
  <c r="L93" i="20"/>
  <c r="L106" i="20"/>
  <c r="L109" i="20"/>
  <c r="L112" i="20"/>
  <c r="L117" i="20"/>
  <c r="L83" i="20"/>
  <c r="L86" i="20"/>
  <c r="L91" i="20"/>
  <c r="L94" i="20"/>
  <c r="L99" i="20"/>
  <c r="L104" i="20"/>
  <c r="L120" i="20"/>
  <c r="L101" i="20"/>
  <c r="L111" i="20"/>
  <c r="L114" i="20"/>
  <c r="L115" i="20"/>
  <c r="L105" i="20"/>
  <c r="L110" i="20"/>
  <c r="L113" i="20"/>
  <c r="L118" i="20"/>
  <c r="L161" i="20" l="1"/>
  <c r="L162" i="20" s="1"/>
  <c r="L163" i="20" s="1"/>
  <c r="L8" i="20" s="1"/>
  <c r="AD22" i="20"/>
  <c r="AD23" i="20" s="1"/>
  <c r="AC13" i="20"/>
  <c r="AC14" i="20" s="1"/>
  <c r="AD13" i="20"/>
  <c r="AD14" i="20" s="1"/>
  <c r="AD24" i="20" s="1"/>
  <c r="AC22" i="20"/>
  <c r="AC23" i="20" s="1"/>
  <c r="AD25" i="20" l="1"/>
  <c r="AC24" i="20"/>
  <c r="AC25" i="20" l="1"/>
  <c r="E23" i="18" l="1"/>
  <c r="I15" i="18" l="1"/>
  <c r="I12" i="18" l="1"/>
  <c r="C54" i="14" l="1"/>
  <c r="E128" i="19" l="1"/>
  <c r="E126" i="19"/>
  <c r="B126" i="19"/>
  <c r="AA24" i="19"/>
  <c r="AA23" i="19"/>
  <c r="AF18" i="19"/>
  <c r="AF19" i="19" s="1"/>
  <c r="AF21" i="19" s="1"/>
  <c r="AE18" i="19"/>
  <c r="AE19" i="19" s="1"/>
  <c r="AE21" i="19" s="1"/>
  <c r="AD18" i="19"/>
  <c r="AD19" i="19" s="1"/>
  <c r="AD21" i="19" s="1"/>
  <c r="AC18" i="19"/>
  <c r="AC19" i="19" s="1"/>
  <c r="AC21" i="19" s="1"/>
  <c r="AF12" i="19"/>
  <c r="AE12" i="19"/>
  <c r="AD12" i="19"/>
  <c r="AC12" i="19"/>
  <c r="AF10" i="19"/>
  <c r="AE10" i="19"/>
  <c r="AD10" i="19"/>
  <c r="AC10" i="19"/>
  <c r="J3" i="19"/>
  <c r="AC13" i="19" l="1"/>
  <c r="AC14" i="19" s="1"/>
  <c r="AD13" i="19" l="1"/>
  <c r="AD14" i="19" s="1"/>
  <c r="O141" i="19" l="1"/>
  <c r="AC22" i="19"/>
  <c r="AC23" i="19" s="1"/>
  <c r="AC24" i="19" s="1"/>
  <c r="AD22" i="19"/>
  <c r="AD23" i="19" s="1"/>
  <c r="AD24" i="19" s="1"/>
  <c r="D33" i="18" l="1"/>
  <c r="E20" i="18"/>
  <c r="E6" i="18"/>
  <c r="F20" i="18" l="1"/>
  <c r="M19" i="18" s="1"/>
  <c r="H19" i="18" l="1"/>
  <c r="R5" i="20"/>
  <c r="F14" i="18"/>
  <c r="M16" i="18" s="1"/>
  <c r="H14" i="18" l="1"/>
  <c r="R4" i="20"/>
  <c r="R7" i="20"/>
  <c r="H124" i="20"/>
  <c r="H128" i="20"/>
  <c r="H129" i="20"/>
  <c r="H132" i="20"/>
  <c r="H138" i="20"/>
  <c r="H142" i="20"/>
  <c r="M144" i="20"/>
  <c r="H148" i="20"/>
  <c r="M151" i="20"/>
  <c r="H155" i="20"/>
  <c r="H125" i="20"/>
  <c r="H133" i="20"/>
  <c r="H136" i="20"/>
  <c r="H144" i="20"/>
  <c r="H152" i="20"/>
  <c r="H156" i="20"/>
  <c r="M122" i="20"/>
  <c r="H126" i="20"/>
  <c r="H127" i="20"/>
  <c r="H134" i="20"/>
  <c r="H146" i="20"/>
  <c r="M149" i="20"/>
  <c r="H122" i="20"/>
  <c r="H130" i="20"/>
  <c r="H131" i="20"/>
  <c r="H135" i="20"/>
  <c r="M138" i="20"/>
  <c r="H140" i="20"/>
  <c r="M142" i="20"/>
  <c r="M147" i="20"/>
  <c r="H150" i="20"/>
  <c r="M153" i="20"/>
  <c r="H154" i="20"/>
  <c r="M148" i="20"/>
  <c r="M136" i="20"/>
  <c r="M145" i="20"/>
  <c r="M139" i="20"/>
  <c r="H153" i="20"/>
  <c r="H151" i="20"/>
  <c r="H149" i="20"/>
  <c r="H147" i="20"/>
  <c r="M137" i="20"/>
  <c r="H123" i="20"/>
  <c r="M23" i="20"/>
  <c r="X23" i="20" s="1"/>
  <c r="M31" i="20"/>
  <c r="X31" i="20" s="1"/>
  <c r="M152" i="20"/>
  <c r="M150" i="20"/>
  <c r="M146" i="20"/>
  <c r="H139" i="20"/>
  <c r="H137" i="20"/>
  <c r="M140" i="20"/>
  <c r="M15" i="20"/>
  <c r="X15" i="20" s="1"/>
  <c r="M19" i="20"/>
  <c r="X19" i="20" s="1"/>
  <c r="H119" i="20"/>
  <c r="H116" i="20"/>
  <c r="H114" i="20"/>
  <c r="H108" i="20"/>
  <c r="H113" i="20"/>
  <c r="M14" i="20"/>
  <c r="X14" i="20" s="1"/>
  <c r="M66" i="20"/>
  <c r="M16" i="20"/>
  <c r="X16" i="20" s="1"/>
  <c r="H115" i="20"/>
  <c r="H109" i="20"/>
  <c r="H103" i="20"/>
  <c r="H111" i="20"/>
  <c r="H98" i="20"/>
  <c r="H99" i="20"/>
  <c r="H145" i="20"/>
  <c r="M11" i="20"/>
  <c r="X11" i="20" s="1"/>
  <c r="M24" i="20"/>
  <c r="X24" i="20" s="1"/>
  <c r="H107" i="20"/>
  <c r="H101" i="20"/>
  <c r="M123" i="20"/>
  <c r="H112" i="20"/>
  <c r="H143" i="20"/>
  <c r="H141" i="20"/>
  <c r="H121" i="20"/>
  <c r="M119" i="20"/>
  <c r="M51" i="20"/>
  <c r="X51" i="20" s="1"/>
  <c r="M22" i="20"/>
  <c r="X22" i="20" s="1"/>
  <c r="H105" i="20"/>
  <c r="H106" i="20"/>
  <c r="M104" i="20"/>
  <c r="M38" i="20"/>
  <c r="X38" i="20" s="1"/>
  <c r="P160" i="20"/>
  <c r="H120" i="20"/>
  <c r="H118" i="20"/>
  <c r="H117" i="20"/>
  <c r="M29" i="20"/>
  <c r="X29" i="20" s="1"/>
  <c r="M100" i="20"/>
  <c r="H110" i="20"/>
  <c r="M102" i="20"/>
  <c r="H104" i="20"/>
  <c r="M18" i="20"/>
  <c r="X18" i="20" s="1"/>
  <c r="M41" i="20"/>
  <c r="X41" i="20" s="1"/>
  <c r="H100" i="20"/>
  <c r="H102" i="20"/>
  <c r="M76" i="20"/>
  <c r="M120" i="20"/>
  <c r="M63" i="20"/>
  <c r="M89" i="20"/>
  <c r="M32" i="20"/>
  <c r="X32" i="20" s="1"/>
  <c r="M59" i="20"/>
  <c r="M12" i="20"/>
  <c r="X12" i="20" s="1"/>
  <c r="M129" i="20"/>
  <c r="M134" i="20"/>
  <c r="M131" i="20"/>
  <c r="M133" i="20"/>
  <c r="M135" i="20"/>
  <c r="M143" i="20"/>
  <c r="M77" i="20"/>
  <c r="M108" i="20"/>
  <c r="M55" i="20"/>
  <c r="M99" i="20"/>
  <c r="M79" i="20"/>
  <c r="M75" i="20"/>
  <c r="M10" i="20"/>
  <c r="X10" i="20" s="1"/>
  <c r="M54" i="20"/>
  <c r="M50" i="20"/>
  <c r="X50" i="20" s="1"/>
  <c r="M35" i="20"/>
  <c r="X35" i="20" s="1"/>
  <c r="M125" i="20"/>
  <c r="M127" i="20"/>
  <c r="M155" i="20"/>
  <c r="M132" i="20"/>
  <c r="M128" i="20"/>
  <c r="M156" i="20"/>
  <c r="M39" i="20"/>
  <c r="X39" i="20" s="1"/>
  <c r="M62" i="20"/>
  <c r="M97" i="20"/>
  <c r="M45" i="20"/>
  <c r="X45" i="20" s="1"/>
  <c r="M81" i="20"/>
  <c r="M71" i="20"/>
  <c r="M21" i="20"/>
  <c r="X21" i="20" s="1"/>
  <c r="M36" i="20"/>
  <c r="X36" i="20" s="1"/>
  <c r="M40" i="20"/>
  <c r="X40" i="20" s="1"/>
  <c r="M34" i="20"/>
  <c r="X34" i="20" s="1"/>
  <c r="M154" i="20"/>
  <c r="M126" i="20"/>
  <c r="M141" i="20"/>
  <c r="M124" i="20"/>
  <c r="M130" i="20"/>
  <c r="M33" i="20"/>
  <c r="X33" i="20" s="1"/>
  <c r="M67" i="20"/>
  <c r="M103" i="20"/>
  <c r="M58" i="20"/>
  <c r="M73" i="20"/>
  <c r="M64" i="20"/>
  <c r="M115" i="20"/>
  <c r="M101" i="20"/>
  <c r="M74" i="20"/>
  <c r="M52" i="20"/>
  <c r="M90" i="20"/>
  <c r="M98" i="20"/>
  <c r="M30" i="20"/>
  <c r="X30" i="20" s="1"/>
  <c r="M27" i="20"/>
  <c r="X27" i="20" s="1"/>
  <c r="M111" i="20"/>
  <c r="M60" i="20"/>
  <c r="M43" i="20"/>
  <c r="X43" i="20" s="1"/>
  <c r="M85" i="20"/>
  <c r="M109" i="20"/>
  <c r="M83" i="20"/>
  <c r="M68" i="20"/>
  <c r="M53" i="20"/>
  <c r="M91" i="20"/>
  <c r="M72" i="20"/>
  <c r="M96" i="20"/>
  <c r="M47" i="20"/>
  <c r="X47" i="20" s="1"/>
  <c r="M26" i="20"/>
  <c r="X26" i="20" s="1"/>
  <c r="M121" i="20"/>
  <c r="M44" i="20"/>
  <c r="X44" i="20" s="1"/>
  <c r="M92" i="20"/>
  <c r="M49" i="20"/>
  <c r="X49" i="20" s="1"/>
  <c r="M61" i="20"/>
  <c r="M113" i="20"/>
  <c r="M107" i="20"/>
  <c r="M65" i="20"/>
  <c r="M80" i="20"/>
  <c r="M78" i="20"/>
  <c r="M86" i="20"/>
  <c r="M88" i="20"/>
  <c r="M42" i="20"/>
  <c r="X42" i="20" s="1"/>
  <c r="M13" i="20"/>
  <c r="X13" i="20" s="1"/>
  <c r="M116" i="20"/>
  <c r="M70" i="20"/>
  <c r="M94" i="20"/>
  <c r="M95" i="20"/>
  <c r="M57" i="20"/>
  <c r="M48" i="20"/>
  <c r="X48" i="20" s="1"/>
  <c r="M46" i="20"/>
  <c r="X46" i="20" s="1"/>
  <c r="M25" i="20"/>
  <c r="X25" i="20" s="1"/>
  <c r="M17" i="20"/>
  <c r="X17" i="20" s="1"/>
  <c r="M114" i="20"/>
  <c r="M118" i="20"/>
  <c r="M37" i="20"/>
  <c r="X37" i="20" s="1"/>
  <c r="M117" i="20"/>
  <c r="M112" i="20"/>
  <c r="M87" i="20"/>
  <c r="M105" i="20"/>
  <c r="M56" i="20"/>
  <c r="M28" i="20"/>
  <c r="X28" i="20" s="1"/>
  <c r="M82" i="20"/>
  <c r="M20" i="20"/>
  <c r="X20" i="20" s="1"/>
  <c r="M106" i="20"/>
  <c r="M110" i="20"/>
  <c r="M69" i="20"/>
  <c r="M93" i="20"/>
  <c r="M84" i="20"/>
  <c r="G16" i="18"/>
  <c r="J14" i="18"/>
  <c r="L11" i="18" l="1"/>
  <c r="M161" i="20"/>
  <c r="M162" i="20" s="1"/>
  <c r="M163" i="20" s="1"/>
  <c r="G136" i="20"/>
  <c r="G144" i="20"/>
  <c r="G152" i="20"/>
  <c r="G126" i="20"/>
  <c r="G134" i="20"/>
  <c r="G146" i="20"/>
  <c r="G122" i="20"/>
  <c r="G130" i="20"/>
  <c r="G140" i="20"/>
  <c r="G150" i="20"/>
  <c r="G124" i="20"/>
  <c r="G128" i="20"/>
  <c r="G132" i="20"/>
  <c r="G138" i="20"/>
  <c r="G142" i="20"/>
  <c r="G148" i="20"/>
  <c r="G155" i="20"/>
  <c r="G153" i="20"/>
  <c r="G151" i="20"/>
  <c r="G127" i="20"/>
  <c r="G11" i="20"/>
  <c r="G24" i="20"/>
  <c r="H24" i="20" s="1"/>
  <c r="G14" i="20"/>
  <c r="H14" i="20" s="1"/>
  <c r="G116" i="20"/>
  <c r="G108" i="20"/>
  <c r="G99" i="20"/>
  <c r="G91" i="20"/>
  <c r="H91" i="20" s="1"/>
  <c r="G154" i="20"/>
  <c r="G131" i="20"/>
  <c r="G123" i="20"/>
  <c r="G125" i="20"/>
  <c r="G147" i="20"/>
  <c r="G129" i="20"/>
  <c r="G143" i="20"/>
  <c r="G145" i="20"/>
  <c r="G141" i="20"/>
  <c r="G156" i="20"/>
  <c r="G23" i="20"/>
  <c r="H23" i="20" s="1"/>
  <c r="G10" i="20"/>
  <c r="G114" i="20"/>
  <c r="G117" i="20"/>
  <c r="G93" i="20"/>
  <c r="H93" i="20" s="1"/>
  <c r="G83" i="20"/>
  <c r="H83" i="20" s="1"/>
  <c r="G75" i="20"/>
  <c r="H75" i="20" s="1"/>
  <c r="G70" i="20"/>
  <c r="H70" i="20" s="1"/>
  <c r="G62" i="20"/>
  <c r="H62" i="20" s="1"/>
  <c r="G54" i="20"/>
  <c r="H54" i="20" s="1"/>
  <c r="G40" i="20"/>
  <c r="H40" i="20" s="1"/>
  <c r="G26" i="20"/>
  <c r="H26" i="20" s="1"/>
  <c r="G100" i="20"/>
  <c r="G119" i="20"/>
  <c r="G84" i="20"/>
  <c r="H84" i="20" s="1"/>
  <c r="G78" i="20"/>
  <c r="H78" i="20" s="1"/>
  <c r="G76" i="20"/>
  <c r="H76" i="20" s="1"/>
  <c r="G88" i="20"/>
  <c r="H88" i="20" s="1"/>
  <c r="G65" i="20"/>
  <c r="H65" i="20" s="1"/>
  <c r="G57" i="20"/>
  <c r="H57" i="20" s="1"/>
  <c r="G43" i="20"/>
  <c r="H43" i="20" s="1"/>
  <c r="G41" i="20"/>
  <c r="H41" i="20" s="1"/>
  <c r="G42" i="20"/>
  <c r="H42" i="20" s="1"/>
  <c r="G33" i="20"/>
  <c r="H33" i="20" s="1"/>
  <c r="G27" i="20"/>
  <c r="H27" i="20" s="1"/>
  <c r="G35" i="20"/>
  <c r="H35" i="20" s="1"/>
  <c r="G16" i="20"/>
  <c r="G133" i="20"/>
  <c r="G139" i="20"/>
  <c r="G22" i="20"/>
  <c r="H22" i="20" s="1"/>
  <c r="G18" i="20"/>
  <c r="H18" i="20" s="1"/>
  <c r="G112" i="20"/>
  <c r="G109" i="20"/>
  <c r="G89" i="20"/>
  <c r="H89" i="20" s="1"/>
  <c r="G81" i="20"/>
  <c r="H81" i="20" s="1"/>
  <c r="G107" i="20"/>
  <c r="G68" i="20"/>
  <c r="H68" i="20" s="1"/>
  <c r="G60" i="20"/>
  <c r="H60" i="20" s="1"/>
  <c r="G52" i="20"/>
  <c r="H52" i="20" s="1"/>
  <c r="G36" i="20"/>
  <c r="H36" i="20" s="1"/>
  <c r="G121" i="20"/>
  <c r="G98" i="20"/>
  <c r="G113" i="20"/>
  <c r="G104" i="20"/>
  <c r="G111" i="20"/>
  <c r="G73" i="20"/>
  <c r="H73" i="20" s="1"/>
  <c r="G74" i="20"/>
  <c r="H74" i="20" s="1"/>
  <c r="G63" i="20"/>
  <c r="H63" i="20" s="1"/>
  <c r="G55" i="20"/>
  <c r="H55" i="20" s="1"/>
  <c r="G37" i="20"/>
  <c r="H37" i="20" s="1"/>
  <c r="G38" i="20"/>
  <c r="H38" i="20" s="1"/>
  <c r="G49" i="20"/>
  <c r="H49" i="20" s="1"/>
  <c r="G30" i="20"/>
  <c r="H30" i="20" s="1"/>
  <c r="G13" i="20"/>
  <c r="H13" i="20" s="1"/>
  <c r="G17" i="20"/>
  <c r="H17" i="20" s="1"/>
  <c r="G21" i="20"/>
  <c r="H21" i="20" s="1"/>
  <c r="G29" i="20"/>
  <c r="H29" i="20" s="1"/>
  <c r="G20" i="20"/>
  <c r="H20" i="20" s="1"/>
  <c r="G135" i="20"/>
  <c r="G137" i="20"/>
  <c r="G15" i="20"/>
  <c r="G120" i="20"/>
  <c r="G110" i="20"/>
  <c r="G97" i="20"/>
  <c r="H97" i="20" s="1"/>
  <c r="G87" i="20"/>
  <c r="H87" i="20" s="1"/>
  <c r="G79" i="20"/>
  <c r="H79" i="20" s="1"/>
  <c r="G102" i="20"/>
  <c r="G66" i="20"/>
  <c r="H66" i="20" s="1"/>
  <c r="G58" i="20"/>
  <c r="H58" i="20" s="1"/>
  <c r="G48" i="20"/>
  <c r="H48" i="20" s="1"/>
  <c r="G32" i="20"/>
  <c r="H32" i="20" s="1"/>
  <c r="G103" i="20"/>
  <c r="G90" i="20"/>
  <c r="H90" i="20" s="1"/>
  <c r="G96" i="20"/>
  <c r="H96" i="20" s="1"/>
  <c r="G94" i="20"/>
  <c r="H94" i="20" s="1"/>
  <c r="G105" i="20"/>
  <c r="G71" i="20"/>
  <c r="H71" i="20" s="1"/>
  <c r="G69" i="20"/>
  <c r="H69" i="20" s="1"/>
  <c r="G61" i="20"/>
  <c r="H61" i="20" s="1"/>
  <c r="G53" i="20"/>
  <c r="H53" i="20" s="1"/>
  <c r="G34" i="20"/>
  <c r="H34" i="20" s="1"/>
  <c r="G51" i="20"/>
  <c r="H51" i="20" s="1"/>
  <c r="G46" i="20"/>
  <c r="H46" i="20" s="1"/>
  <c r="G25" i="20"/>
  <c r="H25" i="20" s="1"/>
  <c r="G149" i="20"/>
  <c r="G19" i="20"/>
  <c r="H19" i="20" s="1"/>
  <c r="G106" i="20"/>
  <c r="G72" i="20"/>
  <c r="H72" i="20" s="1"/>
  <c r="G28" i="20"/>
  <c r="H28" i="20" s="1"/>
  <c r="G92" i="20"/>
  <c r="H92" i="20" s="1"/>
  <c r="G59" i="20"/>
  <c r="H59" i="20" s="1"/>
  <c r="G39" i="20"/>
  <c r="H39" i="20" s="1"/>
  <c r="G95" i="20"/>
  <c r="H95" i="20" s="1"/>
  <c r="G64" i="20"/>
  <c r="H64" i="20" s="1"/>
  <c r="G101" i="20"/>
  <c r="G80" i="20"/>
  <c r="H80" i="20" s="1"/>
  <c r="G50" i="20"/>
  <c r="H50" i="20" s="1"/>
  <c r="G77" i="20"/>
  <c r="H77" i="20" s="1"/>
  <c r="G86" i="20"/>
  <c r="H86" i="20" s="1"/>
  <c r="G45" i="20"/>
  <c r="H45" i="20" s="1"/>
  <c r="G85" i="20"/>
  <c r="H85" i="20" s="1"/>
  <c r="G56" i="20"/>
  <c r="H56" i="20" s="1"/>
  <c r="G82" i="20"/>
  <c r="H82" i="20" s="1"/>
  <c r="G115" i="20"/>
  <c r="G47" i="20"/>
  <c r="H47" i="20" s="1"/>
  <c r="G31" i="20"/>
  <c r="H31" i="20" s="1"/>
  <c r="G118" i="20"/>
  <c r="G44" i="20"/>
  <c r="H44" i="20" s="1"/>
  <c r="G67" i="20"/>
  <c r="H67" i="20" s="1"/>
  <c r="G12" i="20"/>
  <c r="I85" i="20" l="1"/>
  <c r="P85" i="20" s="1"/>
  <c r="F85" i="20"/>
  <c r="F95" i="20"/>
  <c r="I95" i="20"/>
  <c r="P95" i="20" s="1"/>
  <c r="F51" i="20"/>
  <c r="I51" i="20"/>
  <c r="I96" i="20"/>
  <c r="P96" i="20" s="1"/>
  <c r="F96" i="20"/>
  <c r="I120" i="20"/>
  <c r="P120" i="20" s="1"/>
  <c r="F120" i="20"/>
  <c r="I17" i="20"/>
  <c r="P17" i="20" s="1"/>
  <c r="F17" i="20"/>
  <c r="F52" i="20"/>
  <c r="I52" i="20"/>
  <c r="P52" i="20" s="1"/>
  <c r="I43" i="20"/>
  <c r="P43" i="20" s="1"/>
  <c r="F43" i="20"/>
  <c r="F62" i="20"/>
  <c r="I62" i="20"/>
  <c r="P62" i="20" s="1"/>
  <c r="I23" i="20"/>
  <c r="P23" i="20" s="1"/>
  <c r="F23" i="20"/>
  <c r="F154" i="20"/>
  <c r="I154" i="20"/>
  <c r="P154" i="20" s="1"/>
  <c r="I108" i="20"/>
  <c r="P108" i="20" s="1"/>
  <c r="F108" i="20"/>
  <c r="I128" i="20"/>
  <c r="P128" i="20" s="1"/>
  <c r="F128" i="20"/>
  <c r="F146" i="20"/>
  <c r="I146" i="20"/>
  <c r="P146" i="20" s="1"/>
  <c r="F44" i="20"/>
  <c r="I44" i="20"/>
  <c r="P44" i="20" s="1"/>
  <c r="I115" i="20"/>
  <c r="P115" i="20" s="1"/>
  <c r="F115" i="20"/>
  <c r="F45" i="20"/>
  <c r="I45" i="20"/>
  <c r="P45" i="20" s="1"/>
  <c r="I80" i="20"/>
  <c r="P80" i="20" s="1"/>
  <c r="F80" i="20"/>
  <c r="I28" i="20"/>
  <c r="P28" i="20" s="1"/>
  <c r="F28" i="20"/>
  <c r="I149" i="20"/>
  <c r="P149" i="20" s="1"/>
  <c r="F149" i="20"/>
  <c r="I34" i="20"/>
  <c r="P34" i="20" s="1"/>
  <c r="F34" i="20"/>
  <c r="I71" i="20"/>
  <c r="P71" i="20" s="1"/>
  <c r="F71" i="20"/>
  <c r="I90" i="20"/>
  <c r="P90" i="20" s="1"/>
  <c r="F90" i="20"/>
  <c r="F58" i="20"/>
  <c r="I58" i="20"/>
  <c r="P58" i="20" s="1"/>
  <c r="I87" i="20"/>
  <c r="P87" i="20" s="1"/>
  <c r="F87" i="20"/>
  <c r="H15" i="20"/>
  <c r="I15" i="20"/>
  <c r="P15" i="20" s="1"/>
  <c r="F15" i="20"/>
  <c r="I20" i="20"/>
  <c r="P20" i="20" s="1"/>
  <c r="F20" i="20"/>
  <c r="I13" i="20"/>
  <c r="P13" i="20" s="1"/>
  <c r="F13" i="20"/>
  <c r="F37" i="20"/>
  <c r="I37" i="20"/>
  <c r="P37" i="20" s="1"/>
  <c r="I73" i="20"/>
  <c r="P73" i="20" s="1"/>
  <c r="F73" i="20"/>
  <c r="I98" i="20"/>
  <c r="P98" i="20" s="1"/>
  <c r="F98" i="20"/>
  <c r="F60" i="20"/>
  <c r="I60" i="20"/>
  <c r="P60" i="20" s="1"/>
  <c r="I89" i="20"/>
  <c r="P89" i="20" s="1"/>
  <c r="F89" i="20"/>
  <c r="F22" i="20"/>
  <c r="I22" i="20"/>
  <c r="P22" i="20" s="1"/>
  <c r="I33" i="20"/>
  <c r="P33" i="20" s="1"/>
  <c r="F33" i="20"/>
  <c r="I57" i="20"/>
  <c r="P57" i="20" s="1"/>
  <c r="F57" i="20"/>
  <c r="I78" i="20"/>
  <c r="P78" i="20" s="1"/>
  <c r="F78" i="20"/>
  <c r="I26" i="20"/>
  <c r="P26" i="20" s="1"/>
  <c r="F26" i="20"/>
  <c r="F70" i="20"/>
  <c r="I70" i="20"/>
  <c r="P70" i="20" s="1"/>
  <c r="I117" i="20"/>
  <c r="P117" i="20" s="1"/>
  <c r="F117" i="20"/>
  <c r="F156" i="20"/>
  <c r="I156" i="20"/>
  <c r="P156" i="20" s="1"/>
  <c r="F125" i="20"/>
  <c r="I125" i="20"/>
  <c r="P125" i="20" s="1"/>
  <c r="I116" i="20"/>
  <c r="P116" i="20" s="1"/>
  <c r="F116" i="20"/>
  <c r="F127" i="20"/>
  <c r="I127" i="20"/>
  <c r="P127" i="20" s="1"/>
  <c r="F153" i="20"/>
  <c r="I153" i="20"/>
  <c r="P153" i="20" s="1"/>
  <c r="F142" i="20"/>
  <c r="I142" i="20"/>
  <c r="P142" i="20" s="1"/>
  <c r="I124" i="20"/>
  <c r="P124" i="20" s="1"/>
  <c r="F124" i="20"/>
  <c r="F150" i="20"/>
  <c r="I150" i="20"/>
  <c r="P150" i="20" s="1"/>
  <c r="I134" i="20"/>
  <c r="P134" i="20" s="1"/>
  <c r="F134" i="20"/>
  <c r="I144" i="20"/>
  <c r="P144" i="20" s="1"/>
  <c r="F144" i="20"/>
  <c r="I47" i="20"/>
  <c r="P47" i="20" s="1"/>
  <c r="F47" i="20"/>
  <c r="F19" i="20"/>
  <c r="I19" i="20"/>
  <c r="P19" i="20" s="1"/>
  <c r="I79" i="20"/>
  <c r="P79" i="20" s="1"/>
  <c r="F79" i="20"/>
  <c r="I74" i="20"/>
  <c r="P74" i="20" s="1"/>
  <c r="F74" i="20"/>
  <c r="I81" i="20"/>
  <c r="P81" i="20" s="1"/>
  <c r="F81" i="20"/>
  <c r="I76" i="20"/>
  <c r="P76" i="20" s="1"/>
  <c r="F76" i="20"/>
  <c r="F143" i="20"/>
  <c r="I143" i="20"/>
  <c r="P143" i="20" s="1"/>
  <c r="I122" i="20"/>
  <c r="P122" i="20" s="1"/>
  <c r="F122" i="20"/>
  <c r="I82" i="20"/>
  <c r="P82" i="20" s="1"/>
  <c r="F82" i="20"/>
  <c r="F72" i="20"/>
  <c r="I72" i="20"/>
  <c r="P72" i="20" s="1"/>
  <c r="I105" i="20"/>
  <c r="P105" i="20" s="1"/>
  <c r="F105" i="20"/>
  <c r="I97" i="20"/>
  <c r="P97" i="20" s="1"/>
  <c r="F97" i="20"/>
  <c r="I30" i="20"/>
  <c r="P30" i="20" s="1"/>
  <c r="F30" i="20"/>
  <c r="F121" i="20"/>
  <c r="I121" i="20"/>
  <c r="P121" i="20" s="1"/>
  <c r="I109" i="20"/>
  <c r="P109" i="20" s="1"/>
  <c r="F109" i="20"/>
  <c r="I42" i="20"/>
  <c r="P42" i="20" s="1"/>
  <c r="F42" i="20"/>
  <c r="I75" i="20"/>
  <c r="P75" i="20" s="1"/>
  <c r="F75" i="20"/>
  <c r="F129" i="20"/>
  <c r="I129" i="20"/>
  <c r="P129" i="20" s="1"/>
  <c r="F151" i="20"/>
  <c r="I151" i="20"/>
  <c r="P151" i="20" s="1"/>
  <c r="I138" i="20"/>
  <c r="P138" i="20" s="1"/>
  <c r="F138" i="20"/>
  <c r="I126" i="20"/>
  <c r="P126" i="20" s="1"/>
  <c r="F126" i="20"/>
  <c r="M8" i="20"/>
  <c r="I67" i="20"/>
  <c r="P67" i="20" s="1"/>
  <c r="F67" i="20"/>
  <c r="I50" i="20"/>
  <c r="P50" i="20" s="1"/>
  <c r="F50" i="20"/>
  <c r="I92" i="20"/>
  <c r="P92" i="20" s="1"/>
  <c r="F92" i="20"/>
  <c r="I69" i="20"/>
  <c r="P69" i="20" s="1"/>
  <c r="F69" i="20"/>
  <c r="I48" i="20"/>
  <c r="P48" i="20" s="1"/>
  <c r="F48" i="20"/>
  <c r="I38" i="20"/>
  <c r="P38" i="20" s="1"/>
  <c r="F38" i="20"/>
  <c r="I113" i="20"/>
  <c r="P113" i="20" s="1"/>
  <c r="F113" i="20"/>
  <c r="I18" i="20"/>
  <c r="P18" i="20" s="1"/>
  <c r="F18" i="20"/>
  <c r="F27" i="20"/>
  <c r="I27" i="20"/>
  <c r="P27" i="20" s="1"/>
  <c r="I100" i="20"/>
  <c r="P100" i="20" s="1"/>
  <c r="F100" i="20"/>
  <c r="I93" i="20"/>
  <c r="P93" i="20" s="1"/>
  <c r="F93" i="20"/>
  <c r="H11" i="20"/>
  <c r="I11" i="20"/>
  <c r="P11" i="20" s="1"/>
  <c r="F11" i="20"/>
  <c r="F148" i="20"/>
  <c r="I148" i="20"/>
  <c r="P148" i="20" s="1"/>
  <c r="F152" i="20"/>
  <c r="I152" i="20"/>
  <c r="P152" i="20" s="1"/>
  <c r="F118" i="20"/>
  <c r="I118" i="20"/>
  <c r="P118" i="20" s="1"/>
  <c r="I86" i="20"/>
  <c r="P86" i="20" s="1"/>
  <c r="F86" i="20"/>
  <c r="F101" i="20"/>
  <c r="I101" i="20"/>
  <c r="P101" i="20" s="1"/>
  <c r="F39" i="20"/>
  <c r="I39" i="20"/>
  <c r="P39" i="20" s="1"/>
  <c r="F25" i="20"/>
  <c r="I25" i="20"/>
  <c r="P25" i="20" s="1"/>
  <c r="I53" i="20"/>
  <c r="P53" i="20" s="1"/>
  <c r="F53" i="20"/>
  <c r="F103" i="20"/>
  <c r="I103" i="20"/>
  <c r="P103" i="20" s="1"/>
  <c r="F66" i="20"/>
  <c r="I66" i="20"/>
  <c r="P66" i="20" s="1"/>
  <c r="I137" i="20"/>
  <c r="P137" i="20" s="1"/>
  <c r="F137" i="20"/>
  <c r="F29" i="20"/>
  <c r="I29" i="20"/>
  <c r="P29" i="20" s="1"/>
  <c r="I55" i="20"/>
  <c r="P55" i="20" s="1"/>
  <c r="F55" i="20"/>
  <c r="I111" i="20"/>
  <c r="F111" i="20"/>
  <c r="I68" i="20"/>
  <c r="P68" i="20" s="1"/>
  <c r="F68" i="20"/>
  <c r="F139" i="20"/>
  <c r="I139" i="20"/>
  <c r="P139" i="20" s="1"/>
  <c r="H16" i="20"/>
  <c r="F16" i="20"/>
  <c r="I16" i="20"/>
  <c r="P16" i="20" s="1"/>
  <c r="I65" i="20"/>
  <c r="P65" i="20" s="1"/>
  <c r="F65" i="20"/>
  <c r="I84" i="20"/>
  <c r="P84" i="20" s="1"/>
  <c r="F84" i="20"/>
  <c r="I40" i="20"/>
  <c r="P40" i="20" s="1"/>
  <c r="F40" i="20"/>
  <c r="I114" i="20"/>
  <c r="P114" i="20" s="1"/>
  <c r="F114" i="20"/>
  <c r="I141" i="20"/>
  <c r="P141" i="20" s="1"/>
  <c r="F141" i="20"/>
  <c r="F123" i="20"/>
  <c r="I123" i="20"/>
  <c r="P123" i="20" s="1"/>
  <c r="I91" i="20"/>
  <c r="P91" i="20" s="1"/>
  <c r="F91" i="20"/>
  <c r="I14" i="20"/>
  <c r="P14" i="20" s="1"/>
  <c r="F14" i="20"/>
  <c r="F140" i="20"/>
  <c r="I140" i="20"/>
  <c r="P140" i="20" s="1"/>
  <c r="F136" i="20"/>
  <c r="I136" i="20"/>
  <c r="P136" i="20" s="1"/>
  <c r="H12" i="20"/>
  <c r="F12" i="20"/>
  <c r="I12" i="20"/>
  <c r="P12" i="20" s="1"/>
  <c r="I31" i="20"/>
  <c r="F31" i="20"/>
  <c r="F56" i="20"/>
  <c r="I56" i="20"/>
  <c r="P56" i="20" s="1"/>
  <c r="I77" i="20"/>
  <c r="P77" i="20" s="1"/>
  <c r="F77" i="20"/>
  <c r="F64" i="20"/>
  <c r="I64" i="20"/>
  <c r="P64" i="20" s="1"/>
  <c r="I59" i="20"/>
  <c r="P59" i="20" s="1"/>
  <c r="F59" i="20"/>
  <c r="F106" i="20"/>
  <c r="I106" i="20"/>
  <c r="P106" i="20" s="1"/>
  <c r="I46" i="20"/>
  <c r="P46" i="20" s="1"/>
  <c r="F46" i="20"/>
  <c r="I61" i="20"/>
  <c r="P61" i="20" s="1"/>
  <c r="F61" i="20"/>
  <c r="I94" i="20"/>
  <c r="P94" i="20" s="1"/>
  <c r="F94" i="20"/>
  <c r="I32" i="20"/>
  <c r="P32" i="20" s="1"/>
  <c r="F32" i="20"/>
  <c r="F102" i="20"/>
  <c r="I102" i="20"/>
  <c r="P102" i="20" s="1"/>
  <c r="I110" i="20"/>
  <c r="P110" i="20" s="1"/>
  <c r="F110" i="20"/>
  <c r="I135" i="20"/>
  <c r="P135" i="20" s="1"/>
  <c r="F135" i="20"/>
  <c r="F21" i="20"/>
  <c r="I21" i="20"/>
  <c r="P21" i="20" s="1"/>
  <c r="I49" i="20"/>
  <c r="P49" i="20" s="1"/>
  <c r="F49" i="20"/>
  <c r="I63" i="20"/>
  <c r="P63" i="20" s="1"/>
  <c r="F63" i="20"/>
  <c r="F104" i="20"/>
  <c r="I104" i="20"/>
  <c r="P104" i="20" s="1"/>
  <c r="F36" i="20"/>
  <c r="I36" i="20"/>
  <c r="P36" i="20" s="1"/>
  <c r="I107" i="20"/>
  <c r="P107" i="20" s="1"/>
  <c r="F107" i="20"/>
  <c r="F112" i="20"/>
  <c r="I112" i="20"/>
  <c r="P112" i="20" s="1"/>
  <c r="I133" i="20"/>
  <c r="P133" i="20" s="1"/>
  <c r="F133" i="20"/>
  <c r="F35" i="20"/>
  <c r="I35" i="20"/>
  <c r="P35" i="20" s="1"/>
  <c r="F41" i="20"/>
  <c r="I41" i="20"/>
  <c r="I88" i="20"/>
  <c r="P88" i="20" s="1"/>
  <c r="F88" i="20"/>
  <c r="I119" i="20"/>
  <c r="P119" i="20" s="1"/>
  <c r="F119" i="20"/>
  <c r="F54" i="20"/>
  <c r="I54" i="20"/>
  <c r="P54" i="20" s="1"/>
  <c r="F83" i="20"/>
  <c r="I83" i="20"/>
  <c r="H10" i="20"/>
  <c r="I10" i="20"/>
  <c r="P10" i="20" s="1"/>
  <c r="G161" i="20"/>
  <c r="G162" i="20" s="1"/>
  <c r="F10" i="20"/>
  <c r="I145" i="20"/>
  <c r="P145" i="20" s="1"/>
  <c r="F145" i="20"/>
  <c r="F147" i="20"/>
  <c r="I147" i="20"/>
  <c r="P147" i="20" s="1"/>
  <c r="I131" i="20"/>
  <c r="P131" i="20" s="1"/>
  <c r="F131" i="20"/>
  <c r="I99" i="20"/>
  <c r="P99" i="20" s="1"/>
  <c r="F99" i="20"/>
  <c r="I24" i="20"/>
  <c r="P24" i="20" s="1"/>
  <c r="F24" i="20"/>
  <c r="I155" i="20"/>
  <c r="P155" i="20" s="1"/>
  <c r="F155" i="20"/>
  <c r="I132" i="20"/>
  <c r="P132" i="20" s="1"/>
  <c r="F132" i="20"/>
  <c r="I130" i="20"/>
  <c r="P130" i="20" s="1"/>
  <c r="F130" i="20"/>
  <c r="O131" i="20" l="1"/>
  <c r="Q131" i="20"/>
  <c r="N131" i="20"/>
  <c r="O77" i="20"/>
  <c r="N77" i="20"/>
  <c r="Q77" i="20"/>
  <c r="O123" i="20"/>
  <c r="N123" i="20"/>
  <c r="Q123" i="20"/>
  <c r="N16" i="20"/>
  <c r="O16" i="20"/>
  <c r="Q16" i="20"/>
  <c r="Q55" i="20"/>
  <c r="O55" i="20"/>
  <c r="N55" i="20"/>
  <c r="O103" i="20"/>
  <c r="Q103" i="20"/>
  <c r="N103" i="20"/>
  <c r="Q86" i="20"/>
  <c r="N86" i="20"/>
  <c r="O86" i="20"/>
  <c r="O109" i="20"/>
  <c r="Q109" i="20"/>
  <c r="N109" i="20"/>
  <c r="O104" i="20"/>
  <c r="Q104" i="20"/>
  <c r="N104" i="20"/>
  <c r="Q136" i="20"/>
  <c r="O136" i="20"/>
  <c r="N136" i="20"/>
  <c r="O39" i="20"/>
  <c r="Q39" i="20"/>
  <c r="N39" i="20"/>
  <c r="O152" i="20"/>
  <c r="Q152" i="20"/>
  <c r="N152" i="20"/>
  <c r="Q30" i="20"/>
  <c r="O30" i="20"/>
  <c r="N30" i="20"/>
  <c r="O37" i="20"/>
  <c r="N37" i="20"/>
  <c r="Q37" i="20"/>
  <c r="O149" i="20"/>
  <c r="Q149" i="20"/>
  <c r="N149" i="20"/>
  <c r="O45" i="20"/>
  <c r="R159" i="20" s="1"/>
  <c r="S159" i="20" s="1"/>
  <c r="Q45" i="20"/>
  <c r="N45" i="20"/>
  <c r="P169" i="20"/>
  <c r="P167" i="20"/>
  <c r="R160" i="20"/>
  <c r="P166" i="20"/>
  <c r="P51" i="20"/>
  <c r="N95" i="20"/>
  <c r="O95" i="20"/>
  <c r="Q95" i="20"/>
  <c r="O54" i="20"/>
  <c r="Q54" i="20"/>
  <c r="N54" i="20"/>
  <c r="Q135" i="20"/>
  <c r="N135" i="20"/>
  <c r="O135" i="20"/>
  <c r="Q32" i="20"/>
  <c r="O32" i="20"/>
  <c r="N32" i="20"/>
  <c r="O141" i="20"/>
  <c r="Q141" i="20"/>
  <c r="N141" i="20"/>
  <c r="N40" i="20"/>
  <c r="Q40" i="20"/>
  <c r="O40" i="20"/>
  <c r="N68" i="20"/>
  <c r="Q68" i="20"/>
  <c r="O68" i="20"/>
  <c r="N111" i="20"/>
  <c r="Q111" i="20"/>
  <c r="O111" i="20"/>
  <c r="Q100" i="20"/>
  <c r="O100" i="20"/>
  <c r="N100" i="20"/>
  <c r="O156" i="20"/>
  <c r="Q156" i="20"/>
  <c r="N156" i="20"/>
  <c r="O26" i="20"/>
  <c r="N26" i="20"/>
  <c r="Q26" i="20"/>
  <c r="O80" i="20"/>
  <c r="Q80" i="20"/>
  <c r="N80" i="20"/>
  <c r="O108" i="20"/>
  <c r="Q108" i="20"/>
  <c r="N108" i="20"/>
  <c r="Q96" i="20"/>
  <c r="O96" i="20"/>
  <c r="N96" i="20"/>
  <c r="Q46" i="20"/>
  <c r="N46" i="20"/>
  <c r="O46" i="20"/>
  <c r="Q140" i="20"/>
  <c r="N140" i="20"/>
  <c r="O140" i="20"/>
  <c r="O65" i="20"/>
  <c r="N65" i="20"/>
  <c r="Q65" i="20"/>
  <c r="N53" i="20"/>
  <c r="Q53" i="20"/>
  <c r="O53" i="20"/>
  <c r="Q69" i="20"/>
  <c r="N69" i="20"/>
  <c r="O69" i="20"/>
  <c r="O129" i="20"/>
  <c r="Q129" i="20"/>
  <c r="N129" i="20"/>
  <c r="O75" i="20"/>
  <c r="N75" i="20"/>
  <c r="Q75" i="20"/>
  <c r="N82" i="20"/>
  <c r="O82" i="20"/>
  <c r="Q82" i="20"/>
  <c r="O144" i="20"/>
  <c r="Q144" i="20"/>
  <c r="N144" i="20"/>
  <c r="O99" i="20"/>
  <c r="Q99" i="20"/>
  <c r="N99" i="20"/>
  <c r="O145" i="20"/>
  <c r="Q145" i="20"/>
  <c r="N145" i="20"/>
  <c r="Q10" i="20"/>
  <c r="F161" i="20"/>
  <c r="F162" i="20" s="1"/>
  <c r="N10" i="20"/>
  <c r="O10" i="20"/>
  <c r="O83" i="20"/>
  <c r="N83" i="20"/>
  <c r="Q83" i="20"/>
  <c r="Q119" i="20"/>
  <c r="O119" i="20"/>
  <c r="N119" i="20"/>
  <c r="P41" i="20"/>
  <c r="Q63" i="20"/>
  <c r="O63" i="20"/>
  <c r="N63" i="20"/>
  <c r="O110" i="20"/>
  <c r="N110" i="20"/>
  <c r="Q110" i="20"/>
  <c r="O94" i="20"/>
  <c r="Q94" i="20"/>
  <c r="N94" i="20"/>
  <c r="N59" i="20"/>
  <c r="O59" i="20"/>
  <c r="Q59" i="20"/>
  <c r="Q31" i="20"/>
  <c r="O31" i="20"/>
  <c r="N31" i="20"/>
  <c r="Q12" i="20"/>
  <c r="N12" i="20"/>
  <c r="O12" i="20"/>
  <c r="O14" i="20"/>
  <c r="N14" i="20"/>
  <c r="Q14" i="20"/>
  <c r="Q84" i="20"/>
  <c r="N84" i="20"/>
  <c r="O84" i="20"/>
  <c r="P111" i="20"/>
  <c r="Q29" i="20"/>
  <c r="O29" i="20"/>
  <c r="N29" i="20"/>
  <c r="Q66" i="20"/>
  <c r="O66" i="20"/>
  <c r="N66" i="20"/>
  <c r="O113" i="20"/>
  <c r="N113" i="20"/>
  <c r="Q113" i="20"/>
  <c r="N48" i="20"/>
  <c r="Q48" i="20"/>
  <c r="O48" i="20"/>
  <c r="Q92" i="20"/>
  <c r="N92" i="20"/>
  <c r="O92" i="20"/>
  <c r="Q67" i="20"/>
  <c r="O67" i="20"/>
  <c r="N67" i="20"/>
  <c r="O126" i="20"/>
  <c r="N126" i="20"/>
  <c r="Q126" i="20"/>
  <c r="Q138" i="20"/>
  <c r="N138" i="20"/>
  <c r="O138" i="20"/>
  <c r="Q42" i="20"/>
  <c r="N42" i="20"/>
  <c r="O42" i="20"/>
  <c r="O122" i="20"/>
  <c r="Q122" i="20"/>
  <c r="N122" i="20"/>
  <c r="N47" i="20"/>
  <c r="Q47" i="20"/>
  <c r="O47" i="20"/>
  <c r="P159" i="20" s="1"/>
  <c r="O150" i="20"/>
  <c r="Q150" i="20"/>
  <c r="N150" i="20"/>
  <c r="Q142" i="20"/>
  <c r="O142" i="20"/>
  <c r="N142" i="20"/>
  <c r="O73" i="20"/>
  <c r="N73" i="20"/>
  <c r="Q73" i="20"/>
  <c r="N20" i="20"/>
  <c r="O20" i="20"/>
  <c r="Q20" i="20"/>
  <c r="Q87" i="20"/>
  <c r="N87" i="20"/>
  <c r="O87" i="20"/>
  <c r="Q58" i="20"/>
  <c r="N58" i="20"/>
  <c r="O58" i="20"/>
  <c r="N28" i="20"/>
  <c r="Q28" i="20"/>
  <c r="O28" i="20"/>
  <c r="O146" i="20"/>
  <c r="Q146" i="20"/>
  <c r="N146" i="20"/>
  <c r="O154" i="20"/>
  <c r="Q154" i="20"/>
  <c r="N154" i="20"/>
  <c r="O62" i="20"/>
  <c r="Q62" i="20"/>
  <c r="N62" i="20"/>
  <c r="N120" i="20"/>
  <c r="O120" i="20"/>
  <c r="Q120" i="20"/>
  <c r="Q85" i="20"/>
  <c r="N85" i="20"/>
  <c r="O85" i="20"/>
  <c r="Q130" i="20"/>
  <c r="O130" i="20"/>
  <c r="N130" i="20"/>
  <c r="O132" i="20"/>
  <c r="Q132" i="20"/>
  <c r="N132" i="20"/>
  <c r="Q41" i="20"/>
  <c r="N41" i="20"/>
  <c r="O41" i="20"/>
  <c r="O133" i="20"/>
  <c r="Q133" i="20"/>
  <c r="N133" i="20"/>
  <c r="Q49" i="20"/>
  <c r="N49" i="20"/>
  <c r="O49" i="20"/>
  <c r="Q160" i="20" s="1"/>
  <c r="P31" i="20"/>
  <c r="Q137" i="20"/>
  <c r="O137" i="20"/>
  <c r="N137" i="20"/>
  <c r="N76" i="20"/>
  <c r="Q76" i="20"/>
  <c r="O76" i="20"/>
  <c r="N81" i="20"/>
  <c r="Q81" i="20"/>
  <c r="O81" i="20"/>
  <c r="Q90" i="20"/>
  <c r="N90" i="20"/>
  <c r="O90" i="20"/>
  <c r="O115" i="20"/>
  <c r="N115" i="20"/>
  <c r="Q115" i="20"/>
  <c r="O44" i="20"/>
  <c r="Q44" i="20"/>
  <c r="N44" i="20"/>
  <c r="O52" i="20"/>
  <c r="N52" i="20"/>
  <c r="Q52" i="20"/>
  <c r="P83" i="20"/>
  <c r="N102" i="20"/>
  <c r="O102" i="20"/>
  <c r="Q102" i="20"/>
  <c r="N91" i="20"/>
  <c r="Q91" i="20"/>
  <c r="O91" i="20"/>
  <c r="Q114" i="20"/>
  <c r="N114" i="20"/>
  <c r="O114" i="20"/>
  <c r="Q148" i="20"/>
  <c r="O148" i="20"/>
  <c r="N148" i="20"/>
  <c r="O38" i="20"/>
  <c r="Q38" i="20"/>
  <c r="N38" i="20"/>
  <c r="O50" i="20"/>
  <c r="Q158" i="20" s="1"/>
  <c r="N50" i="20"/>
  <c r="Q50" i="20"/>
  <c r="Q121" i="20"/>
  <c r="N121" i="20"/>
  <c r="O121" i="20"/>
  <c r="Q97" i="20"/>
  <c r="N97" i="20"/>
  <c r="O97" i="20"/>
  <c r="O105" i="20"/>
  <c r="Q105" i="20"/>
  <c r="N105" i="20"/>
  <c r="O19" i="20"/>
  <c r="N19" i="20"/>
  <c r="Q19" i="20"/>
  <c r="O134" i="20"/>
  <c r="Q134" i="20"/>
  <c r="N134" i="20"/>
  <c r="O153" i="20"/>
  <c r="Q153" i="20"/>
  <c r="N153" i="20"/>
  <c r="O125" i="20"/>
  <c r="Q125" i="20"/>
  <c r="N125" i="20"/>
  <c r="N70" i="20"/>
  <c r="Q70" i="20"/>
  <c r="O70" i="20"/>
  <c r="O57" i="20"/>
  <c r="N57" i="20"/>
  <c r="Q57" i="20"/>
  <c r="N89" i="20"/>
  <c r="O89" i="20"/>
  <c r="Q89" i="20"/>
  <c r="O155" i="20"/>
  <c r="Q155" i="20"/>
  <c r="N155" i="20"/>
  <c r="N24" i="20"/>
  <c r="O24" i="20"/>
  <c r="Q24" i="20"/>
  <c r="Q147" i="20"/>
  <c r="N147" i="20"/>
  <c r="O147" i="20"/>
  <c r="Q88" i="20"/>
  <c r="N88" i="20"/>
  <c r="O88" i="20"/>
  <c r="Q35" i="20"/>
  <c r="N35" i="20"/>
  <c r="O35" i="20"/>
  <c r="N112" i="20"/>
  <c r="Q112" i="20"/>
  <c r="O112" i="20"/>
  <c r="Q107" i="20"/>
  <c r="N107" i="20"/>
  <c r="O107" i="20"/>
  <c r="N36" i="20"/>
  <c r="O36" i="20"/>
  <c r="Q36" i="20"/>
  <c r="Q21" i="20"/>
  <c r="O21" i="20"/>
  <c r="N21" i="20"/>
  <c r="N61" i="20"/>
  <c r="Q61" i="20"/>
  <c r="O61" i="20"/>
  <c r="Q106" i="20"/>
  <c r="O106" i="20"/>
  <c r="N106" i="20"/>
  <c r="Q64" i="20"/>
  <c r="N64" i="20"/>
  <c r="O64" i="20"/>
  <c r="N56" i="20"/>
  <c r="Q56" i="20"/>
  <c r="O56" i="20"/>
  <c r="O139" i="20"/>
  <c r="Q139" i="20"/>
  <c r="N139" i="20"/>
  <c r="O25" i="20"/>
  <c r="N25" i="20"/>
  <c r="Q25" i="20"/>
  <c r="Q101" i="20"/>
  <c r="O101" i="20"/>
  <c r="N101" i="20"/>
  <c r="N118" i="20"/>
  <c r="O118" i="20"/>
  <c r="Q118" i="20"/>
  <c r="Q11" i="20"/>
  <c r="N11" i="20"/>
  <c r="O11" i="20"/>
  <c r="N93" i="20"/>
  <c r="O93" i="20"/>
  <c r="Q93" i="20"/>
  <c r="Q27" i="20"/>
  <c r="O27" i="20"/>
  <c r="N27" i="20"/>
  <c r="O18" i="20"/>
  <c r="N18" i="20"/>
  <c r="Q18" i="20"/>
  <c r="O151" i="20"/>
  <c r="N151" i="20"/>
  <c r="Q151" i="20"/>
  <c r="O72" i="20"/>
  <c r="N72" i="20"/>
  <c r="Q72" i="20"/>
  <c r="O143" i="20"/>
  <c r="N143" i="20"/>
  <c r="Q143" i="20"/>
  <c r="Q74" i="20"/>
  <c r="O74" i="20"/>
  <c r="N74" i="20"/>
  <c r="O79" i="20"/>
  <c r="Q79" i="20"/>
  <c r="N79" i="20"/>
  <c r="O124" i="20"/>
  <c r="Q124" i="20"/>
  <c r="N124" i="20"/>
  <c r="Q127" i="20"/>
  <c r="N127" i="20"/>
  <c r="O127" i="20"/>
  <c r="Q116" i="20"/>
  <c r="O116" i="20"/>
  <c r="N116" i="20"/>
  <c r="Q117" i="20"/>
  <c r="O117" i="20"/>
  <c r="N117" i="20"/>
  <c r="Q78" i="20"/>
  <c r="O78" i="20"/>
  <c r="N78" i="20"/>
  <c r="Q33" i="20"/>
  <c r="O33" i="20"/>
  <c r="N33" i="20"/>
  <c r="Q22" i="20"/>
  <c r="O22" i="20"/>
  <c r="N22" i="20"/>
  <c r="Q60" i="20"/>
  <c r="N60" i="20"/>
  <c r="O60" i="20"/>
  <c r="N98" i="20"/>
  <c r="Q98" i="20"/>
  <c r="O98" i="20"/>
  <c r="O13" i="20"/>
  <c r="Q13" i="20"/>
  <c r="N13" i="20"/>
  <c r="O15" i="20"/>
  <c r="N15" i="20"/>
  <c r="Q15" i="20"/>
  <c r="N71" i="20"/>
  <c r="O71" i="20"/>
  <c r="Q71" i="20"/>
  <c r="Q34" i="20"/>
  <c r="N34" i="20"/>
  <c r="O34" i="20"/>
  <c r="O128" i="20"/>
  <c r="Q128" i="20"/>
  <c r="N128" i="20"/>
  <c r="O23" i="20"/>
  <c r="Q23" i="20"/>
  <c r="N23" i="20"/>
  <c r="O43" i="20"/>
  <c r="Q43" i="20"/>
  <c r="N43" i="20"/>
  <c r="N17" i="20"/>
  <c r="O17" i="20"/>
  <c r="Q17" i="20"/>
  <c r="N51" i="20"/>
  <c r="O51" i="20"/>
  <c r="Q159" i="20" s="1"/>
  <c r="Q51" i="20"/>
  <c r="P161" i="20" l="1"/>
  <c r="P162" i="20" s="1"/>
  <c r="P163" i="20" s="1"/>
  <c r="P8" i="20" s="1"/>
  <c r="Q161" i="20"/>
  <c r="Q162" i="20" s="1"/>
  <c r="Q163" i="20" s="1"/>
  <c r="Q8" i="20" s="1"/>
  <c r="AE22" i="20"/>
  <c r="AE23" i="20" s="1"/>
  <c r="O161" i="20"/>
  <c r="O162" i="20" s="1"/>
  <c r="O163" i="20" s="1"/>
  <c r="O8" i="20" s="1"/>
  <c r="P168" i="20"/>
  <c r="O170" i="20"/>
  <c r="O165" i="20"/>
  <c r="AF22" i="20"/>
  <c r="AF23" i="20" s="1"/>
  <c r="N161" i="20"/>
  <c r="N162" i="20" s="1"/>
  <c r="N163" i="20" s="1"/>
  <c r="N8" i="20" s="1"/>
  <c r="AE13" i="20"/>
  <c r="AE14" i="20" s="1"/>
  <c r="AF13" i="20"/>
  <c r="AF14" i="20" s="1"/>
  <c r="N173" i="20"/>
  <c r="N175" i="20"/>
  <c r="P165" i="20"/>
  <c r="P7" i="20" l="1"/>
  <c r="Q7" i="20"/>
  <c r="AE24" i="20"/>
  <c r="AE26" i="20" s="1"/>
  <c r="P164" i="20"/>
  <c r="P9" i="20"/>
  <c r="AF24" i="20"/>
  <c r="AF26" i="20" s="1"/>
  <c r="N170" i="20"/>
  <c r="N171" i="20" s="1"/>
  <c r="N172" i="20" s="1"/>
  <c r="O171" i="20"/>
  <c r="O172" i="20" s="1"/>
  <c r="O173" i="20" s="1"/>
  <c r="N155" i="2" l="1"/>
  <c r="D25" i="14" l="1"/>
  <c r="D24" i="14"/>
  <c r="D23" i="14"/>
  <c r="D22" i="14"/>
  <c r="D21" i="14"/>
  <c r="D20" i="14"/>
  <c r="D19" i="14"/>
  <c r="D18" i="14"/>
  <c r="S2" i="14" s="1"/>
  <c r="D17" i="14"/>
  <c r="D16" i="14"/>
  <c r="Q2" i="14" s="1"/>
  <c r="D15" i="14"/>
  <c r="P2" i="14" s="1"/>
  <c r="D14" i="14"/>
  <c r="O2" i="14" s="1"/>
  <c r="D13" i="14"/>
  <c r="D12" i="14"/>
  <c r="D11" i="14"/>
  <c r="D10" i="14"/>
  <c r="D9" i="14"/>
  <c r="D8" i="14"/>
  <c r="I2" i="14" s="1"/>
  <c r="D6" i="14"/>
  <c r="D5" i="14"/>
  <c r="G2" i="14" s="1"/>
  <c r="D4" i="14"/>
  <c r="D3" i="14"/>
  <c r="Q3" i="14" s="1"/>
  <c r="U2" i="14"/>
  <c r="U20" i="14" s="1"/>
  <c r="J2" i="14"/>
  <c r="F2" i="14"/>
  <c r="P14" i="14" l="1"/>
  <c r="J24" i="14"/>
  <c r="G21" i="14"/>
  <c r="E2" i="14"/>
  <c r="E6" i="14" s="1"/>
  <c r="Q16" i="14"/>
  <c r="Q4" i="14"/>
  <c r="U12" i="14"/>
  <c r="U23" i="14"/>
  <c r="G9" i="14"/>
  <c r="Q24" i="14"/>
  <c r="F3" i="14"/>
  <c r="G5" i="14"/>
  <c r="J4" i="14"/>
  <c r="Q11" i="14"/>
  <c r="F19" i="14"/>
  <c r="Q22" i="14"/>
  <c r="P6" i="14"/>
  <c r="J9" i="14"/>
  <c r="J15" i="14"/>
  <c r="F16" i="14"/>
  <c r="F20" i="14"/>
  <c r="L2" i="14"/>
  <c r="L6" i="14" s="1"/>
  <c r="W2" i="14"/>
  <c r="W6" i="14" s="1"/>
  <c r="U4" i="14"/>
  <c r="G6" i="14"/>
  <c r="Q6" i="14"/>
  <c r="Q9" i="14"/>
  <c r="F11" i="14"/>
  <c r="F12" i="14"/>
  <c r="G13" i="14"/>
  <c r="U14" i="14"/>
  <c r="J20" i="14"/>
  <c r="F24" i="14"/>
  <c r="H2" i="14"/>
  <c r="H4" i="14" s="1"/>
  <c r="M2" i="14"/>
  <c r="M14" i="14" s="1"/>
  <c r="X2" i="14"/>
  <c r="X22" i="14" s="1"/>
  <c r="F4" i="14"/>
  <c r="H6" i="14"/>
  <c r="U6" i="14"/>
  <c r="F9" i="14"/>
  <c r="J12" i="14"/>
  <c r="U15" i="14"/>
  <c r="Q19" i="14"/>
  <c r="P22" i="14"/>
  <c r="J23" i="14"/>
  <c r="G24" i="14"/>
  <c r="T2" i="14"/>
  <c r="T15" i="14" s="1"/>
  <c r="Y2" i="14"/>
  <c r="Y20" i="14" s="1"/>
  <c r="I24" i="14"/>
  <c r="I16" i="14"/>
  <c r="S24" i="14"/>
  <c r="S22" i="14"/>
  <c r="S16" i="14"/>
  <c r="S14" i="14"/>
  <c r="I4" i="14"/>
  <c r="S4" i="14"/>
  <c r="S8" i="14"/>
  <c r="O8" i="14"/>
  <c r="G8" i="14"/>
  <c r="I8" i="14"/>
  <c r="Q10" i="14"/>
  <c r="I10" i="14"/>
  <c r="U10" i="14"/>
  <c r="P10" i="14"/>
  <c r="J10" i="14"/>
  <c r="S10" i="14"/>
  <c r="I12" i="14"/>
  <c r="S12" i="14"/>
  <c r="I15" i="14"/>
  <c r="I18" i="14"/>
  <c r="U25" i="14"/>
  <c r="Q25" i="14"/>
  <c r="I25" i="14"/>
  <c r="S25" i="14"/>
  <c r="Z2" i="14"/>
  <c r="Z8" i="14" s="1"/>
  <c r="G25" i="14"/>
  <c r="O25" i="14"/>
  <c r="O24" i="14"/>
  <c r="O16" i="14"/>
  <c r="O4" i="14"/>
  <c r="S5" i="14"/>
  <c r="J8" i="14"/>
  <c r="P8" i="14"/>
  <c r="U8" i="14"/>
  <c r="F10" i="14"/>
  <c r="U17" i="14"/>
  <c r="Q17" i="14"/>
  <c r="I17" i="14"/>
  <c r="S17" i="14"/>
  <c r="R2" i="14"/>
  <c r="R22" i="14" s="1"/>
  <c r="G17" i="14"/>
  <c r="O17" i="14"/>
  <c r="S21" i="14"/>
  <c r="S23" i="14"/>
  <c r="O23" i="14"/>
  <c r="G23" i="14"/>
  <c r="Q23" i="14"/>
  <c r="F23" i="14"/>
  <c r="F25" i="14"/>
  <c r="P25" i="14"/>
  <c r="G20" i="14"/>
  <c r="G12" i="14"/>
  <c r="K2" i="14"/>
  <c r="K5" i="14" s="1"/>
  <c r="U24" i="14"/>
  <c r="U16" i="14"/>
  <c r="S3" i="14"/>
  <c r="O3" i="14"/>
  <c r="G3" i="14"/>
  <c r="I3" i="14"/>
  <c r="U5" i="14"/>
  <c r="Q5" i="14"/>
  <c r="I5" i="14"/>
  <c r="J5" i="14"/>
  <c r="O5" i="14"/>
  <c r="S6" i="14"/>
  <c r="F8" i="14"/>
  <c r="Q8" i="14"/>
  <c r="I9" i="14"/>
  <c r="S9" i="14"/>
  <c r="G10" i="14"/>
  <c r="S13" i="14"/>
  <c r="S15" i="14"/>
  <c r="O15" i="14"/>
  <c r="G15" i="14"/>
  <c r="H15" i="14"/>
  <c r="Q15" i="14"/>
  <c r="F15" i="14"/>
  <c r="G16" i="14"/>
  <c r="F17" i="14"/>
  <c r="P17" i="14"/>
  <c r="J18" i="14"/>
  <c r="F18" i="14"/>
  <c r="Q18" i="14"/>
  <c r="G18" i="14"/>
  <c r="U18" i="14"/>
  <c r="P18" i="14"/>
  <c r="O18" i="14"/>
  <c r="O20" i="14"/>
  <c r="G22" i="14"/>
  <c r="P23" i="14"/>
  <c r="J25" i="14"/>
  <c r="Q20" i="14"/>
  <c r="Q12" i="14"/>
  <c r="J3" i="14"/>
  <c r="P3" i="14"/>
  <c r="U3" i="14"/>
  <c r="G4" i="14"/>
  <c r="W4" i="14"/>
  <c r="F5" i="14"/>
  <c r="P5" i="14"/>
  <c r="J6" i="14"/>
  <c r="F6" i="14"/>
  <c r="I6" i="14"/>
  <c r="O6" i="14"/>
  <c r="O9" i="14"/>
  <c r="U9" i="14"/>
  <c r="O10" i="14"/>
  <c r="O12" i="14"/>
  <c r="G14" i="14"/>
  <c r="Q14" i="14"/>
  <c r="P15" i="14"/>
  <c r="J17" i="14"/>
  <c r="S18" i="14"/>
  <c r="I20" i="14"/>
  <c r="S20" i="14"/>
  <c r="U22" i="14"/>
  <c r="I23" i="14"/>
  <c r="W24" i="14"/>
  <c r="S11" i="14"/>
  <c r="O11" i="14"/>
  <c r="G11" i="14"/>
  <c r="I11" i="14"/>
  <c r="U13" i="14"/>
  <c r="Q13" i="14"/>
  <c r="I13" i="14"/>
  <c r="J13" i="14"/>
  <c r="O13" i="14"/>
  <c r="S19" i="14"/>
  <c r="O19" i="14"/>
  <c r="G19" i="14"/>
  <c r="I19" i="14"/>
  <c r="U21" i="14"/>
  <c r="Q21" i="14"/>
  <c r="I21" i="14"/>
  <c r="J21" i="14"/>
  <c r="O21" i="14"/>
  <c r="N2" i="14"/>
  <c r="N8" i="14" s="1"/>
  <c r="V2" i="14"/>
  <c r="P4" i="14"/>
  <c r="P9" i="14"/>
  <c r="J11" i="14"/>
  <c r="P11" i="14"/>
  <c r="U11" i="14"/>
  <c r="F13" i="14"/>
  <c r="P13" i="14"/>
  <c r="J14" i="14"/>
  <c r="F14" i="14"/>
  <c r="I14" i="14"/>
  <c r="O14" i="14"/>
  <c r="J16" i="14"/>
  <c r="J19" i="14"/>
  <c r="P19" i="14"/>
  <c r="U19" i="14"/>
  <c r="F21" i="14"/>
  <c r="P21" i="14"/>
  <c r="J22" i="14"/>
  <c r="F22" i="14"/>
  <c r="I22" i="14"/>
  <c r="O22" i="14"/>
  <c r="P12" i="14"/>
  <c r="P16" i="14"/>
  <c r="H20" i="14"/>
  <c r="P20" i="14"/>
  <c r="P24" i="14"/>
  <c r="E17" i="14" l="1"/>
  <c r="W12" i="14"/>
  <c r="E5" i="14"/>
  <c r="E22" i="14"/>
  <c r="W17" i="14"/>
  <c r="E12" i="14"/>
  <c r="Y17" i="14"/>
  <c r="W20" i="14"/>
  <c r="W18" i="14"/>
  <c r="W15" i="14"/>
  <c r="E16" i="14"/>
  <c r="H14" i="14"/>
  <c r="H25" i="14"/>
  <c r="H24" i="14"/>
  <c r="Z3" i="14"/>
  <c r="E11" i="14"/>
  <c r="E13" i="14"/>
  <c r="E19" i="14"/>
  <c r="W10" i="14"/>
  <c r="T9" i="14"/>
  <c r="E21" i="14"/>
  <c r="T13" i="14"/>
  <c r="E15" i="14"/>
  <c r="E9" i="14"/>
  <c r="E14" i="14"/>
  <c r="W3" i="14"/>
  <c r="E20" i="14"/>
  <c r="E4" i="14"/>
  <c r="E25" i="14"/>
  <c r="E10" i="14"/>
  <c r="W8" i="14"/>
  <c r="M22" i="14"/>
  <c r="E24" i="14"/>
  <c r="H12" i="14"/>
  <c r="T14" i="14"/>
  <c r="T21" i="14"/>
  <c r="H18" i="14"/>
  <c r="H10" i="14"/>
  <c r="E3" i="14"/>
  <c r="E23" i="14"/>
  <c r="E18" i="14"/>
  <c r="L18" i="14"/>
  <c r="M5" i="14"/>
  <c r="W23" i="14"/>
  <c r="H17" i="14"/>
  <c r="M9" i="14"/>
  <c r="E8" i="14"/>
  <c r="H11" i="14"/>
  <c r="W22" i="14"/>
  <c r="L16" i="14"/>
  <c r="R14" i="14"/>
  <c r="L4" i="14"/>
  <c r="L11" i="14"/>
  <c r="R18" i="14"/>
  <c r="Y15" i="14"/>
  <c r="L8" i="14"/>
  <c r="L23" i="14"/>
  <c r="L22" i="14"/>
  <c r="L20" i="14"/>
  <c r="L9" i="14"/>
  <c r="T17" i="14"/>
  <c r="L17" i="14"/>
  <c r="Y16" i="14"/>
  <c r="X13" i="14"/>
  <c r="L24" i="14"/>
  <c r="L12" i="14"/>
  <c r="T4" i="14"/>
  <c r="Y21" i="14"/>
  <c r="T6" i="14"/>
  <c r="L15" i="14"/>
  <c r="T3" i="14"/>
  <c r="X23" i="14"/>
  <c r="X18" i="14"/>
  <c r="X17" i="14"/>
  <c r="L25" i="14"/>
  <c r="X20" i="14"/>
  <c r="L10" i="14"/>
  <c r="X5" i="14"/>
  <c r="X3" i="14"/>
  <c r="X4" i="14"/>
  <c r="X24" i="14"/>
  <c r="X19" i="14"/>
  <c r="X8" i="14"/>
  <c r="X15" i="14"/>
  <c r="X10" i="14"/>
  <c r="X9" i="14"/>
  <c r="X6" i="14"/>
  <c r="X12" i="14"/>
  <c r="M16" i="14"/>
  <c r="X14" i="14"/>
  <c r="W5" i="14"/>
  <c r="H16" i="14"/>
  <c r="Y14" i="14"/>
  <c r="H9" i="14"/>
  <c r="X16" i="14"/>
  <c r="W11" i="14"/>
  <c r="X21" i="14"/>
  <c r="Y3" i="14"/>
  <c r="X25" i="14"/>
  <c r="X11" i="14"/>
  <c r="W9" i="14"/>
  <c r="M21" i="14"/>
  <c r="Y19" i="14"/>
  <c r="Y13" i="14"/>
  <c r="M8" i="14"/>
  <c r="Z6" i="14"/>
  <c r="Y18" i="14"/>
  <c r="M15" i="14"/>
  <c r="Y12" i="14"/>
  <c r="Y9" i="14"/>
  <c r="M17" i="14"/>
  <c r="Y24" i="14"/>
  <c r="Y25" i="14"/>
  <c r="Y8" i="14"/>
  <c r="M12" i="14"/>
  <c r="Y4" i="14"/>
  <c r="H3" i="14"/>
  <c r="H21" i="14"/>
  <c r="H5" i="14"/>
  <c r="H19" i="14"/>
  <c r="T18" i="14"/>
  <c r="T24" i="14"/>
  <c r="T20" i="14"/>
  <c r="T16" i="14"/>
  <c r="T12" i="14"/>
  <c r="Y22" i="14"/>
  <c r="T19" i="14"/>
  <c r="M13" i="14"/>
  <c r="Y11" i="14"/>
  <c r="M24" i="14"/>
  <c r="M19" i="14"/>
  <c r="Y10" i="14"/>
  <c r="H8" i="14"/>
  <c r="M4" i="14"/>
  <c r="H22" i="14"/>
  <c r="M6" i="14"/>
  <c r="Y23" i="14"/>
  <c r="H23" i="14"/>
  <c r="M18" i="14"/>
  <c r="T10" i="14"/>
  <c r="M25" i="14"/>
  <c r="M11" i="14"/>
  <c r="M10" i="14"/>
  <c r="T8" i="14"/>
  <c r="M20" i="14"/>
  <c r="W16" i="14"/>
  <c r="W14" i="14"/>
  <c r="W21" i="14"/>
  <c r="T22" i="14"/>
  <c r="W19" i="14"/>
  <c r="T11" i="14"/>
  <c r="T23" i="14"/>
  <c r="W13" i="14"/>
  <c r="Y6" i="14"/>
  <c r="T25" i="14"/>
  <c r="T5" i="14"/>
  <c r="Y5" i="14"/>
  <c r="M23" i="14"/>
  <c r="M3" i="14"/>
  <c r="W25" i="14"/>
  <c r="L13" i="14"/>
  <c r="L3" i="14"/>
  <c r="L21" i="14"/>
  <c r="L5" i="14"/>
  <c r="L19" i="14"/>
  <c r="L14" i="14"/>
  <c r="H13" i="14"/>
  <c r="V20" i="14"/>
  <c r="V12" i="14"/>
  <c r="V16" i="14"/>
  <c r="V11" i="14"/>
  <c r="V24" i="14"/>
  <c r="V19" i="14"/>
  <c r="V4" i="14"/>
  <c r="V17" i="14"/>
  <c r="V9" i="14"/>
  <c r="V3" i="14"/>
  <c r="V6" i="14"/>
  <c r="V8" i="14"/>
  <c r="K20" i="14"/>
  <c r="K12" i="14"/>
  <c r="K22" i="14"/>
  <c r="K16" i="14"/>
  <c r="K24" i="14"/>
  <c r="K4" i="14"/>
  <c r="K17" i="14"/>
  <c r="K14" i="14"/>
  <c r="K9" i="14"/>
  <c r="K6" i="14"/>
  <c r="K23" i="14"/>
  <c r="R20" i="14"/>
  <c r="R12" i="14"/>
  <c r="R4" i="14"/>
  <c r="R16" i="14"/>
  <c r="R11" i="14"/>
  <c r="R24" i="14"/>
  <c r="R19" i="14"/>
  <c r="R13" i="14"/>
  <c r="R9" i="14"/>
  <c r="R3" i="14"/>
  <c r="R21" i="14"/>
  <c r="R5" i="14"/>
  <c r="V10" i="14"/>
  <c r="V22" i="14"/>
  <c r="K21" i="14"/>
  <c r="V14" i="14"/>
  <c r="K13" i="14"/>
  <c r="N24" i="14"/>
  <c r="N16" i="14"/>
  <c r="N21" i="14"/>
  <c r="N12" i="14"/>
  <c r="N9" i="14"/>
  <c r="N20" i="14"/>
  <c r="N5" i="14"/>
  <c r="N13" i="14"/>
  <c r="N4" i="14"/>
  <c r="R8" i="14"/>
  <c r="V18" i="14"/>
  <c r="K15" i="14"/>
  <c r="R23" i="14"/>
  <c r="K10" i="14"/>
  <c r="Z24" i="14"/>
  <c r="Z16" i="14"/>
  <c r="Z12" i="14"/>
  <c r="Z9" i="14"/>
  <c r="Z20" i="14"/>
  <c r="Z4" i="14"/>
  <c r="Z10" i="14"/>
  <c r="Z22" i="14"/>
  <c r="Z14" i="14"/>
  <c r="K19" i="14"/>
  <c r="K11" i="14"/>
  <c r="V25" i="14"/>
  <c r="Z15" i="14"/>
  <c r="N6" i="14"/>
  <c r="V5" i="14"/>
  <c r="Z23" i="14"/>
  <c r="K18" i="14"/>
  <c r="Z18" i="14"/>
  <c r="R15" i="14"/>
  <c r="N10" i="14"/>
  <c r="K3" i="14"/>
  <c r="N23" i="14"/>
  <c r="V23" i="14"/>
  <c r="Z17" i="14"/>
  <c r="R17" i="14"/>
  <c r="N17" i="14"/>
  <c r="N22" i="14"/>
  <c r="V21" i="14"/>
  <c r="Z19" i="14"/>
  <c r="N14" i="14"/>
  <c r="V13" i="14"/>
  <c r="Z11" i="14"/>
  <c r="Z21" i="14"/>
  <c r="N19" i="14"/>
  <c r="Z13" i="14"/>
  <c r="N11" i="14"/>
  <c r="K25" i="14"/>
  <c r="R6" i="14"/>
  <c r="N18" i="14"/>
  <c r="N15" i="14"/>
  <c r="V15" i="14"/>
  <c r="Z5" i="14"/>
  <c r="N3" i="14"/>
  <c r="Z25" i="14"/>
  <c r="R25" i="14"/>
  <c r="N25" i="14"/>
  <c r="R10" i="14"/>
  <c r="K8" i="14"/>
  <c r="L2" i="2" l="1"/>
  <c r="W2" i="2" l="1"/>
  <c r="Y2" i="2" s="1"/>
  <c r="AA2" i="2" s="1"/>
  <c r="C4" i="2" l="1"/>
  <c r="C5" i="2"/>
  <c r="G5" i="2" s="1"/>
  <c r="K5" i="2" s="1"/>
  <c r="C6" i="2"/>
  <c r="G6" i="2" s="1"/>
  <c r="K6" i="2" s="1"/>
  <c r="C7" i="2"/>
  <c r="G7" i="2" s="1"/>
  <c r="K7" i="2" s="1"/>
  <c r="C8" i="2"/>
  <c r="G8" i="2" s="1"/>
  <c r="K8" i="2" s="1"/>
  <c r="C9" i="2"/>
  <c r="G9" i="2" s="1"/>
  <c r="K9" i="2" s="1"/>
  <c r="C10" i="2"/>
  <c r="G10" i="2" s="1"/>
  <c r="K10" i="2" s="1"/>
  <c r="C11" i="2"/>
  <c r="G11" i="2" s="1"/>
  <c r="K11" i="2" s="1"/>
  <c r="C12" i="2"/>
  <c r="G12" i="2" s="1"/>
  <c r="K12" i="2" s="1"/>
  <c r="C13" i="2"/>
  <c r="G13" i="2" s="1"/>
  <c r="K13" i="2" s="1"/>
  <c r="C14" i="2"/>
  <c r="G14" i="2" s="1"/>
  <c r="K14" i="2" s="1"/>
  <c r="C15" i="2"/>
  <c r="G15" i="2" s="1"/>
  <c r="K15" i="2" s="1"/>
  <c r="C16" i="2"/>
  <c r="G16" i="2" s="1"/>
  <c r="K16" i="2" s="1"/>
  <c r="C17" i="2"/>
  <c r="G17" i="2" s="1"/>
  <c r="K17" i="2" s="1"/>
  <c r="C18" i="2"/>
  <c r="G18" i="2" s="1"/>
  <c r="K18" i="2" s="1"/>
  <c r="C19" i="2"/>
  <c r="G19" i="2" s="1"/>
  <c r="K19" i="2" s="1"/>
  <c r="C20" i="2"/>
  <c r="G20" i="2" s="1"/>
  <c r="K20" i="2" s="1"/>
  <c r="C21" i="2"/>
  <c r="G21" i="2" s="1"/>
  <c r="K21" i="2" s="1"/>
  <c r="C22" i="2"/>
  <c r="G22" i="2" s="1"/>
  <c r="K22" i="2" s="1"/>
  <c r="C23" i="2"/>
  <c r="G23" i="2" s="1"/>
  <c r="K23" i="2" s="1"/>
  <c r="C24" i="2"/>
  <c r="G24" i="2" s="1"/>
  <c r="K24" i="2" s="1"/>
  <c r="C25" i="2"/>
  <c r="G25" i="2" s="1"/>
  <c r="K25" i="2" s="1"/>
  <c r="C26" i="2"/>
  <c r="G26" i="2" s="1"/>
  <c r="K26" i="2" s="1"/>
  <c r="C27" i="2"/>
  <c r="G27" i="2" s="1"/>
  <c r="K27" i="2" s="1"/>
  <c r="C28" i="2"/>
  <c r="G28" i="2" s="1"/>
  <c r="K28" i="2" s="1"/>
  <c r="C29" i="2"/>
  <c r="G29" i="2" s="1"/>
  <c r="K29" i="2" s="1"/>
  <c r="C30" i="2"/>
  <c r="G30" i="2" s="1"/>
  <c r="K30" i="2" s="1"/>
  <c r="C31" i="2"/>
  <c r="G31" i="2" s="1"/>
  <c r="K31" i="2" s="1"/>
  <c r="C32" i="2"/>
  <c r="G32" i="2" s="1"/>
  <c r="K32" i="2" s="1"/>
  <c r="C33" i="2"/>
  <c r="G33" i="2" s="1"/>
  <c r="K33" i="2" s="1"/>
  <c r="C34" i="2"/>
  <c r="G34" i="2" s="1"/>
  <c r="K34" i="2" s="1"/>
  <c r="C35" i="2"/>
  <c r="G35" i="2" s="1"/>
  <c r="K35" i="2" s="1"/>
  <c r="C36" i="2"/>
  <c r="G36" i="2" s="1"/>
  <c r="K36" i="2" s="1"/>
  <c r="C37" i="2"/>
  <c r="G37" i="2" s="1"/>
  <c r="K37" i="2" s="1"/>
  <c r="C38" i="2"/>
  <c r="G38" i="2" s="1"/>
  <c r="K38" i="2" s="1"/>
  <c r="C39" i="2"/>
  <c r="G39" i="2" s="1"/>
  <c r="K39" i="2" s="1"/>
  <c r="C40" i="2"/>
  <c r="G40" i="2" s="1"/>
  <c r="K40" i="2" s="1"/>
  <c r="C41" i="2"/>
  <c r="G41" i="2" s="1"/>
  <c r="K41" i="2" s="1"/>
  <c r="C42" i="2"/>
  <c r="G42" i="2" s="1"/>
  <c r="K42" i="2" s="1"/>
  <c r="C43" i="2"/>
  <c r="G43" i="2" s="1"/>
  <c r="K43" i="2" s="1"/>
  <c r="C44" i="2"/>
  <c r="G44" i="2" s="1"/>
  <c r="K44" i="2" s="1"/>
  <c r="C45" i="2"/>
  <c r="G45" i="2" s="1"/>
  <c r="K45" i="2" s="1"/>
  <c r="C46" i="2"/>
  <c r="G46" i="2" s="1"/>
  <c r="K46" i="2" s="1"/>
  <c r="C47" i="2"/>
  <c r="G47" i="2" s="1"/>
  <c r="K47" i="2" s="1"/>
  <c r="C48" i="2"/>
  <c r="G48" i="2" s="1"/>
  <c r="K48" i="2" s="1"/>
  <c r="C49" i="2"/>
  <c r="G49" i="2" s="1"/>
  <c r="K49" i="2" s="1"/>
  <c r="C50" i="2"/>
  <c r="G50" i="2" s="1"/>
  <c r="K50" i="2" s="1"/>
  <c r="C51" i="2"/>
  <c r="G51" i="2" s="1"/>
  <c r="K51" i="2" s="1"/>
  <c r="C52" i="2"/>
  <c r="G52" i="2" s="1"/>
  <c r="K52" i="2" s="1"/>
  <c r="C53" i="2"/>
  <c r="G53" i="2" s="1"/>
  <c r="K53" i="2" s="1"/>
  <c r="C54" i="2"/>
  <c r="G54" i="2" s="1"/>
  <c r="K54" i="2" s="1"/>
  <c r="C55" i="2"/>
  <c r="G55" i="2" s="1"/>
  <c r="K55" i="2" s="1"/>
  <c r="C56" i="2"/>
  <c r="G56" i="2" s="1"/>
  <c r="K56" i="2" s="1"/>
  <c r="C57" i="2"/>
  <c r="G57" i="2" s="1"/>
  <c r="K57" i="2" s="1"/>
  <c r="C58" i="2"/>
  <c r="G58" i="2" s="1"/>
  <c r="K58" i="2" s="1"/>
  <c r="C59" i="2"/>
  <c r="G59" i="2" s="1"/>
  <c r="K59" i="2" s="1"/>
  <c r="C60" i="2"/>
  <c r="G60" i="2" s="1"/>
  <c r="K60" i="2" s="1"/>
  <c r="C61" i="2"/>
  <c r="G61" i="2" s="1"/>
  <c r="K61" i="2" s="1"/>
  <c r="C62" i="2"/>
  <c r="G62" i="2" s="1"/>
  <c r="K62" i="2" s="1"/>
  <c r="C63" i="2"/>
  <c r="G63" i="2" s="1"/>
  <c r="K63" i="2" s="1"/>
  <c r="C64" i="2"/>
  <c r="G64" i="2" s="1"/>
  <c r="K64" i="2" s="1"/>
  <c r="C65" i="2"/>
  <c r="G65" i="2" s="1"/>
  <c r="K65" i="2" s="1"/>
  <c r="C66" i="2"/>
  <c r="G66" i="2" s="1"/>
  <c r="K66" i="2" s="1"/>
  <c r="C67" i="2"/>
  <c r="G67" i="2" s="1"/>
  <c r="K67" i="2" s="1"/>
  <c r="C68" i="2"/>
  <c r="G68" i="2" s="1"/>
  <c r="K68" i="2" s="1"/>
  <c r="C69" i="2"/>
  <c r="G69" i="2" s="1"/>
  <c r="K69" i="2" s="1"/>
  <c r="C70" i="2"/>
  <c r="G70" i="2" s="1"/>
  <c r="K70" i="2" s="1"/>
  <c r="C71" i="2"/>
  <c r="G71" i="2" s="1"/>
  <c r="K71" i="2" s="1"/>
  <c r="C72" i="2"/>
  <c r="G72" i="2" s="1"/>
  <c r="K72" i="2" s="1"/>
  <c r="C73" i="2"/>
  <c r="G73" i="2" s="1"/>
  <c r="K73" i="2" s="1"/>
  <c r="C74" i="2"/>
  <c r="G74" i="2" s="1"/>
  <c r="K74" i="2" s="1"/>
  <c r="C75" i="2"/>
  <c r="G75" i="2" s="1"/>
  <c r="K75" i="2" s="1"/>
  <c r="C76" i="2"/>
  <c r="G76" i="2" s="1"/>
  <c r="K76" i="2" s="1"/>
  <c r="C77" i="2"/>
  <c r="G77" i="2" s="1"/>
  <c r="K77" i="2" s="1"/>
  <c r="C78" i="2"/>
  <c r="G78" i="2" s="1"/>
  <c r="K78" i="2" s="1"/>
  <c r="C79" i="2"/>
  <c r="G79" i="2" s="1"/>
  <c r="K79" i="2" s="1"/>
  <c r="C80" i="2"/>
  <c r="G80" i="2" s="1"/>
  <c r="K80" i="2" s="1"/>
  <c r="C81" i="2"/>
  <c r="G81" i="2" s="1"/>
  <c r="K81" i="2" s="1"/>
  <c r="C82" i="2"/>
  <c r="G82" i="2" s="1"/>
  <c r="K82" i="2" s="1"/>
  <c r="C83" i="2"/>
  <c r="G83" i="2" s="1"/>
  <c r="K83" i="2" s="1"/>
  <c r="C84" i="2"/>
  <c r="G84" i="2" s="1"/>
  <c r="K84" i="2" s="1"/>
  <c r="C85" i="2"/>
  <c r="G85" i="2" s="1"/>
  <c r="K85" i="2" s="1"/>
  <c r="C86" i="2"/>
  <c r="G86" i="2" s="1"/>
  <c r="K86" i="2" s="1"/>
  <c r="C87" i="2"/>
  <c r="G87" i="2" s="1"/>
  <c r="K87" i="2" s="1"/>
  <c r="C88" i="2"/>
  <c r="G88" i="2" s="1"/>
  <c r="K88" i="2" s="1"/>
  <c r="C89" i="2"/>
  <c r="G89" i="2" s="1"/>
  <c r="K89" i="2" s="1"/>
  <c r="C90" i="2"/>
  <c r="G90" i="2" s="1"/>
  <c r="K90" i="2" s="1"/>
  <c r="C91" i="2"/>
  <c r="G91" i="2" s="1"/>
  <c r="K91" i="2" s="1"/>
  <c r="C92" i="2"/>
  <c r="G92" i="2" s="1"/>
  <c r="K92" i="2" s="1"/>
  <c r="C93" i="2"/>
  <c r="G93" i="2" s="1"/>
  <c r="K93" i="2" s="1"/>
  <c r="C94" i="2"/>
  <c r="G94" i="2" s="1"/>
  <c r="K94" i="2" s="1"/>
  <c r="C95" i="2"/>
  <c r="G95" i="2" s="1"/>
  <c r="K95" i="2" s="1"/>
  <c r="C96" i="2"/>
  <c r="G96" i="2" s="1"/>
  <c r="K96" i="2" s="1"/>
  <c r="C97" i="2"/>
  <c r="G97" i="2" s="1"/>
  <c r="K97" i="2" s="1"/>
  <c r="C98" i="2"/>
  <c r="G98" i="2" s="1"/>
  <c r="K98" i="2" s="1"/>
  <c r="C99" i="2"/>
  <c r="G99" i="2" s="1"/>
  <c r="K99" i="2" s="1"/>
  <c r="C100" i="2"/>
  <c r="G100" i="2" s="1"/>
  <c r="K100" i="2" s="1"/>
  <c r="C101" i="2"/>
  <c r="G101" i="2" s="1"/>
  <c r="K101" i="2" s="1"/>
  <c r="C102" i="2"/>
  <c r="G102" i="2" s="1"/>
  <c r="K102" i="2" s="1"/>
  <c r="C103" i="2"/>
  <c r="G103" i="2" s="1"/>
  <c r="K103" i="2" s="1"/>
  <c r="C104" i="2"/>
  <c r="G104" i="2" s="1"/>
  <c r="K104" i="2" s="1"/>
  <c r="C105" i="2"/>
  <c r="G105" i="2" s="1"/>
  <c r="K105" i="2" s="1"/>
  <c r="C106" i="2"/>
  <c r="G106" i="2" s="1"/>
  <c r="K106" i="2" s="1"/>
  <c r="C107" i="2"/>
  <c r="G107" i="2" s="1"/>
  <c r="K107" i="2" s="1"/>
  <c r="C108" i="2"/>
  <c r="G108" i="2" s="1"/>
  <c r="K108" i="2" s="1"/>
  <c r="C109" i="2"/>
  <c r="G109" i="2" s="1"/>
  <c r="K109" i="2" s="1"/>
  <c r="C110" i="2"/>
  <c r="G110" i="2" s="1"/>
  <c r="K110" i="2" s="1"/>
  <c r="C111" i="2"/>
  <c r="G111" i="2" s="1"/>
  <c r="K111" i="2" s="1"/>
  <c r="C112" i="2"/>
  <c r="G112" i="2" s="1"/>
  <c r="K112" i="2" s="1"/>
  <c r="C113" i="2"/>
  <c r="G113" i="2" s="1"/>
  <c r="K113" i="2" s="1"/>
  <c r="C114" i="2"/>
  <c r="G114" i="2" s="1"/>
  <c r="K114" i="2" s="1"/>
  <c r="C115" i="2"/>
  <c r="G115" i="2" s="1"/>
  <c r="K115" i="2" s="1"/>
  <c r="M4" i="2"/>
  <c r="D4" i="2"/>
  <c r="H4" i="2" s="1"/>
  <c r="L4" i="2" s="1"/>
  <c r="M5" i="2"/>
  <c r="D5" i="2"/>
  <c r="M6" i="2"/>
  <c r="D6" i="2"/>
  <c r="M7" i="2"/>
  <c r="D7" i="2"/>
  <c r="M8" i="2"/>
  <c r="D8" i="2"/>
  <c r="H8" i="2" s="1"/>
  <c r="L8" i="2" s="1"/>
  <c r="M9" i="2"/>
  <c r="D9" i="2"/>
  <c r="M10" i="2"/>
  <c r="D10" i="2"/>
  <c r="H10" i="2" s="1"/>
  <c r="L10" i="2" s="1"/>
  <c r="M11" i="2"/>
  <c r="D11" i="2"/>
  <c r="M12" i="2"/>
  <c r="N12" i="2" s="1"/>
  <c r="D12" i="2"/>
  <c r="H12" i="2" s="1"/>
  <c r="L12" i="2" s="1"/>
  <c r="M13" i="2"/>
  <c r="D13" i="2"/>
  <c r="M14" i="2"/>
  <c r="D14" i="2"/>
  <c r="M15" i="2"/>
  <c r="D15" i="2"/>
  <c r="M16" i="2"/>
  <c r="D16" i="2"/>
  <c r="H16" i="2" s="1"/>
  <c r="L16" i="2" s="1"/>
  <c r="M17" i="2"/>
  <c r="D17" i="2"/>
  <c r="M18" i="2"/>
  <c r="D18" i="2"/>
  <c r="H18" i="2" s="1"/>
  <c r="L18" i="2" s="1"/>
  <c r="M19" i="2"/>
  <c r="D19" i="2"/>
  <c r="M20" i="2"/>
  <c r="D20" i="2"/>
  <c r="H20" i="2" s="1"/>
  <c r="L20" i="2" s="1"/>
  <c r="M21" i="2"/>
  <c r="D21" i="2"/>
  <c r="M22" i="2"/>
  <c r="D22" i="2"/>
  <c r="M23" i="2"/>
  <c r="D23" i="2"/>
  <c r="M24" i="2"/>
  <c r="D24" i="2"/>
  <c r="H24" i="2" s="1"/>
  <c r="L24" i="2" s="1"/>
  <c r="M25" i="2"/>
  <c r="D25" i="2"/>
  <c r="M26" i="2"/>
  <c r="D26" i="2"/>
  <c r="H26" i="2" s="1"/>
  <c r="L26" i="2" s="1"/>
  <c r="M27" i="2"/>
  <c r="D27" i="2"/>
  <c r="M28" i="2"/>
  <c r="N28" i="2" s="1"/>
  <c r="D28" i="2"/>
  <c r="H28" i="2" s="1"/>
  <c r="L28" i="2" s="1"/>
  <c r="M29" i="2"/>
  <c r="D29" i="2"/>
  <c r="M30" i="2"/>
  <c r="D30" i="2"/>
  <c r="M31" i="2"/>
  <c r="D31" i="2"/>
  <c r="M32" i="2"/>
  <c r="D32" i="2"/>
  <c r="H32" i="2" s="1"/>
  <c r="L32" i="2" s="1"/>
  <c r="M33" i="2"/>
  <c r="D33" i="2"/>
  <c r="M34" i="2"/>
  <c r="D34" i="2"/>
  <c r="H34" i="2" s="1"/>
  <c r="L34" i="2" s="1"/>
  <c r="M35" i="2"/>
  <c r="D35" i="2"/>
  <c r="M36" i="2"/>
  <c r="N36" i="2" s="1"/>
  <c r="D36" i="2"/>
  <c r="H36" i="2" s="1"/>
  <c r="L36" i="2" s="1"/>
  <c r="M37" i="2"/>
  <c r="D37" i="2"/>
  <c r="M38" i="2"/>
  <c r="D38" i="2"/>
  <c r="M39" i="2"/>
  <c r="D39" i="2"/>
  <c r="M40" i="2"/>
  <c r="D40" i="2"/>
  <c r="H40" i="2" s="1"/>
  <c r="L40" i="2" s="1"/>
  <c r="M41" i="2"/>
  <c r="D41" i="2"/>
  <c r="M42" i="2"/>
  <c r="D42" i="2"/>
  <c r="H42" i="2" s="1"/>
  <c r="L42" i="2" s="1"/>
  <c r="M43" i="2"/>
  <c r="D43" i="2"/>
  <c r="M44" i="2"/>
  <c r="D44" i="2"/>
  <c r="H44" i="2" s="1"/>
  <c r="L44" i="2" s="1"/>
  <c r="M45" i="2"/>
  <c r="D45" i="2"/>
  <c r="M46" i="2"/>
  <c r="D46" i="2"/>
  <c r="M47" i="2"/>
  <c r="D47" i="2"/>
  <c r="M48" i="2"/>
  <c r="D48" i="2"/>
  <c r="H48" i="2" s="1"/>
  <c r="L48" i="2" s="1"/>
  <c r="M49" i="2"/>
  <c r="D49" i="2"/>
  <c r="M50" i="2"/>
  <c r="D50" i="2"/>
  <c r="H50" i="2" s="1"/>
  <c r="L50" i="2" s="1"/>
  <c r="M51" i="2"/>
  <c r="D51" i="2"/>
  <c r="M52" i="2"/>
  <c r="D52" i="2"/>
  <c r="H52" i="2" s="1"/>
  <c r="L52" i="2" s="1"/>
  <c r="M53" i="2"/>
  <c r="D53" i="2"/>
  <c r="M54" i="2"/>
  <c r="D54" i="2"/>
  <c r="M55" i="2"/>
  <c r="D55" i="2"/>
  <c r="M56" i="2"/>
  <c r="D56" i="2"/>
  <c r="H56" i="2" s="1"/>
  <c r="L56" i="2" s="1"/>
  <c r="M57" i="2"/>
  <c r="D57" i="2"/>
  <c r="M58" i="2"/>
  <c r="D58" i="2"/>
  <c r="J58" i="2" s="1"/>
  <c r="M59" i="2"/>
  <c r="D59" i="2"/>
  <c r="M60" i="2"/>
  <c r="D60" i="2"/>
  <c r="H60" i="2" s="1"/>
  <c r="L60" i="2" s="1"/>
  <c r="M61" i="2"/>
  <c r="D61" i="2"/>
  <c r="M62" i="2"/>
  <c r="D62" i="2"/>
  <c r="M63" i="2"/>
  <c r="D63" i="2"/>
  <c r="M64" i="2"/>
  <c r="D64" i="2"/>
  <c r="H64" i="2" s="1"/>
  <c r="L64" i="2" s="1"/>
  <c r="M65" i="2"/>
  <c r="D65" i="2"/>
  <c r="M66" i="2"/>
  <c r="D66" i="2"/>
  <c r="H66" i="2" s="1"/>
  <c r="L66" i="2" s="1"/>
  <c r="M67" i="2"/>
  <c r="D67" i="2"/>
  <c r="M68" i="2"/>
  <c r="D68" i="2"/>
  <c r="H68" i="2" s="1"/>
  <c r="L68" i="2" s="1"/>
  <c r="M69" i="2"/>
  <c r="D69" i="2"/>
  <c r="M70" i="2"/>
  <c r="D70" i="2"/>
  <c r="M71" i="2"/>
  <c r="D71" i="2"/>
  <c r="M72" i="2"/>
  <c r="D72" i="2"/>
  <c r="H72" i="2" s="1"/>
  <c r="L72" i="2" s="1"/>
  <c r="M73" i="2"/>
  <c r="D73" i="2"/>
  <c r="M74" i="2"/>
  <c r="D74" i="2"/>
  <c r="H74" i="2" s="1"/>
  <c r="L74" i="2" s="1"/>
  <c r="M75" i="2"/>
  <c r="D75" i="2"/>
  <c r="M76" i="2"/>
  <c r="D76" i="2"/>
  <c r="H76" i="2" s="1"/>
  <c r="L76" i="2" s="1"/>
  <c r="M77" i="2"/>
  <c r="D77" i="2"/>
  <c r="M78" i="2"/>
  <c r="D78" i="2"/>
  <c r="M79" i="2"/>
  <c r="D79" i="2"/>
  <c r="M80" i="2"/>
  <c r="D80" i="2"/>
  <c r="H80" i="2" s="1"/>
  <c r="L80" i="2" s="1"/>
  <c r="M81" i="2"/>
  <c r="D81" i="2"/>
  <c r="M82" i="2"/>
  <c r="D82" i="2"/>
  <c r="H82" i="2" s="1"/>
  <c r="L82" i="2" s="1"/>
  <c r="M83" i="2"/>
  <c r="D83" i="2"/>
  <c r="M84" i="2"/>
  <c r="D84" i="2"/>
  <c r="H84" i="2" s="1"/>
  <c r="L84" i="2" s="1"/>
  <c r="M85" i="2"/>
  <c r="D85" i="2"/>
  <c r="M86" i="2"/>
  <c r="D86" i="2"/>
  <c r="M87" i="2"/>
  <c r="D87" i="2"/>
  <c r="M88" i="2"/>
  <c r="D88" i="2"/>
  <c r="H88" i="2" s="1"/>
  <c r="L88" i="2" s="1"/>
  <c r="M89" i="2"/>
  <c r="D89" i="2"/>
  <c r="M90" i="2"/>
  <c r="D90" i="2"/>
  <c r="H90" i="2" s="1"/>
  <c r="L90" i="2" s="1"/>
  <c r="M91" i="2"/>
  <c r="D91" i="2"/>
  <c r="M92" i="2"/>
  <c r="D92" i="2"/>
  <c r="H92" i="2" s="1"/>
  <c r="L92" i="2" s="1"/>
  <c r="M93" i="2"/>
  <c r="D93" i="2"/>
  <c r="M94" i="2"/>
  <c r="D94" i="2"/>
  <c r="M95" i="2"/>
  <c r="D95" i="2"/>
  <c r="M96" i="2"/>
  <c r="D96" i="2"/>
  <c r="H96" i="2" s="1"/>
  <c r="L96" i="2" s="1"/>
  <c r="M97" i="2"/>
  <c r="D97" i="2"/>
  <c r="M98" i="2"/>
  <c r="D98" i="2"/>
  <c r="H98" i="2" s="1"/>
  <c r="L98" i="2" s="1"/>
  <c r="M99" i="2"/>
  <c r="D99" i="2"/>
  <c r="M100" i="2"/>
  <c r="D100" i="2"/>
  <c r="H100" i="2" s="1"/>
  <c r="L100" i="2" s="1"/>
  <c r="M101" i="2"/>
  <c r="D101" i="2"/>
  <c r="M102" i="2"/>
  <c r="D102" i="2"/>
  <c r="H102" i="2" s="1"/>
  <c r="L102" i="2" s="1"/>
  <c r="M103" i="2"/>
  <c r="D103" i="2"/>
  <c r="M104" i="2"/>
  <c r="D104" i="2"/>
  <c r="H104" i="2" s="1"/>
  <c r="L104" i="2" s="1"/>
  <c r="M105" i="2"/>
  <c r="D105" i="2"/>
  <c r="M106" i="2"/>
  <c r="D106" i="2"/>
  <c r="H106" i="2" s="1"/>
  <c r="L106" i="2" s="1"/>
  <c r="M107" i="2"/>
  <c r="D107" i="2"/>
  <c r="M108" i="2"/>
  <c r="D108" i="2"/>
  <c r="H108" i="2" s="1"/>
  <c r="L108" i="2" s="1"/>
  <c r="M109" i="2"/>
  <c r="D109" i="2"/>
  <c r="M110" i="2"/>
  <c r="D110" i="2"/>
  <c r="M111" i="2"/>
  <c r="D111" i="2"/>
  <c r="M112" i="2"/>
  <c r="N112" i="2" s="1"/>
  <c r="D112" i="2"/>
  <c r="H112" i="2" s="1"/>
  <c r="L112" i="2" s="1"/>
  <c r="M113" i="2"/>
  <c r="D113" i="2"/>
  <c r="M114" i="2"/>
  <c r="D114" i="2"/>
  <c r="H114" i="2" s="1"/>
  <c r="L114" i="2" s="1"/>
  <c r="M115" i="2"/>
  <c r="D115" i="2"/>
  <c r="M116" i="2"/>
  <c r="D116" i="2"/>
  <c r="H116" i="2" s="1"/>
  <c r="L116" i="2" s="1"/>
  <c r="M117" i="2"/>
  <c r="D117" i="2"/>
  <c r="M118" i="2"/>
  <c r="D118" i="2"/>
  <c r="J118" i="2" s="1"/>
  <c r="M119" i="2"/>
  <c r="D119" i="2"/>
  <c r="M120" i="2"/>
  <c r="D120" i="2"/>
  <c r="H120" i="2" s="1"/>
  <c r="L120" i="2" s="1"/>
  <c r="M121" i="2"/>
  <c r="D121" i="2"/>
  <c r="M122" i="2"/>
  <c r="D122" i="2"/>
  <c r="H122" i="2" s="1"/>
  <c r="L122" i="2" s="1"/>
  <c r="M123" i="2"/>
  <c r="D123" i="2"/>
  <c r="M124" i="2"/>
  <c r="D124" i="2"/>
  <c r="H124" i="2" s="1"/>
  <c r="L124" i="2" s="1"/>
  <c r="M125" i="2"/>
  <c r="D125" i="2"/>
  <c r="M126" i="2"/>
  <c r="D126" i="2"/>
  <c r="H126" i="2" s="1"/>
  <c r="L126" i="2" s="1"/>
  <c r="M127" i="2"/>
  <c r="D127" i="2"/>
  <c r="M128" i="2"/>
  <c r="D128" i="2"/>
  <c r="M129" i="2"/>
  <c r="D129" i="2"/>
  <c r="M130" i="2"/>
  <c r="D130" i="2"/>
  <c r="H130" i="2" s="1"/>
  <c r="L130" i="2" s="1"/>
  <c r="M131" i="2"/>
  <c r="D131" i="2"/>
  <c r="M132" i="2"/>
  <c r="D132" i="2"/>
  <c r="J132" i="2" s="1"/>
  <c r="M133" i="2"/>
  <c r="D133" i="2"/>
  <c r="M134" i="2"/>
  <c r="D134" i="2"/>
  <c r="H134" i="2" s="1"/>
  <c r="L134" i="2" s="1"/>
  <c r="M135" i="2"/>
  <c r="D135" i="2"/>
  <c r="M136" i="2"/>
  <c r="D136" i="2"/>
  <c r="H136" i="2" s="1"/>
  <c r="L136" i="2" s="1"/>
  <c r="M137" i="2"/>
  <c r="D137" i="2"/>
  <c r="M138" i="2"/>
  <c r="D138" i="2"/>
  <c r="H138" i="2" s="1"/>
  <c r="L138" i="2" s="1"/>
  <c r="M139" i="2"/>
  <c r="D139" i="2"/>
  <c r="M140" i="2"/>
  <c r="D140" i="2"/>
  <c r="H140" i="2" s="1"/>
  <c r="L140" i="2" s="1"/>
  <c r="M141" i="2"/>
  <c r="D141" i="2"/>
  <c r="M142" i="2"/>
  <c r="D142" i="2"/>
  <c r="H142" i="2" s="1"/>
  <c r="L142" i="2" s="1"/>
  <c r="M143" i="2"/>
  <c r="D143" i="2"/>
  <c r="M144" i="2"/>
  <c r="D144" i="2"/>
  <c r="M145" i="2"/>
  <c r="D145" i="2"/>
  <c r="M146" i="2"/>
  <c r="D146" i="2"/>
  <c r="M147" i="2"/>
  <c r="D147" i="2"/>
  <c r="M148" i="2"/>
  <c r="D148" i="2"/>
  <c r="H148" i="2" s="1"/>
  <c r="L148" i="2" s="1"/>
  <c r="M149" i="2"/>
  <c r="D149" i="2"/>
  <c r="M150" i="2"/>
  <c r="D150" i="2"/>
  <c r="H150" i="2" s="1"/>
  <c r="L150" i="2" s="1"/>
  <c r="J52" i="2"/>
  <c r="N7" i="2"/>
  <c r="N21" i="2"/>
  <c r="N29" i="2"/>
  <c r="N31" i="2"/>
  <c r="N37" i="2"/>
  <c r="N43" i="2"/>
  <c r="N53" i="2"/>
  <c r="N55" i="2"/>
  <c r="N79" i="2"/>
  <c r="E4" i="2"/>
  <c r="E5" i="2"/>
  <c r="I5" i="2" s="1"/>
  <c r="E8" i="2"/>
  <c r="I8" i="2" s="1"/>
  <c r="E9" i="2"/>
  <c r="I9" i="2" s="1"/>
  <c r="E11" i="2"/>
  <c r="I11" i="2" s="1"/>
  <c r="E12" i="2"/>
  <c r="I12" i="2" s="1"/>
  <c r="E13" i="2"/>
  <c r="I13" i="2" s="1"/>
  <c r="I16" i="2"/>
  <c r="I17" i="2"/>
  <c r="I20" i="2"/>
  <c r="I21" i="2"/>
  <c r="I24" i="2"/>
  <c r="I25" i="2"/>
  <c r="I27" i="2"/>
  <c r="I28" i="2"/>
  <c r="I29" i="2"/>
  <c r="I32" i="2"/>
  <c r="I33" i="2"/>
  <c r="I36" i="2"/>
  <c r="I37" i="2"/>
  <c r="I40" i="2"/>
  <c r="I41" i="2"/>
  <c r="I43" i="2"/>
  <c r="I44" i="2"/>
  <c r="I45" i="2"/>
  <c r="I48" i="2"/>
  <c r="I49" i="2"/>
  <c r="I52" i="2"/>
  <c r="I53" i="2"/>
  <c r="I56" i="2"/>
  <c r="I57" i="2"/>
  <c r="I59" i="2"/>
  <c r="I60" i="2"/>
  <c r="I61" i="2"/>
  <c r="I64" i="2"/>
  <c r="I65" i="2"/>
  <c r="I68" i="2"/>
  <c r="I69" i="2"/>
  <c r="I72" i="2"/>
  <c r="I73" i="2"/>
  <c r="I75" i="2"/>
  <c r="I76" i="2"/>
  <c r="I77" i="2"/>
  <c r="I80" i="2"/>
  <c r="I81" i="2"/>
  <c r="I84" i="2"/>
  <c r="I85" i="2"/>
  <c r="I88" i="2"/>
  <c r="I89" i="2"/>
  <c r="I91" i="2"/>
  <c r="I92" i="2"/>
  <c r="I93" i="2"/>
  <c r="I96" i="2"/>
  <c r="I97" i="2"/>
  <c r="I100" i="2"/>
  <c r="I101" i="2"/>
  <c r="I104" i="2"/>
  <c r="I105" i="2"/>
  <c r="I107" i="2"/>
  <c r="I108" i="2"/>
  <c r="I109" i="2"/>
  <c r="I112" i="2"/>
  <c r="I113" i="2"/>
  <c r="I111" i="2" l="1"/>
  <c r="I95" i="2"/>
  <c r="I79" i="2"/>
  <c r="I63" i="2"/>
  <c r="P63" i="2" s="1"/>
  <c r="I47" i="2"/>
  <c r="I31" i="2"/>
  <c r="E15" i="2"/>
  <c r="I15" i="2" s="1"/>
  <c r="N75" i="2"/>
  <c r="N39" i="2"/>
  <c r="N19" i="2"/>
  <c r="N115" i="2"/>
  <c r="N111" i="2"/>
  <c r="N103" i="2"/>
  <c r="N95" i="2"/>
  <c r="N91" i="2"/>
  <c r="N87" i="2"/>
  <c r="N83" i="2"/>
  <c r="N71" i="2"/>
  <c r="N63" i="2"/>
  <c r="I99" i="2"/>
  <c r="R99" i="2" s="1"/>
  <c r="I83" i="2"/>
  <c r="I67" i="2"/>
  <c r="I51" i="2"/>
  <c r="I35" i="2"/>
  <c r="AB35" i="2" s="1"/>
  <c r="I19" i="2"/>
  <c r="N107" i="2"/>
  <c r="N67" i="2"/>
  <c r="N51" i="2"/>
  <c r="N27" i="2"/>
  <c r="N15" i="2"/>
  <c r="Y92" i="2"/>
  <c r="Y90" i="2"/>
  <c r="Y88" i="2"/>
  <c r="Y84" i="2"/>
  <c r="Y82" i="2"/>
  <c r="Y80" i="2"/>
  <c r="Y76" i="2"/>
  <c r="Y74" i="2"/>
  <c r="Y72" i="2"/>
  <c r="Y68" i="2"/>
  <c r="Y66" i="2"/>
  <c r="Y64" i="2"/>
  <c r="Y60" i="2"/>
  <c r="Y56" i="2"/>
  <c r="Y52" i="2"/>
  <c r="Y50" i="2"/>
  <c r="Y48" i="2"/>
  <c r="Y44" i="2"/>
  <c r="Y42" i="2"/>
  <c r="Y40" i="2"/>
  <c r="Y36" i="2"/>
  <c r="Y34" i="2"/>
  <c r="Y32" i="2"/>
  <c r="Y28" i="2"/>
  <c r="Y26" i="2"/>
  <c r="Y24" i="2"/>
  <c r="Y20" i="2"/>
  <c r="Y18" i="2"/>
  <c r="Y16" i="2"/>
  <c r="Y12" i="2"/>
  <c r="Y10" i="2"/>
  <c r="Y8" i="2"/>
  <c r="I115" i="2"/>
  <c r="I103" i="2"/>
  <c r="P103" i="2" s="1"/>
  <c r="I87" i="2"/>
  <c r="I71" i="2"/>
  <c r="I55" i="2"/>
  <c r="I39" i="2"/>
  <c r="T39" i="2" s="1"/>
  <c r="I23" i="2"/>
  <c r="E7" i="2"/>
  <c r="I7" i="2" s="1"/>
  <c r="N99" i="2"/>
  <c r="N59" i="2"/>
  <c r="N47" i="2"/>
  <c r="N35" i="2"/>
  <c r="N23" i="2"/>
  <c r="N11" i="2"/>
  <c r="J142" i="2"/>
  <c r="J98" i="2"/>
  <c r="J138" i="2"/>
  <c r="J84" i="2"/>
  <c r="AC84" i="2" s="1"/>
  <c r="J42" i="2"/>
  <c r="O148" i="2"/>
  <c r="O146" i="2"/>
  <c r="O136" i="2"/>
  <c r="O128" i="2"/>
  <c r="N114" i="2"/>
  <c r="N74" i="2"/>
  <c r="N42" i="2"/>
  <c r="N38" i="2"/>
  <c r="N34" i="2"/>
  <c r="N30" i="2"/>
  <c r="N10" i="2"/>
  <c r="X113" i="2"/>
  <c r="X109" i="2"/>
  <c r="X105" i="2"/>
  <c r="X101" i="2"/>
  <c r="X97" i="2"/>
  <c r="X93" i="2"/>
  <c r="X89" i="2"/>
  <c r="X85" i="2"/>
  <c r="X81" i="2"/>
  <c r="X77" i="2"/>
  <c r="X73" i="2"/>
  <c r="X69" i="2"/>
  <c r="X65" i="2"/>
  <c r="X61" i="2"/>
  <c r="X57" i="2"/>
  <c r="X53" i="2"/>
  <c r="X49" i="2"/>
  <c r="X45" i="2"/>
  <c r="X41" i="2"/>
  <c r="X37" i="2"/>
  <c r="X33" i="2"/>
  <c r="X29" i="2"/>
  <c r="X25" i="2"/>
  <c r="X21" i="2"/>
  <c r="X17" i="2"/>
  <c r="X13" i="2"/>
  <c r="X9" i="2"/>
  <c r="X5" i="2"/>
  <c r="J150" i="2"/>
  <c r="J136" i="2"/>
  <c r="J74" i="2"/>
  <c r="J32" i="2"/>
  <c r="AC32" i="2" s="1"/>
  <c r="J148" i="2"/>
  <c r="J120" i="2"/>
  <c r="J64" i="2"/>
  <c r="J20" i="2"/>
  <c r="U20" i="2" s="1"/>
  <c r="H128" i="2"/>
  <c r="L128" i="2" s="1"/>
  <c r="J128" i="2"/>
  <c r="S128" i="2" s="1"/>
  <c r="H54" i="2"/>
  <c r="L54" i="2" s="1"/>
  <c r="Y54" i="2" s="1"/>
  <c r="J54" i="2"/>
  <c r="U54" i="2" s="1"/>
  <c r="H46" i="2"/>
  <c r="L46" i="2" s="1"/>
  <c r="Y46" i="2" s="1"/>
  <c r="J46" i="2"/>
  <c r="AC46" i="2" s="1"/>
  <c r="J92" i="2"/>
  <c r="J82" i="2"/>
  <c r="U82" i="2" s="1"/>
  <c r="J72" i="2"/>
  <c r="J60" i="2"/>
  <c r="J50" i="2"/>
  <c r="J40" i="2"/>
  <c r="U40" i="2" s="1"/>
  <c r="J28" i="2"/>
  <c r="J18" i="2"/>
  <c r="AC18" i="2" s="1"/>
  <c r="O92" i="2"/>
  <c r="O20" i="2"/>
  <c r="O6" i="2"/>
  <c r="X114" i="2"/>
  <c r="X110" i="2"/>
  <c r="X106" i="2"/>
  <c r="X102" i="2"/>
  <c r="X98" i="2"/>
  <c r="X94" i="2"/>
  <c r="X90" i="2"/>
  <c r="X86" i="2"/>
  <c r="X82" i="2"/>
  <c r="X78" i="2"/>
  <c r="X74" i="2"/>
  <c r="X70" i="2"/>
  <c r="X66" i="2"/>
  <c r="X62" i="2"/>
  <c r="X58" i="2"/>
  <c r="X54" i="2"/>
  <c r="X50" i="2"/>
  <c r="X46" i="2"/>
  <c r="X42" i="2"/>
  <c r="X38" i="2"/>
  <c r="X34" i="2"/>
  <c r="X30" i="2"/>
  <c r="X26" i="2"/>
  <c r="X22" i="2"/>
  <c r="X18" i="2"/>
  <c r="X14" i="2"/>
  <c r="X10" i="2"/>
  <c r="X6" i="2"/>
  <c r="H110" i="2"/>
  <c r="L110" i="2" s="1"/>
  <c r="J110" i="2"/>
  <c r="H94" i="2"/>
  <c r="L94" i="2" s="1"/>
  <c r="W94" i="2" s="1"/>
  <c r="J94" i="2"/>
  <c r="H86" i="2"/>
  <c r="L86" i="2" s="1"/>
  <c r="J86" i="2"/>
  <c r="H78" i="2"/>
  <c r="L78" i="2" s="1"/>
  <c r="Y78" i="2" s="1"/>
  <c r="J78" i="2"/>
  <c r="H70" i="2"/>
  <c r="L70" i="2" s="1"/>
  <c r="J70" i="2"/>
  <c r="H62" i="2"/>
  <c r="L62" i="2" s="1"/>
  <c r="Y62" i="2" s="1"/>
  <c r="J62" i="2"/>
  <c r="H38" i="2"/>
  <c r="L38" i="2" s="1"/>
  <c r="J38" i="2"/>
  <c r="H30" i="2"/>
  <c r="L30" i="2" s="1"/>
  <c r="Y30" i="2" s="1"/>
  <c r="J30" i="2"/>
  <c r="H22" i="2"/>
  <c r="L22" i="2" s="1"/>
  <c r="J22" i="2"/>
  <c r="H6" i="2"/>
  <c r="L6" i="2" s="1"/>
  <c r="Y6" i="2" s="1"/>
  <c r="F6" i="2"/>
  <c r="J106" i="2"/>
  <c r="J90" i="2"/>
  <c r="J80" i="2"/>
  <c r="U80" i="2" s="1"/>
  <c r="J68" i="2"/>
  <c r="AC68" i="2" s="1"/>
  <c r="J48" i="2"/>
  <c r="J36" i="2"/>
  <c r="J26" i="2"/>
  <c r="U26" i="2" s="1"/>
  <c r="J16" i="2"/>
  <c r="U16" i="2" s="1"/>
  <c r="I114" i="2"/>
  <c r="I110" i="2"/>
  <c r="AB110" i="2" s="1"/>
  <c r="I106" i="2"/>
  <c r="T106" i="2" s="1"/>
  <c r="I102" i="2"/>
  <c r="I98" i="2"/>
  <c r="I94" i="2"/>
  <c r="R94" i="2" s="1"/>
  <c r="I90" i="2"/>
  <c r="AB90" i="2" s="1"/>
  <c r="I86" i="2"/>
  <c r="AB86" i="2" s="1"/>
  <c r="I82" i="2"/>
  <c r="I78" i="2"/>
  <c r="R78" i="2" s="1"/>
  <c r="I74" i="2"/>
  <c r="R74" i="2" s="1"/>
  <c r="I70" i="2"/>
  <c r="I66" i="2"/>
  <c r="I62" i="2"/>
  <c r="AB62" i="2" s="1"/>
  <c r="I58" i="2"/>
  <c r="T58" i="2" s="1"/>
  <c r="I54" i="2"/>
  <c r="I50" i="2"/>
  <c r="I46" i="2"/>
  <c r="AB46" i="2" s="1"/>
  <c r="I42" i="2"/>
  <c r="T42" i="2" s="1"/>
  <c r="I38" i="2"/>
  <c r="I34" i="2"/>
  <c r="I30" i="2"/>
  <c r="I26" i="2"/>
  <c r="AB26" i="2" s="1"/>
  <c r="I22" i="2"/>
  <c r="I18" i="2"/>
  <c r="E14" i="2"/>
  <c r="I14" i="2" s="1"/>
  <c r="AB14" i="2" s="1"/>
  <c r="E10" i="2"/>
  <c r="I10" i="2" s="1"/>
  <c r="P10" i="2" s="1"/>
  <c r="E6" i="2"/>
  <c r="I6" i="2" s="1"/>
  <c r="AB6" i="2" s="1"/>
  <c r="N45" i="2"/>
  <c r="N13" i="2"/>
  <c r="J126" i="2"/>
  <c r="AC126" i="2" s="1"/>
  <c r="J102" i="2"/>
  <c r="U102" i="2" s="1"/>
  <c r="J88" i="2"/>
  <c r="J76" i="2"/>
  <c r="U76" i="2" s="1"/>
  <c r="J66" i="2"/>
  <c r="AC66" i="2" s="1"/>
  <c r="J56" i="2"/>
  <c r="U56" i="2" s="1"/>
  <c r="J44" i="2"/>
  <c r="J34" i="2"/>
  <c r="U34" i="2" s="1"/>
  <c r="J24" i="2"/>
  <c r="U24" i="2" s="1"/>
  <c r="Y150" i="2"/>
  <c r="Y148" i="2"/>
  <c r="H146" i="2"/>
  <c r="L146" i="2" s="1"/>
  <c r="Y146" i="2" s="1"/>
  <c r="J146" i="2"/>
  <c r="U146" i="2" s="1"/>
  <c r="Y142" i="2"/>
  <c r="Y140" i="2"/>
  <c r="Y138" i="2"/>
  <c r="N113" i="2"/>
  <c r="N109" i="2"/>
  <c r="N105" i="2"/>
  <c r="N101" i="2"/>
  <c r="N97" i="2"/>
  <c r="N93" i="2"/>
  <c r="N89" i="2"/>
  <c r="N85" i="2"/>
  <c r="N81" i="2"/>
  <c r="N77" i="2"/>
  <c r="N73" i="2"/>
  <c r="N69" i="2"/>
  <c r="N65" i="2"/>
  <c r="N61" i="2"/>
  <c r="N57" i="2"/>
  <c r="N49" i="2"/>
  <c r="N41" i="2"/>
  <c r="N33" i="2"/>
  <c r="N25" i="2"/>
  <c r="N17" i="2"/>
  <c r="N9" i="2"/>
  <c r="X112" i="2"/>
  <c r="X108" i="2"/>
  <c r="X104" i="2"/>
  <c r="X100" i="2"/>
  <c r="X96" i="2"/>
  <c r="X92" i="2"/>
  <c r="X88" i="2"/>
  <c r="X84" i="2"/>
  <c r="X80" i="2"/>
  <c r="X76" i="2"/>
  <c r="X72" i="2"/>
  <c r="X68" i="2"/>
  <c r="X64" i="2"/>
  <c r="X60" i="2"/>
  <c r="X56" i="2"/>
  <c r="X52" i="2"/>
  <c r="X48" i="2"/>
  <c r="X44" i="2"/>
  <c r="X40" i="2"/>
  <c r="X36" i="2"/>
  <c r="X32" i="2"/>
  <c r="X28" i="2"/>
  <c r="X24" i="2"/>
  <c r="X20" i="2"/>
  <c r="X16" i="2"/>
  <c r="X12" i="2"/>
  <c r="X8" i="2"/>
  <c r="N5" i="2"/>
  <c r="X115" i="2"/>
  <c r="X111" i="2"/>
  <c r="X107" i="2"/>
  <c r="X103" i="2"/>
  <c r="X99" i="2"/>
  <c r="X95" i="2"/>
  <c r="X91" i="2"/>
  <c r="X87" i="2"/>
  <c r="X83" i="2"/>
  <c r="X79" i="2"/>
  <c r="X75" i="2"/>
  <c r="X71" i="2"/>
  <c r="X67" i="2"/>
  <c r="X63" i="2"/>
  <c r="X59" i="2"/>
  <c r="X55" i="2"/>
  <c r="X51" i="2"/>
  <c r="X47" i="2"/>
  <c r="X43" i="2"/>
  <c r="X39" i="2"/>
  <c r="X35" i="2"/>
  <c r="X31" i="2"/>
  <c r="X27" i="2"/>
  <c r="X23" i="2"/>
  <c r="X19" i="2"/>
  <c r="X15" i="2"/>
  <c r="X11" i="2"/>
  <c r="X7" i="2"/>
  <c r="AA136" i="2"/>
  <c r="Y136" i="2"/>
  <c r="AA130" i="2"/>
  <c r="Y130" i="2"/>
  <c r="AA128" i="2"/>
  <c r="Y128" i="2"/>
  <c r="AA126" i="2"/>
  <c r="Y126" i="2"/>
  <c r="AA124" i="2"/>
  <c r="Y124" i="2"/>
  <c r="AA122" i="2"/>
  <c r="Y122" i="2"/>
  <c r="AA120" i="2"/>
  <c r="Y120" i="2"/>
  <c r="AA116" i="2"/>
  <c r="Y116" i="2"/>
  <c r="AA114" i="2"/>
  <c r="Y114" i="2"/>
  <c r="AA112" i="2"/>
  <c r="Y112" i="2"/>
  <c r="AA108" i="2"/>
  <c r="Y108" i="2"/>
  <c r="AA106" i="2"/>
  <c r="Y106" i="2"/>
  <c r="AA104" i="2"/>
  <c r="Y104" i="2"/>
  <c r="AA102" i="2"/>
  <c r="Y102" i="2"/>
  <c r="AA100" i="2"/>
  <c r="Y100" i="2"/>
  <c r="AA98" i="2"/>
  <c r="Y98" i="2"/>
  <c r="AA96" i="2"/>
  <c r="Y96" i="2"/>
  <c r="AA6" i="2"/>
  <c r="AA4" i="2"/>
  <c r="Y4" i="2"/>
  <c r="AA134" i="2"/>
  <c r="Y134" i="2"/>
  <c r="J134" i="2"/>
  <c r="S134" i="2" s="1"/>
  <c r="O134" i="2"/>
  <c r="Z113" i="2"/>
  <c r="Z109" i="2"/>
  <c r="Z105" i="2"/>
  <c r="Z101" i="2"/>
  <c r="Z97" i="2"/>
  <c r="Z93" i="2"/>
  <c r="Z89" i="2"/>
  <c r="Z85" i="2"/>
  <c r="Z81" i="2"/>
  <c r="Z77" i="2"/>
  <c r="Z73" i="2"/>
  <c r="Z69" i="2"/>
  <c r="Z65" i="2"/>
  <c r="Z61" i="2"/>
  <c r="Z57" i="2"/>
  <c r="Z53" i="2"/>
  <c r="Z49" i="2"/>
  <c r="Z45" i="2"/>
  <c r="Z41" i="2"/>
  <c r="Z37" i="2"/>
  <c r="Z33" i="2"/>
  <c r="Z29" i="2"/>
  <c r="Z25" i="2"/>
  <c r="Z21" i="2"/>
  <c r="Z17" i="2"/>
  <c r="Z13" i="2"/>
  <c r="Z9" i="2"/>
  <c r="Z5" i="2"/>
  <c r="J124" i="2"/>
  <c r="J114" i="2"/>
  <c r="U114" i="2" s="1"/>
  <c r="F4" i="2"/>
  <c r="J4" i="2" s="1"/>
  <c r="O122" i="2"/>
  <c r="O120" i="2"/>
  <c r="AA92" i="2"/>
  <c r="AA90" i="2"/>
  <c r="AA88" i="2"/>
  <c r="AA84" i="2"/>
  <c r="AA82" i="2"/>
  <c r="AA80" i="2"/>
  <c r="AA76" i="2"/>
  <c r="AA74" i="2"/>
  <c r="AA72" i="2"/>
  <c r="AA68" i="2"/>
  <c r="AA66" i="2"/>
  <c r="AA64" i="2"/>
  <c r="AA60" i="2"/>
  <c r="AA56" i="2"/>
  <c r="AA54" i="2"/>
  <c r="AA52" i="2"/>
  <c r="AA50" i="2"/>
  <c r="AA48" i="2"/>
  <c r="AA46" i="2"/>
  <c r="AA44" i="2"/>
  <c r="AA42" i="2"/>
  <c r="AA40" i="2"/>
  <c r="AA36" i="2"/>
  <c r="AA34" i="2"/>
  <c r="AA32" i="2"/>
  <c r="AA28" i="2"/>
  <c r="AA26" i="2"/>
  <c r="AA24" i="2"/>
  <c r="J130" i="2"/>
  <c r="J122" i="2"/>
  <c r="J6" i="2"/>
  <c r="AA150" i="2"/>
  <c r="AA148" i="2"/>
  <c r="AA146" i="2"/>
  <c r="AA142" i="2"/>
  <c r="AA140" i="2"/>
  <c r="AA138" i="2"/>
  <c r="AA20" i="2"/>
  <c r="AA18" i="2"/>
  <c r="AA16" i="2"/>
  <c r="AA12" i="2"/>
  <c r="AA10" i="2"/>
  <c r="AA8" i="2"/>
  <c r="Z112" i="2"/>
  <c r="Z108" i="2"/>
  <c r="Z104" i="2"/>
  <c r="Z100" i="2"/>
  <c r="Z96" i="2"/>
  <c r="Z92" i="2"/>
  <c r="Z88" i="2"/>
  <c r="Z84" i="2"/>
  <c r="Z80" i="2"/>
  <c r="Z76" i="2"/>
  <c r="Z72" i="2"/>
  <c r="Z68" i="2"/>
  <c r="Z64" i="2"/>
  <c r="Z60" i="2"/>
  <c r="Z56" i="2"/>
  <c r="Z52" i="2"/>
  <c r="Z48" i="2"/>
  <c r="Z44" i="2"/>
  <c r="Z40" i="2"/>
  <c r="Z36" i="2"/>
  <c r="Z32" i="2"/>
  <c r="Z28" i="2"/>
  <c r="Z24" i="2"/>
  <c r="Z20" i="2"/>
  <c r="Z16" i="2"/>
  <c r="Z12" i="2"/>
  <c r="Z8" i="2"/>
  <c r="Z115" i="2"/>
  <c r="Z111" i="2"/>
  <c r="Z107" i="2"/>
  <c r="Z103" i="2"/>
  <c r="Z99" i="2"/>
  <c r="Z95" i="2"/>
  <c r="Z91" i="2"/>
  <c r="Z87" i="2"/>
  <c r="Z83" i="2"/>
  <c r="Z79" i="2"/>
  <c r="Z75" i="2"/>
  <c r="Z71" i="2"/>
  <c r="Z67" i="2"/>
  <c r="Z63" i="2"/>
  <c r="Z59" i="2"/>
  <c r="Z55" i="2"/>
  <c r="Z51" i="2"/>
  <c r="Z47" i="2"/>
  <c r="Z43" i="2"/>
  <c r="Z39" i="2"/>
  <c r="Z35" i="2"/>
  <c r="Z31" i="2"/>
  <c r="Z27" i="2"/>
  <c r="Z23" i="2"/>
  <c r="Z19" i="2"/>
  <c r="Z15" i="2"/>
  <c r="Z11" i="2"/>
  <c r="Z7" i="2"/>
  <c r="Z114" i="2"/>
  <c r="Z110" i="2"/>
  <c r="Z106" i="2"/>
  <c r="Z102" i="2"/>
  <c r="Z98" i="2"/>
  <c r="Z94" i="2"/>
  <c r="Z90" i="2"/>
  <c r="Z86" i="2"/>
  <c r="Z82" i="2"/>
  <c r="Z78" i="2"/>
  <c r="Z74" i="2"/>
  <c r="Z70" i="2"/>
  <c r="Z66" i="2"/>
  <c r="Z62" i="2"/>
  <c r="Z58" i="2"/>
  <c r="Z54" i="2"/>
  <c r="Z50" i="2"/>
  <c r="Z46" i="2"/>
  <c r="Z42" i="2"/>
  <c r="Z38" i="2"/>
  <c r="Z34" i="2"/>
  <c r="Z30" i="2"/>
  <c r="Z26" i="2"/>
  <c r="Z22" i="2"/>
  <c r="Z18" i="2"/>
  <c r="Z14" i="2"/>
  <c r="Z10" i="2"/>
  <c r="Z6" i="2"/>
  <c r="W150" i="2"/>
  <c r="W142" i="2"/>
  <c r="W140" i="2"/>
  <c r="W138" i="2"/>
  <c r="W116" i="2"/>
  <c r="W114" i="2"/>
  <c r="W112" i="2"/>
  <c r="W108" i="2"/>
  <c r="W106" i="2"/>
  <c r="W104" i="2"/>
  <c r="W102" i="2"/>
  <c r="W100" i="2"/>
  <c r="W98" i="2"/>
  <c r="W96" i="2"/>
  <c r="W12" i="2"/>
  <c r="W10" i="2"/>
  <c r="W8" i="2"/>
  <c r="W130" i="2"/>
  <c r="W56" i="2"/>
  <c r="W54" i="2"/>
  <c r="W52" i="2"/>
  <c r="W50" i="2"/>
  <c r="W48" i="2"/>
  <c r="W46" i="2"/>
  <c r="W44" i="2"/>
  <c r="W42" i="2"/>
  <c r="W40" i="2"/>
  <c r="W36" i="2"/>
  <c r="W34" i="2"/>
  <c r="W32" i="2"/>
  <c r="W28" i="2"/>
  <c r="W26" i="2"/>
  <c r="W24" i="2"/>
  <c r="O149" i="2"/>
  <c r="H149" i="2"/>
  <c r="L149" i="2" s="1"/>
  <c r="H144" i="2"/>
  <c r="L144" i="2" s="1"/>
  <c r="O144" i="2"/>
  <c r="O143" i="2"/>
  <c r="H143" i="2"/>
  <c r="L143" i="2" s="1"/>
  <c r="O141" i="2"/>
  <c r="H141" i="2"/>
  <c r="L141" i="2" s="1"/>
  <c r="O139" i="2"/>
  <c r="H139" i="2"/>
  <c r="L139" i="2" s="1"/>
  <c r="O137" i="2"/>
  <c r="H137" i="2"/>
  <c r="L137" i="2" s="1"/>
  <c r="H118" i="2"/>
  <c r="L118" i="2" s="1"/>
  <c r="O118" i="2"/>
  <c r="O117" i="2"/>
  <c r="H117" i="2"/>
  <c r="L117" i="2" s="1"/>
  <c r="O115" i="2"/>
  <c r="H115" i="2"/>
  <c r="L115" i="2" s="1"/>
  <c r="O113" i="2"/>
  <c r="H113" i="2"/>
  <c r="L113" i="2" s="1"/>
  <c r="O111" i="2"/>
  <c r="H111" i="2"/>
  <c r="L111" i="2" s="1"/>
  <c r="O109" i="2"/>
  <c r="H109" i="2"/>
  <c r="L109" i="2" s="1"/>
  <c r="O107" i="2"/>
  <c r="H107" i="2"/>
  <c r="L107" i="2" s="1"/>
  <c r="O105" i="2"/>
  <c r="H105" i="2"/>
  <c r="L105" i="2" s="1"/>
  <c r="O103" i="2"/>
  <c r="H103" i="2"/>
  <c r="L103" i="2" s="1"/>
  <c r="O101" i="2"/>
  <c r="H101" i="2"/>
  <c r="L101" i="2" s="1"/>
  <c r="O99" i="2"/>
  <c r="H99" i="2"/>
  <c r="L99" i="2" s="1"/>
  <c r="O97" i="2"/>
  <c r="H97" i="2"/>
  <c r="L97" i="2" s="1"/>
  <c r="O95" i="2"/>
  <c r="H95" i="2"/>
  <c r="L95" i="2" s="1"/>
  <c r="O93" i="2"/>
  <c r="H93" i="2"/>
  <c r="L93" i="2" s="1"/>
  <c r="H14" i="2"/>
  <c r="L14" i="2" s="1"/>
  <c r="O14" i="2"/>
  <c r="O13" i="2"/>
  <c r="H13" i="2"/>
  <c r="L13" i="2" s="1"/>
  <c r="O11" i="2"/>
  <c r="H11" i="2"/>
  <c r="L11" i="2" s="1"/>
  <c r="O9" i="2"/>
  <c r="H9" i="2"/>
  <c r="L9" i="2" s="1"/>
  <c r="O7" i="2"/>
  <c r="H7" i="2"/>
  <c r="L7" i="2" s="1"/>
  <c r="N4" i="2"/>
  <c r="J144" i="2"/>
  <c r="J140" i="2"/>
  <c r="J116" i="2"/>
  <c r="AC116" i="2" s="1"/>
  <c r="J112" i="2"/>
  <c r="U112" i="2" s="1"/>
  <c r="J108" i="2"/>
  <c r="Q108" i="2" s="1"/>
  <c r="J104" i="2"/>
  <c r="J100" i="2"/>
  <c r="U100" i="2" s="1"/>
  <c r="J96" i="2"/>
  <c r="U96" i="2" s="1"/>
  <c r="F14" i="2"/>
  <c r="J14" i="2" s="1"/>
  <c r="F12" i="2"/>
  <c r="J12" i="2" s="1"/>
  <c r="F10" i="2"/>
  <c r="J10" i="2" s="1"/>
  <c r="U10" i="2" s="1"/>
  <c r="F8" i="2"/>
  <c r="J8" i="2" s="1"/>
  <c r="AC8" i="2" s="1"/>
  <c r="O150" i="2"/>
  <c r="H132" i="2"/>
  <c r="L132" i="2" s="1"/>
  <c r="O132" i="2"/>
  <c r="O131" i="2"/>
  <c r="H131" i="2"/>
  <c r="L131" i="2" s="1"/>
  <c r="O129" i="2"/>
  <c r="H129" i="2"/>
  <c r="L129" i="2" s="1"/>
  <c r="H58" i="2"/>
  <c r="L58" i="2" s="1"/>
  <c r="O58" i="2"/>
  <c r="O57" i="2"/>
  <c r="H57" i="2"/>
  <c r="L57" i="2" s="1"/>
  <c r="O55" i="2"/>
  <c r="H55" i="2"/>
  <c r="L55" i="2" s="1"/>
  <c r="O53" i="2"/>
  <c r="H53" i="2"/>
  <c r="L53" i="2" s="1"/>
  <c r="O51" i="2"/>
  <c r="H51" i="2"/>
  <c r="L51" i="2" s="1"/>
  <c r="O49" i="2"/>
  <c r="H49" i="2"/>
  <c r="L49" i="2" s="1"/>
  <c r="O47" i="2"/>
  <c r="H47" i="2"/>
  <c r="L47" i="2" s="1"/>
  <c r="O45" i="2"/>
  <c r="H45" i="2"/>
  <c r="L45" i="2" s="1"/>
  <c r="O43" i="2"/>
  <c r="H43" i="2"/>
  <c r="L43" i="2" s="1"/>
  <c r="O41" i="2"/>
  <c r="H41" i="2"/>
  <c r="L41" i="2" s="1"/>
  <c r="O39" i="2"/>
  <c r="H39" i="2"/>
  <c r="L39" i="2" s="1"/>
  <c r="O37" i="2"/>
  <c r="H37" i="2"/>
  <c r="L37" i="2" s="1"/>
  <c r="O35" i="2"/>
  <c r="H35" i="2"/>
  <c r="L35" i="2" s="1"/>
  <c r="O33" i="2"/>
  <c r="H33" i="2"/>
  <c r="L33" i="2" s="1"/>
  <c r="O31" i="2"/>
  <c r="H31" i="2"/>
  <c r="L31" i="2" s="1"/>
  <c r="O29" i="2"/>
  <c r="H29" i="2"/>
  <c r="L29" i="2" s="1"/>
  <c r="O27" i="2"/>
  <c r="H27" i="2"/>
  <c r="L27" i="2" s="1"/>
  <c r="O25" i="2"/>
  <c r="H25" i="2"/>
  <c r="L25" i="2" s="1"/>
  <c r="O23" i="2"/>
  <c r="H23" i="2"/>
  <c r="L23" i="2" s="1"/>
  <c r="O21" i="2"/>
  <c r="H21" i="2"/>
  <c r="L21" i="2" s="1"/>
  <c r="V114" i="2"/>
  <c r="V112" i="2"/>
  <c r="V110" i="2"/>
  <c r="V108" i="2"/>
  <c r="V106" i="2"/>
  <c r="V104" i="2"/>
  <c r="V102" i="2"/>
  <c r="V100" i="2"/>
  <c r="V98" i="2"/>
  <c r="V96" i="2"/>
  <c r="V94" i="2"/>
  <c r="V92" i="2"/>
  <c r="V90" i="2"/>
  <c r="V88" i="2"/>
  <c r="V86" i="2"/>
  <c r="V84" i="2"/>
  <c r="V82" i="2"/>
  <c r="V80" i="2"/>
  <c r="V78" i="2"/>
  <c r="V76" i="2"/>
  <c r="V74" i="2"/>
  <c r="V72" i="2"/>
  <c r="V70" i="2"/>
  <c r="V68" i="2"/>
  <c r="V66" i="2"/>
  <c r="V64" i="2"/>
  <c r="V62" i="2"/>
  <c r="V60" i="2"/>
  <c r="V58" i="2"/>
  <c r="V56" i="2"/>
  <c r="V54" i="2"/>
  <c r="V52" i="2"/>
  <c r="V50" i="2"/>
  <c r="V48" i="2"/>
  <c r="V46" i="2"/>
  <c r="V44" i="2"/>
  <c r="V42" i="2"/>
  <c r="V40" i="2"/>
  <c r="V38" i="2"/>
  <c r="V36" i="2"/>
  <c r="V34" i="2"/>
  <c r="V32" i="2"/>
  <c r="V30" i="2"/>
  <c r="V28" i="2"/>
  <c r="V26" i="2"/>
  <c r="V24" i="2"/>
  <c r="V22" i="2"/>
  <c r="V20" i="2"/>
  <c r="V18" i="2"/>
  <c r="V16" i="2"/>
  <c r="V14" i="2"/>
  <c r="V12" i="2"/>
  <c r="V10" i="2"/>
  <c r="V8" i="2"/>
  <c r="V6" i="2"/>
  <c r="I4" i="2"/>
  <c r="T4" i="2" s="1"/>
  <c r="G4" i="2"/>
  <c r="K4" i="2" s="1"/>
  <c r="W148" i="2"/>
  <c r="O147" i="2"/>
  <c r="H147" i="2"/>
  <c r="L147" i="2" s="1"/>
  <c r="O145" i="2"/>
  <c r="H145" i="2"/>
  <c r="L145" i="2" s="1"/>
  <c r="O142" i="2"/>
  <c r="O138" i="2"/>
  <c r="W136" i="2"/>
  <c r="O135" i="2"/>
  <c r="H135" i="2"/>
  <c r="L135" i="2" s="1"/>
  <c r="W134" i="2"/>
  <c r="O133" i="2"/>
  <c r="H133" i="2"/>
  <c r="L133" i="2" s="1"/>
  <c r="O130" i="2"/>
  <c r="W128" i="2"/>
  <c r="O127" i="2"/>
  <c r="H127" i="2"/>
  <c r="L127" i="2" s="1"/>
  <c r="W126" i="2"/>
  <c r="O125" i="2"/>
  <c r="H125" i="2"/>
  <c r="L125" i="2" s="1"/>
  <c r="W124" i="2"/>
  <c r="O123" i="2"/>
  <c r="H123" i="2"/>
  <c r="L123" i="2" s="1"/>
  <c r="W122" i="2"/>
  <c r="O121" i="2"/>
  <c r="H121" i="2"/>
  <c r="L121" i="2" s="1"/>
  <c r="W120" i="2"/>
  <c r="O119" i="2"/>
  <c r="H119" i="2"/>
  <c r="L119" i="2" s="1"/>
  <c r="O116" i="2"/>
  <c r="W92" i="2"/>
  <c r="O91" i="2"/>
  <c r="H91" i="2"/>
  <c r="L91" i="2" s="1"/>
  <c r="W90" i="2"/>
  <c r="O89" i="2"/>
  <c r="H89" i="2"/>
  <c r="L89" i="2" s="1"/>
  <c r="W88" i="2"/>
  <c r="O87" i="2"/>
  <c r="H87" i="2"/>
  <c r="L87" i="2" s="1"/>
  <c r="O85" i="2"/>
  <c r="H85" i="2"/>
  <c r="L85" i="2" s="1"/>
  <c r="W84" i="2"/>
  <c r="O83" i="2"/>
  <c r="H83" i="2"/>
  <c r="L83" i="2" s="1"/>
  <c r="W82" i="2"/>
  <c r="O81" i="2"/>
  <c r="H81" i="2"/>
  <c r="L81" i="2" s="1"/>
  <c r="W80" i="2"/>
  <c r="O79" i="2"/>
  <c r="H79" i="2"/>
  <c r="L79" i="2" s="1"/>
  <c r="O77" i="2"/>
  <c r="H77" i="2"/>
  <c r="L77" i="2" s="1"/>
  <c r="W76" i="2"/>
  <c r="O75" i="2"/>
  <c r="H75" i="2"/>
  <c r="L75" i="2" s="1"/>
  <c r="W74" i="2"/>
  <c r="O73" i="2"/>
  <c r="H73" i="2"/>
  <c r="L73" i="2" s="1"/>
  <c r="W72" i="2"/>
  <c r="O71" i="2"/>
  <c r="H71" i="2"/>
  <c r="L71" i="2" s="1"/>
  <c r="O69" i="2"/>
  <c r="H69" i="2"/>
  <c r="L69" i="2" s="1"/>
  <c r="W68" i="2"/>
  <c r="O67" i="2"/>
  <c r="H67" i="2"/>
  <c r="L67" i="2" s="1"/>
  <c r="W66" i="2"/>
  <c r="O65" i="2"/>
  <c r="H65" i="2"/>
  <c r="L65" i="2" s="1"/>
  <c r="W64" i="2"/>
  <c r="O63" i="2"/>
  <c r="H63" i="2"/>
  <c r="L63" i="2" s="1"/>
  <c r="O61" i="2"/>
  <c r="H61" i="2"/>
  <c r="L61" i="2" s="1"/>
  <c r="W60" i="2"/>
  <c r="O59" i="2"/>
  <c r="H59" i="2"/>
  <c r="L59" i="2" s="1"/>
  <c r="W20" i="2"/>
  <c r="O19" i="2"/>
  <c r="H19" i="2"/>
  <c r="L19" i="2" s="1"/>
  <c r="W18" i="2"/>
  <c r="O17" i="2"/>
  <c r="H17" i="2"/>
  <c r="L17" i="2" s="1"/>
  <c r="W16" i="2"/>
  <c r="O15" i="2"/>
  <c r="H15" i="2"/>
  <c r="L15" i="2" s="1"/>
  <c r="O5" i="2"/>
  <c r="H5" i="2"/>
  <c r="L5" i="2" s="1"/>
  <c r="W4" i="2"/>
  <c r="V115" i="2"/>
  <c r="V113" i="2"/>
  <c r="V111" i="2"/>
  <c r="V109" i="2"/>
  <c r="V107" i="2"/>
  <c r="V105" i="2"/>
  <c r="V103" i="2"/>
  <c r="V101" i="2"/>
  <c r="V99" i="2"/>
  <c r="V97" i="2"/>
  <c r="V95" i="2"/>
  <c r="V93" i="2"/>
  <c r="V91" i="2"/>
  <c r="V89" i="2"/>
  <c r="V87" i="2"/>
  <c r="V85" i="2"/>
  <c r="V83" i="2"/>
  <c r="V81" i="2"/>
  <c r="V79" i="2"/>
  <c r="V77" i="2"/>
  <c r="V75" i="2"/>
  <c r="V73" i="2"/>
  <c r="V71" i="2"/>
  <c r="V69" i="2"/>
  <c r="V67" i="2"/>
  <c r="V65" i="2"/>
  <c r="V63" i="2"/>
  <c r="V61" i="2"/>
  <c r="V59" i="2"/>
  <c r="V57" i="2"/>
  <c r="V55" i="2"/>
  <c r="V53" i="2"/>
  <c r="V51" i="2"/>
  <c r="V49" i="2"/>
  <c r="V47" i="2"/>
  <c r="V45" i="2"/>
  <c r="V43" i="2"/>
  <c r="V41" i="2"/>
  <c r="V39" i="2"/>
  <c r="V37" i="2"/>
  <c r="V35" i="2"/>
  <c r="V33" i="2"/>
  <c r="V31" i="2"/>
  <c r="V29" i="2"/>
  <c r="V27" i="2"/>
  <c r="V25" i="2"/>
  <c r="V23" i="2"/>
  <c r="V21" i="2"/>
  <c r="V19" i="2"/>
  <c r="V17" i="2"/>
  <c r="V15" i="2"/>
  <c r="V13" i="2"/>
  <c r="V11" i="2"/>
  <c r="V9" i="2"/>
  <c r="V7" i="2"/>
  <c r="V5" i="2"/>
  <c r="AC140" i="2"/>
  <c r="U126" i="2"/>
  <c r="AC124" i="2"/>
  <c r="S124" i="2"/>
  <c r="O114" i="2"/>
  <c r="O112" i="2"/>
  <c r="T110" i="2"/>
  <c r="AC110" i="2"/>
  <c r="U110" i="2"/>
  <c r="Q110" i="2"/>
  <c r="P110" i="2"/>
  <c r="S110" i="2"/>
  <c r="R110" i="2"/>
  <c r="AB108" i="2"/>
  <c r="T108" i="2"/>
  <c r="P108" i="2"/>
  <c r="R108" i="2"/>
  <c r="AB106" i="2"/>
  <c r="AC106" i="2"/>
  <c r="U106" i="2"/>
  <c r="Q106" i="2"/>
  <c r="S106" i="2"/>
  <c r="AB104" i="2"/>
  <c r="T104" i="2"/>
  <c r="Q104" i="2"/>
  <c r="P104" i="2"/>
  <c r="R104" i="2"/>
  <c r="R102" i="2"/>
  <c r="AB100" i="2"/>
  <c r="T100" i="2"/>
  <c r="Q100" i="2"/>
  <c r="P100" i="2"/>
  <c r="S100" i="2"/>
  <c r="R100" i="2"/>
  <c r="AB98" i="2"/>
  <c r="T98" i="2"/>
  <c r="AC98" i="2"/>
  <c r="U98" i="2"/>
  <c r="Q98" i="2"/>
  <c r="P98" i="2"/>
  <c r="S98" i="2"/>
  <c r="R98" i="2"/>
  <c r="AB96" i="2"/>
  <c r="T96" i="2"/>
  <c r="P96" i="2"/>
  <c r="S96" i="2"/>
  <c r="R96" i="2"/>
  <c r="AB94" i="2"/>
  <c r="AC94" i="2"/>
  <c r="U94" i="2"/>
  <c r="Q94" i="2"/>
  <c r="S94" i="2"/>
  <c r="AB92" i="2"/>
  <c r="T92" i="2"/>
  <c r="AC92" i="2"/>
  <c r="U92" i="2"/>
  <c r="Q92" i="2"/>
  <c r="P92" i="2"/>
  <c r="S92" i="2"/>
  <c r="R92" i="2"/>
  <c r="P90" i="2"/>
  <c r="S90" i="2"/>
  <c r="AB88" i="2"/>
  <c r="T88" i="2"/>
  <c r="AC88" i="2"/>
  <c r="U88" i="2"/>
  <c r="Q88" i="2"/>
  <c r="P88" i="2"/>
  <c r="S88" i="2"/>
  <c r="R88" i="2"/>
  <c r="AC86" i="2"/>
  <c r="U86" i="2"/>
  <c r="Q86" i="2"/>
  <c r="S86" i="2"/>
  <c r="AB84" i="2"/>
  <c r="T84" i="2"/>
  <c r="P84" i="2"/>
  <c r="R84" i="2"/>
  <c r="AB82" i="2"/>
  <c r="T82" i="2"/>
  <c r="P82" i="2"/>
  <c r="S82" i="2"/>
  <c r="R82" i="2"/>
  <c r="AB80" i="2"/>
  <c r="T80" i="2"/>
  <c r="AC80" i="2"/>
  <c r="P80" i="2"/>
  <c r="S80" i="2"/>
  <c r="R80" i="2"/>
  <c r="AB78" i="2"/>
  <c r="AC78" i="2"/>
  <c r="U78" i="2"/>
  <c r="Q78" i="2"/>
  <c r="S78" i="2"/>
  <c r="AB76" i="2"/>
  <c r="T76" i="2"/>
  <c r="AC76" i="2"/>
  <c r="Q76" i="2"/>
  <c r="P76" i="2"/>
  <c r="S76" i="2"/>
  <c r="R76" i="2"/>
  <c r="O74" i="2"/>
  <c r="AB72" i="2"/>
  <c r="T72" i="2"/>
  <c r="AC72" i="2"/>
  <c r="U72" i="2"/>
  <c r="Q72" i="2"/>
  <c r="P72" i="2"/>
  <c r="S72" i="2"/>
  <c r="R72" i="2"/>
  <c r="AC70" i="2"/>
  <c r="U70" i="2"/>
  <c r="Q70" i="2"/>
  <c r="S70" i="2"/>
  <c r="AB68" i="2"/>
  <c r="T68" i="2"/>
  <c r="U68" i="2"/>
  <c r="P68" i="2"/>
  <c r="R68" i="2"/>
  <c r="AB66" i="2"/>
  <c r="T66" i="2"/>
  <c r="Q66" i="2"/>
  <c r="P66" i="2"/>
  <c r="R66" i="2"/>
  <c r="AB64" i="2"/>
  <c r="T64" i="2"/>
  <c r="AC64" i="2"/>
  <c r="U64" i="2"/>
  <c r="Q64" i="2"/>
  <c r="P64" i="2"/>
  <c r="S64" i="2"/>
  <c r="R64" i="2"/>
  <c r="T62" i="2"/>
  <c r="AC62" i="2"/>
  <c r="U62" i="2"/>
  <c r="Q62" i="2"/>
  <c r="P62" i="2"/>
  <c r="S62" i="2"/>
  <c r="R62" i="2"/>
  <c r="AB60" i="2"/>
  <c r="T60" i="2"/>
  <c r="U60" i="2"/>
  <c r="P60" i="2"/>
  <c r="R60" i="2"/>
  <c r="AB58" i="2"/>
  <c r="AC58" i="2"/>
  <c r="U58" i="2"/>
  <c r="Q58" i="2"/>
  <c r="S58" i="2"/>
  <c r="AB56" i="2"/>
  <c r="T56" i="2"/>
  <c r="P56" i="2"/>
  <c r="R56" i="2"/>
  <c r="AB52" i="2"/>
  <c r="T52" i="2"/>
  <c r="AC52" i="2"/>
  <c r="U52" i="2"/>
  <c r="Q52" i="2"/>
  <c r="P52" i="2"/>
  <c r="S52" i="2"/>
  <c r="R52" i="2"/>
  <c r="AB50" i="2"/>
  <c r="T50" i="2"/>
  <c r="AC50" i="2"/>
  <c r="U50" i="2"/>
  <c r="Q50" i="2"/>
  <c r="P50" i="2"/>
  <c r="S50" i="2"/>
  <c r="R50" i="2"/>
  <c r="AB48" i="2"/>
  <c r="T48" i="2"/>
  <c r="AC48" i="2"/>
  <c r="U48" i="2"/>
  <c r="Q48" i="2"/>
  <c r="P48" i="2"/>
  <c r="S48" i="2"/>
  <c r="R48" i="2"/>
  <c r="T46" i="2"/>
  <c r="U46" i="2"/>
  <c r="P46" i="2"/>
  <c r="R46" i="2"/>
  <c r="AB44" i="2"/>
  <c r="T44" i="2"/>
  <c r="AC44" i="2"/>
  <c r="U44" i="2"/>
  <c r="Q44" i="2"/>
  <c r="P44" i="2"/>
  <c r="S44" i="2"/>
  <c r="R44" i="2"/>
  <c r="O42" i="2"/>
  <c r="AB40" i="2"/>
  <c r="T40" i="2"/>
  <c r="Q40" i="2"/>
  <c r="P40" i="2"/>
  <c r="R40" i="2"/>
  <c r="O38" i="2"/>
  <c r="O36" i="2"/>
  <c r="O34" i="2"/>
  <c r="AB32" i="2"/>
  <c r="T32" i="2"/>
  <c r="P32" i="2"/>
  <c r="R32" i="2"/>
  <c r="O30" i="2"/>
  <c r="O28" i="2"/>
  <c r="AC26" i="2"/>
  <c r="R26" i="2"/>
  <c r="AB24" i="2"/>
  <c r="T24" i="2"/>
  <c r="AC24" i="2"/>
  <c r="P24" i="2"/>
  <c r="R24" i="2"/>
  <c r="Q22" i="2"/>
  <c r="AC22" i="2"/>
  <c r="U22" i="2"/>
  <c r="S22" i="2"/>
  <c r="AB20" i="2"/>
  <c r="T20" i="2"/>
  <c r="AC20" i="2"/>
  <c r="P20" i="2"/>
  <c r="R20" i="2"/>
  <c r="AB18" i="2"/>
  <c r="T18" i="2"/>
  <c r="P18" i="2"/>
  <c r="R18" i="2"/>
  <c r="AB16" i="2"/>
  <c r="T16" i="2"/>
  <c r="AC16" i="2"/>
  <c r="P16" i="2"/>
  <c r="R16" i="2"/>
  <c r="T14" i="2"/>
  <c r="P14" i="2"/>
  <c r="O12" i="2"/>
  <c r="O10" i="2"/>
  <c r="AB8" i="2"/>
  <c r="T8" i="2"/>
  <c r="P8" i="2"/>
  <c r="Q8" i="2"/>
  <c r="R8" i="2"/>
  <c r="O4" i="2"/>
  <c r="N110" i="2"/>
  <c r="N108" i="2"/>
  <c r="N106" i="2"/>
  <c r="N104" i="2"/>
  <c r="N102" i="2"/>
  <c r="N100" i="2"/>
  <c r="N98" i="2"/>
  <c r="N96" i="2"/>
  <c r="N94" i="2"/>
  <c r="N92" i="2"/>
  <c r="N90" i="2"/>
  <c r="N88" i="2"/>
  <c r="N86" i="2"/>
  <c r="N84" i="2"/>
  <c r="N82" i="2"/>
  <c r="N80" i="2"/>
  <c r="N78" i="2"/>
  <c r="N76" i="2"/>
  <c r="N72" i="2"/>
  <c r="N70" i="2"/>
  <c r="N68" i="2"/>
  <c r="N66" i="2"/>
  <c r="N64" i="2"/>
  <c r="N62" i="2"/>
  <c r="N60" i="2"/>
  <c r="N58" i="2"/>
  <c r="N56" i="2"/>
  <c r="N54" i="2"/>
  <c r="N52" i="2"/>
  <c r="N50" i="2"/>
  <c r="N48" i="2"/>
  <c r="N46" i="2"/>
  <c r="N44" i="2"/>
  <c r="N40" i="2"/>
  <c r="N32" i="2"/>
  <c r="N26" i="2"/>
  <c r="N24" i="2"/>
  <c r="N22" i="2"/>
  <c r="N20" i="2"/>
  <c r="N18" i="2"/>
  <c r="N16" i="2"/>
  <c r="N14" i="2"/>
  <c r="N8" i="2"/>
  <c r="N6" i="2"/>
  <c r="J149" i="2"/>
  <c r="S149" i="2" s="1"/>
  <c r="J147" i="2"/>
  <c r="U147" i="2" s="1"/>
  <c r="J145" i="2"/>
  <c r="J143" i="2"/>
  <c r="AC143" i="2" s="1"/>
  <c r="J141" i="2"/>
  <c r="S141" i="2" s="1"/>
  <c r="J139" i="2"/>
  <c r="U139" i="2" s="1"/>
  <c r="J137" i="2"/>
  <c r="J135" i="2"/>
  <c r="AC135" i="2" s="1"/>
  <c r="J133" i="2"/>
  <c r="U133" i="2" s="1"/>
  <c r="J131" i="2"/>
  <c r="Q131" i="2" s="1"/>
  <c r="J129" i="2"/>
  <c r="J127" i="2"/>
  <c r="Q127" i="2" s="1"/>
  <c r="J125" i="2"/>
  <c r="J123" i="2"/>
  <c r="AC123" i="2" s="1"/>
  <c r="J121" i="2"/>
  <c r="J119" i="2"/>
  <c r="Q119" i="2" s="1"/>
  <c r="J117" i="2"/>
  <c r="U117" i="2" s="1"/>
  <c r="J115" i="2"/>
  <c r="U115" i="2" s="1"/>
  <c r="J113" i="2"/>
  <c r="Q113" i="2" s="1"/>
  <c r="J111" i="2"/>
  <c r="S111" i="2" s="1"/>
  <c r="J109" i="2"/>
  <c r="AC109" i="2" s="1"/>
  <c r="J107" i="2"/>
  <c r="Q107" i="2" s="1"/>
  <c r="J105" i="2"/>
  <c r="AC105" i="2" s="1"/>
  <c r="J103" i="2"/>
  <c r="Q103" i="2" s="1"/>
  <c r="J101" i="2"/>
  <c r="J99" i="2"/>
  <c r="Q99" i="2" s="1"/>
  <c r="J97" i="2"/>
  <c r="J95" i="2"/>
  <c r="AC95" i="2" s="1"/>
  <c r="J93" i="2"/>
  <c r="AC93" i="2" s="1"/>
  <c r="J91" i="2"/>
  <c r="AC91" i="2" s="1"/>
  <c r="J89" i="2"/>
  <c r="AC89" i="2" s="1"/>
  <c r="J87" i="2"/>
  <c r="Q87" i="2" s="1"/>
  <c r="J85" i="2"/>
  <c r="AC85" i="2" s="1"/>
  <c r="J83" i="2"/>
  <c r="Q83" i="2" s="1"/>
  <c r="J81" i="2"/>
  <c r="J79" i="2"/>
  <c r="S79" i="2" s="1"/>
  <c r="J77" i="2"/>
  <c r="J75" i="2"/>
  <c r="U75" i="2" s="1"/>
  <c r="J73" i="2"/>
  <c r="AC73" i="2" s="1"/>
  <c r="J71" i="2"/>
  <c r="Q71" i="2" s="1"/>
  <c r="J69" i="2"/>
  <c r="AC69" i="2" s="1"/>
  <c r="J67" i="2"/>
  <c r="AC67" i="2" s="1"/>
  <c r="J65" i="2"/>
  <c r="J63" i="2"/>
  <c r="AC63" i="2" s="1"/>
  <c r="J61" i="2"/>
  <c r="J59" i="2"/>
  <c r="AC59" i="2" s="1"/>
  <c r="J57" i="2"/>
  <c r="AC57" i="2" s="1"/>
  <c r="J55" i="2"/>
  <c r="Q55" i="2" s="1"/>
  <c r="J53" i="2"/>
  <c r="J51" i="2"/>
  <c r="AC51" i="2" s="1"/>
  <c r="J49" i="2"/>
  <c r="AC49" i="2" s="1"/>
  <c r="J47" i="2"/>
  <c r="S47" i="2" s="1"/>
  <c r="J45" i="2"/>
  <c r="AC45" i="2" s="1"/>
  <c r="J43" i="2"/>
  <c r="AC43" i="2" s="1"/>
  <c r="J41" i="2"/>
  <c r="J39" i="2"/>
  <c r="Q39" i="2" s="1"/>
  <c r="J37" i="2"/>
  <c r="J35" i="2"/>
  <c r="Q35" i="2" s="1"/>
  <c r="J33" i="2"/>
  <c r="AC33" i="2" s="1"/>
  <c r="J31" i="2"/>
  <c r="S31" i="2" s="1"/>
  <c r="J29" i="2"/>
  <c r="AC29" i="2" s="1"/>
  <c r="J27" i="2"/>
  <c r="Q27" i="2" s="1"/>
  <c r="J25" i="2"/>
  <c r="J23" i="2"/>
  <c r="U23" i="2" s="1"/>
  <c r="J21" i="2"/>
  <c r="J19" i="2"/>
  <c r="Q19" i="2" s="1"/>
  <c r="J17" i="2"/>
  <c r="Q17" i="2" s="1"/>
  <c r="J15" i="2"/>
  <c r="Q15" i="2" s="1"/>
  <c r="F13" i="2"/>
  <c r="J13" i="2" s="1"/>
  <c r="Q13" i="2" s="1"/>
  <c r="F11" i="2"/>
  <c r="J11" i="2" s="1"/>
  <c r="U11" i="2" s="1"/>
  <c r="F9" i="2"/>
  <c r="J9" i="2" s="1"/>
  <c r="F7" i="2"/>
  <c r="J7" i="2" s="1"/>
  <c r="S7" i="2" s="1"/>
  <c r="F5" i="2"/>
  <c r="J5" i="2" s="1"/>
  <c r="AC147" i="2"/>
  <c r="AC139" i="2"/>
  <c r="AC131" i="2"/>
  <c r="U131" i="2"/>
  <c r="S125" i="2"/>
  <c r="Q123" i="2"/>
  <c r="S123" i="2"/>
  <c r="AB115" i="2"/>
  <c r="T115" i="2"/>
  <c r="AC115" i="2"/>
  <c r="P115" i="2"/>
  <c r="S115" i="2"/>
  <c r="R115" i="2"/>
  <c r="AB113" i="2"/>
  <c r="T113" i="2"/>
  <c r="U113" i="2"/>
  <c r="P113" i="2"/>
  <c r="R113" i="2"/>
  <c r="AB111" i="2"/>
  <c r="T111" i="2"/>
  <c r="P111" i="2"/>
  <c r="R111" i="2"/>
  <c r="AB109" i="2"/>
  <c r="T109" i="2"/>
  <c r="P109" i="2"/>
  <c r="R109" i="2"/>
  <c r="AB107" i="2"/>
  <c r="T107" i="2"/>
  <c r="AC107" i="2"/>
  <c r="U107" i="2"/>
  <c r="P107" i="2"/>
  <c r="S107" i="2"/>
  <c r="R107" i="2"/>
  <c r="AB105" i="2"/>
  <c r="T105" i="2"/>
  <c r="P105" i="2"/>
  <c r="R105" i="2"/>
  <c r="T103" i="2"/>
  <c r="AB101" i="2"/>
  <c r="T101" i="2"/>
  <c r="P101" i="2"/>
  <c r="R101" i="2"/>
  <c r="T99" i="2"/>
  <c r="AC99" i="2"/>
  <c r="U99" i="2"/>
  <c r="S99" i="2"/>
  <c r="AB97" i="2"/>
  <c r="T97" i="2"/>
  <c r="P97" i="2"/>
  <c r="R97" i="2"/>
  <c r="AB95" i="2"/>
  <c r="T95" i="2"/>
  <c r="P95" i="2"/>
  <c r="R95" i="2"/>
  <c r="AB93" i="2"/>
  <c r="T93" i="2"/>
  <c r="P93" i="2"/>
  <c r="R93" i="2"/>
  <c r="AB91" i="2"/>
  <c r="T91" i="2"/>
  <c r="U91" i="2"/>
  <c r="Q91" i="2"/>
  <c r="P91" i="2"/>
  <c r="R91" i="2"/>
  <c r="AB89" i="2"/>
  <c r="T89" i="2"/>
  <c r="P89" i="2"/>
  <c r="R89" i="2"/>
  <c r="AB87" i="2"/>
  <c r="T87" i="2"/>
  <c r="P87" i="2"/>
  <c r="R87" i="2"/>
  <c r="AB85" i="2"/>
  <c r="T85" i="2"/>
  <c r="U85" i="2"/>
  <c r="P85" i="2"/>
  <c r="R85" i="2"/>
  <c r="AB83" i="2"/>
  <c r="T83" i="2"/>
  <c r="AC83" i="2"/>
  <c r="U83" i="2"/>
  <c r="P83" i="2"/>
  <c r="S83" i="2"/>
  <c r="R83" i="2"/>
  <c r="AB81" i="2"/>
  <c r="T81" i="2"/>
  <c r="P81" i="2"/>
  <c r="R81" i="2"/>
  <c r="AB79" i="2"/>
  <c r="T79" i="2"/>
  <c r="AC79" i="2"/>
  <c r="P79" i="2"/>
  <c r="R79" i="2"/>
  <c r="AB77" i="2"/>
  <c r="T77" i="2"/>
  <c r="P77" i="2"/>
  <c r="R77" i="2"/>
  <c r="AB75" i="2"/>
  <c r="T75" i="2"/>
  <c r="AC75" i="2"/>
  <c r="P75" i="2"/>
  <c r="S75" i="2"/>
  <c r="R75" i="2"/>
  <c r="AB73" i="2"/>
  <c r="T73" i="2"/>
  <c r="P73" i="2"/>
  <c r="R73" i="2"/>
  <c r="AB71" i="2"/>
  <c r="T71" i="2"/>
  <c r="P71" i="2"/>
  <c r="R71" i="2"/>
  <c r="AB69" i="2"/>
  <c r="T69" i="2"/>
  <c r="P69" i="2"/>
  <c r="R69" i="2"/>
  <c r="AB67" i="2"/>
  <c r="T67" i="2"/>
  <c r="Q67" i="2"/>
  <c r="P67" i="2"/>
  <c r="R67" i="2"/>
  <c r="AB65" i="2"/>
  <c r="T65" i="2"/>
  <c r="P65" i="2"/>
  <c r="R65" i="2"/>
  <c r="T63" i="2"/>
  <c r="AB61" i="2"/>
  <c r="T61" i="2"/>
  <c r="P61" i="2"/>
  <c r="R61" i="2"/>
  <c r="AB59" i="2"/>
  <c r="T59" i="2"/>
  <c r="Q59" i="2"/>
  <c r="P59" i="2"/>
  <c r="R59" i="2"/>
  <c r="AB57" i="2"/>
  <c r="T57" i="2"/>
  <c r="P57" i="2"/>
  <c r="R57" i="2"/>
  <c r="AB55" i="2"/>
  <c r="T55" i="2"/>
  <c r="P55" i="2"/>
  <c r="R55" i="2"/>
  <c r="AB53" i="2"/>
  <c r="T53" i="2"/>
  <c r="P53" i="2"/>
  <c r="R53" i="2"/>
  <c r="AB51" i="2"/>
  <c r="T51" i="2"/>
  <c r="Q51" i="2"/>
  <c r="P51" i="2"/>
  <c r="R51" i="2"/>
  <c r="AB49" i="2"/>
  <c r="T49" i="2"/>
  <c r="P49" i="2"/>
  <c r="R49" i="2"/>
  <c r="AB47" i="2"/>
  <c r="T47" i="2"/>
  <c r="P47" i="2"/>
  <c r="R47" i="2"/>
  <c r="AB45" i="2"/>
  <c r="T45" i="2"/>
  <c r="P45" i="2"/>
  <c r="R45" i="2"/>
  <c r="AB43" i="2"/>
  <c r="T43" i="2"/>
  <c r="U43" i="2"/>
  <c r="Q43" i="2"/>
  <c r="P43" i="2"/>
  <c r="R43" i="2"/>
  <c r="AB41" i="2"/>
  <c r="T41" i="2"/>
  <c r="P41" i="2"/>
  <c r="R41" i="2"/>
  <c r="AB39" i="2"/>
  <c r="R39" i="2"/>
  <c r="AB37" i="2"/>
  <c r="T37" i="2"/>
  <c r="P37" i="2"/>
  <c r="R37" i="2"/>
  <c r="AC35" i="2"/>
  <c r="U35" i="2"/>
  <c r="S35" i="2"/>
  <c r="AB33" i="2"/>
  <c r="T33" i="2"/>
  <c r="P33" i="2"/>
  <c r="R33" i="2"/>
  <c r="AB31" i="2"/>
  <c r="T31" i="2"/>
  <c r="P31" i="2"/>
  <c r="R31" i="2"/>
  <c r="AB29" i="2"/>
  <c r="T29" i="2"/>
  <c r="P29" i="2"/>
  <c r="R29" i="2"/>
  <c r="AB27" i="2"/>
  <c r="T27" i="2"/>
  <c r="U27" i="2"/>
  <c r="P27" i="2"/>
  <c r="R27" i="2"/>
  <c r="AB25" i="2"/>
  <c r="T25" i="2"/>
  <c r="P25" i="2"/>
  <c r="R25" i="2"/>
  <c r="AB23" i="2"/>
  <c r="T23" i="2"/>
  <c r="P23" i="2"/>
  <c r="R23" i="2"/>
  <c r="AB21" i="2"/>
  <c r="T21" i="2"/>
  <c r="P21" i="2"/>
  <c r="R21" i="2"/>
  <c r="AB19" i="2"/>
  <c r="T19" i="2"/>
  <c r="AC19" i="2"/>
  <c r="U19" i="2"/>
  <c r="P19" i="2"/>
  <c r="R19" i="2"/>
  <c r="AB17" i="2"/>
  <c r="T17" i="2"/>
  <c r="P17" i="2"/>
  <c r="R17" i="2"/>
  <c r="AB15" i="2"/>
  <c r="T15" i="2"/>
  <c r="P15" i="2"/>
  <c r="R15" i="2"/>
  <c r="AB13" i="2"/>
  <c r="T13" i="2"/>
  <c r="P13" i="2"/>
  <c r="R13" i="2"/>
  <c r="AB11" i="2"/>
  <c r="T11" i="2"/>
  <c r="AC11" i="2"/>
  <c r="P11" i="2"/>
  <c r="S11" i="2"/>
  <c r="Q11" i="2"/>
  <c r="R11" i="2"/>
  <c r="AB9" i="2"/>
  <c r="T9" i="2"/>
  <c r="P9" i="2"/>
  <c r="R9" i="2"/>
  <c r="AB7" i="2"/>
  <c r="T7" i="2"/>
  <c r="P7" i="2"/>
  <c r="R7" i="2"/>
  <c r="AB5" i="2"/>
  <c r="T5" i="2"/>
  <c r="P5" i="2"/>
  <c r="R5" i="2"/>
  <c r="U150" i="2"/>
  <c r="AC150" i="2"/>
  <c r="Q150" i="2"/>
  <c r="S150" i="2"/>
  <c r="S148" i="2"/>
  <c r="S146" i="2"/>
  <c r="U142" i="2"/>
  <c r="AC142" i="2"/>
  <c r="Q142" i="2"/>
  <c r="S142" i="2"/>
  <c r="O140" i="2"/>
  <c r="U138" i="2"/>
  <c r="AC138" i="2"/>
  <c r="Q138" i="2"/>
  <c r="S138" i="2"/>
  <c r="U134" i="2"/>
  <c r="AC134" i="2"/>
  <c r="Q134" i="2"/>
  <c r="U132" i="2"/>
  <c r="AC132" i="2"/>
  <c r="Q132" i="2"/>
  <c r="S132" i="2"/>
  <c r="U130" i="2"/>
  <c r="AC130" i="2"/>
  <c r="Q130" i="2"/>
  <c r="S130" i="2"/>
  <c r="U128" i="2"/>
  <c r="AC128" i="2"/>
  <c r="Q128" i="2"/>
  <c r="O126" i="2"/>
  <c r="O124" i="2"/>
  <c r="U122" i="2"/>
  <c r="Q122" i="2"/>
  <c r="U120" i="2"/>
  <c r="AC120" i="2"/>
  <c r="Q120" i="2"/>
  <c r="S120" i="2"/>
  <c r="U118" i="2"/>
  <c r="AC118" i="2"/>
  <c r="Q118" i="2"/>
  <c r="S118" i="2"/>
  <c r="U116" i="2"/>
  <c r="Q116" i="2"/>
  <c r="AB114" i="2"/>
  <c r="T114" i="2"/>
  <c r="AC114" i="2"/>
  <c r="P114" i="2"/>
  <c r="S114" i="2"/>
  <c r="R114" i="2"/>
  <c r="AB112" i="2"/>
  <c r="T112" i="2"/>
  <c r="AC112" i="2"/>
  <c r="Q112" i="2"/>
  <c r="P112" i="2"/>
  <c r="S112" i="2"/>
  <c r="R112" i="2"/>
  <c r="O110" i="2"/>
  <c r="O108" i="2"/>
  <c r="O106" i="2"/>
  <c r="O104" i="2"/>
  <c r="O102" i="2"/>
  <c r="O100" i="2"/>
  <c r="O98" i="2"/>
  <c r="O96" i="2"/>
  <c r="O94" i="2"/>
  <c r="O90" i="2"/>
  <c r="O88" i="2"/>
  <c r="O86" i="2"/>
  <c r="O84" i="2"/>
  <c r="O82" i="2"/>
  <c r="O80" i="2"/>
  <c r="O78" i="2"/>
  <c r="O76" i="2"/>
  <c r="AC74" i="2"/>
  <c r="U74" i="2"/>
  <c r="Q74" i="2"/>
  <c r="S74" i="2"/>
  <c r="O72" i="2"/>
  <c r="O70" i="2"/>
  <c r="O68" i="2"/>
  <c r="O66" i="2"/>
  <c r="O64" i="2"/>
  <c r="O62" i="2"/>
  <c r="O60" i="2"/>
  <c r="O56" i="2"/>
  <c r="O54" i="2"/>
  <c r="O52" i="2"/>
  <c r="O50" i="2"/>
  <c r="O48" i="2"/>
  <c r="O46" i="2"/>
  <c r="O44" i="2"/>
  <c r="AB42" i="2"/>
  <c r="AC42" i="2"/>
  <c r="U42" i="2"/>
  <c r="Q42" i="2"/>
  <c r="S42" i="2"/>
  <c r="O40" i="2"/>
  <c r="AC38" i="2"/>
  <c r="U38" i="2"/>
  <c r="Q38" i="2"/>
  <c r="S38" i="2"/>
  <c r="AB36" i="2"/>
  <c r="T36" i="2"/>
  <c r="P36" i="2"/>
  <c r="R36" i="2"/>
  <c r="AB34" i="2"/>
  <c r="T34" i="2"/>
  <c r="AC34" i="2"/>
  <c r="Q34" i="2"/>
  <c r="P34" i="2"/>
  <c r="S34" i="2"/>
  <c r="R34" i="2"/>
  <c r="O32" i="2"/>
  <c r="AB30" i="2"/>
  <c r="T30" i="2"/>
  <c r="AC30" i="2"/>
  <c r="U30" i="2"/>
  <c r="Q30" i="2"/>
  <c r="P30" i="2"/>
  <c r="S30" i="2"/>
  <c r="R30" i="2"/>
  <c r="AC28" i="2"/>
  <c r="AB28" i="2"/>
  <c r="T28" i="2"/>
  <c r="Q28" i="2"/>
  <c r="U28" i="2"/>
  <c r="P28" i="2"/>
  <c r="S28" i="2"/>
  <c r="R28" i="2"/>
  <c r="O26" i="2"/>
  <c r="O24" i="2"/>
  <c r="O22" i="2"/>
  <c r="O18" i="2"/>
  <c r="O16" i="2"/>
  <c r="AB12" i="2"/>
  <c r="T12" i="2"/>
  <c r="Q12" i="2"/>
  <c r="AC12" i="2"/>
  <c r="U12" i="2"/>
  <c r="P12" i="2"/>
  <c r="S12" i="2"/>
  <c r="R12" i="2"/>
  <c r="AC10" i="2"/>
  <c r="Q10" i="2"/>
  <c r="O8" i="2"/>
  <c r="AB4" i="2"/>
  <c r="P4" i="2"/>
  <c r="R4" i="2"/>
  <c r="T10" i="2" l="1"/>
  <c r="R42" i="2"/>
  <c r="U29" i="2"/>
  <c r="R35" i="2"/>
  <c r="P99" i="2"/>
  <c r="AB99" i="2"/>
  <c r="AB103" i="2"/>
  <c r="S20" i="2"/>
  <c r="Q20" i="2"/>
  <c r="S24" i="2"/>
  <c r="Q24" i="2"/>
  <c r="S26" i="2"/>
  <c r="Q26" i="2"/>
  <c r="Q32" i="2"/>
  <c r="AC40" i="2"/>
  <c r="R58" i="2"/>
  <c r="U66" i="2"/>
  <c r="Q84" i="2"/>
  <c r="T90" i="2"/>
  <c r="R106" i="2"/>
  <c r="S126" i="2"/>
  <c r="AA94" i="2"/>
  <c r="P39" i="2"/>
  <c r="U45" i="2"/>
  <c r="AB63" i="2"/>
  <c r="AB10" i="2"/>
  <c r="AB74" i="2"/>
  <c r="Q114" i="2"/>
  <c r="AC146" i="2"/>
  <c r="AC31" i="2"/>
  <c r="T35" i="2"/>
  <c r="R63" i="2"/>
  <c r="R103" i="2"/>
  <c r="P26" i="2"/>
  <c r="T26" i="2"/>
  <c r="U32" i="2"/>
  <c r="S40" i="2"/>
  <c r="S66" i="2"/>
  <c r="Q80" i="2"/>
  <c r="Q82" i="2"/>
  <c r="U84" i="2"/>
  <c r="R90" i="2"/>
  <c r="Q126" i="2"/>
  <c r="W78" i="2"/>
  <c r="AA78" i="2"/>
  <c r="R10" i="2"/>
  <c r="P74" i="2"/>
  <c r="T74" i="2"/>
  <c r="Q146" i="2"/>
  <c r="U69" i="2"/>
  <c r="P42" i="2"/>
  <c r="U7" i="2"/>
  <c r="AC13" i="2"/>
  <c r="S15" i="2"/>
  <c r="P35" i="2"/>
  <c r="U93" i="2"/>
  <c r="S95" i="2"/>
  <c r="AC111" i="2"/>
  <c r="S32" i="2"/>
  <c r="P58" i="2"/>
  <c r="AC82" i="2"/>
  <c r="S84" i="2"/>
  <c r="P106" i="2"/>
  <c r="W62" i="2"/>
  <c r="AA62" i="2"/>
  <c r="U109" i="2"/>
  <c r="R38" i="2"/>
  <c r="AB38" i="2"/>
  <c r="AB152" i="2" s="1"/>
  <c r="AB153" i="2" s="1"/>
  <c r="AB54" i="2"/>
  <c r="P54" i="2"/>
  <c r="R54" i="2"/>
  <c r="Y86" i="2"/>
  <c r="W86" i="2"/>
  <c r="U148" i="2"/>
  <c r="Q148" i="2"/>
  <c r="AC148" i="2"/>
  <c r="Q14" i="2"/>
  <c r="AC14" i="2"/>
  <c r="U108" i="2"/>
  <c r="S108" i="2"/>
  <c r="AC108" i="2"/>
  <c r="U144" i="2"/>
  <c r="AC144" i="2"/>
  <c r="S144" i="2"/>
  <c r="S6" i="2"/>
  <c r="AC6" i="2"/>
  <c r="Q6" i="2"/>
  <c r="U6" i="2"/>
  <c r="AB70" i="2"/>
  <c r="R70" i="2"/>
  <c r="T70" i="2"/>
  <c r="P70" i="2"/>
  <c r="U36" i="2"/>
  <c r="Q36" i="2"/>
  <c r="S36" i="2"/>
  <c r="P6" i="2"/>
  <c r="P152" i="2" s="1"/>
  <c r="P153" i="2" s="1"/>
  <c r="AB22" i="2"/>
  <c r="T22" i="2"/>
  <c r="P22" i="2"/>
  <c r="R22" i="2"/>
  <c r="AB102" i="2"/>
  <c r="T102" i="2"/>
  <c r="P102" i="2"/>
  <c r="U90" i="2"/>
  <c r="AC90" i="2"/>
  <c r="Q90" i="2"/>
  <c r="Y70" i="2"/>
  <c r="W70" i="2"/>
  <c r="AC136" i="2"/>
  <c r="Q136" i="2"/>
  <c r="S136" i="2"/>
  <c r="T54" i="2"/>
  <c r="AC36" i="2"/>
  <c r="P38" i="2"/>
  <c r="T38" i="2"/>
  <c r="U136" i="2"/>
  <c r="AC97" i="2"/>
  <c r="U97" i="2"/>
  <c r="AC129" i="2"/>
  <c r="U129" i="2"/>
  <c r="S19" i="2"/>
  <c r="AC27" i="2"/>
  <c r="S43" i="2"/>
  <c r="U51" i="2"/>
  <c r="U59" i="2"/>
  <c r="U67" i="2"/>
  <c r="Q75" i="2"/>
  <c r="S91" i="2"/>
  <c r="Q115" i="2"/>
  <c r="U123" i="2"/>
  <c r="S131" i="2"/>
  <c r="Q96" i="2"/>
  <c r="S27" i="2"/>
  <c r="S51" i="2"/>
  <c r="S59" i="2"/>
  <c r="S67" i="2"/>
  <c r="Q139" i="2"/>
  <c r="Q147" i="2"/>
  <c r="AC96" i="2"/>
  <c r="AC9" i="2"/>
  <c r="S9" i="2"/>
  <c r="U9" i="2"/>
  <c r="Q25" i="2"/>
  <c r="AC25" i="2"/>
  <c r="AC41" i="2"/>
  <c r="U41" i="2"/>
  <c r="AC65" i="2"/>
  <c r="U65" i="2"/>
  <c r="AC81" i="2"/>
  <c r="U81" i="2"/>
  <c r="AC121" i="2"/>
  <c r="U121" i="2"/>
  <c r="AC137" i="2"/>
  <c r="S137" i="2"/>
  <c r="AC145" i="2"/>
  <c r="S145" i="2"/>
  <c r="U49" i="2"/>
  <c r="AC5" i="2"/>
  <c r="S5" i="2"/>
  <c r="U5" i="2"/>
  <c r="Q21" i="2"/>
  <c r="AC21" i="2"/>
  <c r="AC37" i="2"/>
  <c r="U37" i="2"/>
  <c r="AC53" i="2"/>
  <c r="U53" i="2"/>
  <c r="AC61" i="2"/>
  <c r="U61" i="2"/>
  <c r="AC77" i="2"/>
  <c r="U77" i="2"/>
  <c r="AC101" i="2"/>
  <c r="U101" i="2"/>
  <c r="AC117" i="2"/>
  <c r="S117" i="2"/>
  <c r="AC125" i="2"/>
  <c r="U125" i="2"/>
  <c r="AC133" i="2"/>
  <c r="S133" i="2"/>
  <c r="AC141" i="2"/>
  <c r="U141" i="2"/>
  <c r="AC149" i="2"/>
  <c r="U149" i="2"/>
  <c r="S8" i="2"/>
  <c r="U8" i="2"/>
  <c r="AC122" i="2"/>
  <c r="S122" i="2"/>
  <c r="AA70" i="2"/>
  <c r="AA86" i="2"/>
  <c r="U124" i="2"/>
  <c r="Q124" i="2"/>
  <c r="AC17" i="2"/>
  <c r="U33" i="2"/>
  <c r="U57" i="2"/>
  <c r="AC56" i="2"/>
  <c r="S56" i="2"/>
  <c r="Q56" i="2"/>
  <c r="AC102" i="2"/>
  <c r="S102" i="2"/>
  <c r="Q102" i="2"/>
  <c r="T6" i="2"/>
  <c r="R6" i="2"/>
  <c r="R86" i="2"/>
  <c r="T86" i="2"/>
  <c r="P86" i="2"/>
  <c r="Y22" i="2"/>
  <c r="AA22" i="2"/>
  <c r="W22" i="2"/>
  <c r="Y38" i="2"/>
  <c r="AA38" i="2"/>
  <c r="W38" i="2"/>
  <c r="W110" i="2"/>
  <c r="AA110" i="2"/>
  <c r="Y110" i="2"/>
  <c r="U18" i="2"/>
  <c r="Q18" i="2"/>
  <c r="S18" i="2"/>
  <c r="AC60" i="2"/>
  <c r="S60" i="2"/>
  <c r="Q60" i="2"/>
  <c r="AC54" i="2"/>
  <c r="S54" i="2"/>
  <c r="Q54" i="2"/>
  <c r="S16" i="2"/>
  <c r="Q16" i="2"/>
  <c r="Q46" i="2"/>
  <c r="Q68" i="2"/>
  <c r="P78" i="2"/>
  <c r="T78" i="2"/>
  <c r="P94" i="2"/>
  <c r="T94" i="2"/>
  <c r="W30" i="2"/>
  <c r="AA30" i="2"/>
  <c r="Y94" i="2"/>
  <c r="AC7" i="2"/>
  <c r="AC47" i="2"/>
  <c r="S63" i="2"/>
  <c r="R14" i="2"/>
  <c r="S46" i="2"/>
  <c r="S68" i="2"/>
  <c r="AC100" i="2"/>
  <c r="W6" i="2"/>
  <c r="W146" i="2"/>
  <c r="AA19" i="2"/>
  <c r="Y19" i="2"/>
  <c r="AA73" i="2"/>
  <c r="Y73" i="2"/>
  <c r="AA89" i="2"/>
  <c r="Y89" i="2"/>
  <c r="AA27" i="2"/>
  <c r="Y27" i="2"/>
  <c r="AA35" i="2"/>
  <c r="Y35" i="2"/>
  <c r="AA43" i="2"/>
  <c r="Y43" i="2"/>
  <c r="AA51" i="2"/>
  <c r="Y51" i="2"/>
  <c r="AA131" i="2"/>
  <c r="Y131" i="2"/>
  <c r="AA13" i="2"/>
  <c r="Y13" i="2"/>
  <c r="AA97" i="2"/>
  <c r="Y97" i="2"/>
  <c r="AA109" i="2"/>
  <c r="Y109" i="2"/>
  <c r="AA113" i="2"/>
  <c r="Y113" i="2"/>
  <c r="AA137" i="2"/>
  <c r="Y137" i="2"/>
  <c r="AA17" i="2"/>
  <c r="Y17" i="2"/>
  <c r="AA63" i="2"/>
  <c r="Y63" i="2"/>
  <c r="AA79" i="2"/>
  <c r="Y79" i="2"/>
  <c r="AA123" i="2"/>
  <c r="Y123" i="2"/>
  <c r="Z4" i="2"/>
  <c r="X4" i="2"/>
  <c r="X152" i="2" s="1"/>
  <c r="AA144" i="2"/>
  <c r="Y144" i="2"/>
  <c r="AA15" i="2"/>
  <c r="Y15" i="2"/>
  <c r="AA61" i="2"/>
  <c r="Y61" i="2"/>
  <c r="AA69" i="2"/>
  <c r="Y69" i="2"/>
  <c r="AA77" i="2"/>
  <c r="Y77" i="2"/>
  <c r="AA85" i="2"/>
  <c r="Y85" i="2"/>
  <c r="AA121" i="2"/>
  <c r="Y121" i="2"/>
  <c r="AA135" i="2"/>
  <c r="Y135" i="2"/>
  <c r="AA147" i="2"/>
  <c r="Y147" i="2"/>
  <c r="AA21" i="2"/>
  <c r="Y21" i="2"/>
  <c r="AA25" i="2"/>
  <c r="Y25" i="2"/>
  <c r="AA29" i="2"/>
  <c r="Y29" i="2"/>
  <c r="AA33" i="2"/>
  <c r="Y33" i="2"/>
  <c r="AA37" i="2"/>
  <c r="Y37" i="2"/>
  <c r="AA41" i="2"/>
  <c r="Y41" i="2"/>
  <c r="AA45" i="2"/>
  <c r="Y45" i="2"/>
  <c r="AA49" i="2"/>
  <c r="Y49" i="2"/>
  <c r="AA53" i="2"/>
  <c r="Y53" i="2"/>
  <c r="AA57" i="2"/>
  <c r="Y57" i="2"/>
  <c r="AA129" i="2"/>
  <c r="Y129" i="2"/>
  <c r="AA7" i="2"/>
  <c r="Y7" i="2"/>
  <c r="AA11" i="2"/>
  <c r="Y11" i="2"/>
  <c r="AA95" i="2"/>
  <c r="Y95" i="2"/>
  <c r="AA99" i="2"/>
  <c r="Y99" i="2"/>
  <c r="AA103" i="2"/>
  <c r="Y103" i="2"/>
  <c r="AA107" i="2"/>
  <c r="Y107" i="2"/>
  <c r="AA111" i="2"/>
  <c r="Y111" i="2"/>
  <c r="AA115" i="2"/>
  <c r="Y115" i="2"/>
  <c r="AA139" i="2"/>
  <c r="Y139" i="2"/>
  <c r="AA143" i="2"/>
  <c r="Y143" i="2"/>
  <c r="AA149" i="2"/>
  <c r="Y149" i="2"/>
  <c r="AA65" i="2"/>
  <c r="Y65" i="2"/>
  <c r="AA81" i="2"/>
  <c r="Y81" i="2"/>
  <c r="AA125" i="2"/>
  <c r="Y125" i="2"/>
  <c r="AA23" i="2"/>
  <c r="Y23" i="2"/>
  <c r="AA31" i="2"/>
  <c r="Y31" i="2"/>
  <c r="AA39" i="2"/>
  <c r="Y39" i="2"/>
  <c r="AA47" i="2"/>
  <c r="Y47" i="2"/>
  <c r="AA55" i="2"/>
  <c r="Y55" i="2"/>
  <c r="AA9" i="2"/>
  <c r="Y9" i="2"/>
  <c r="AA93" i="2"/>
  <c r="Y93" i="2"/>
  <c r="AA101" i="2"/>
  <c r="Y101" i="2"/>
  <c r="AA105" i="2"/>
  <c r="Y105" i="2"/>
  <c r="AA117" i="2"/>
  <c r="Y117" i="2"/>
  <c r="AA141" i="2"/>
  <c r="Y141" i="2"/>
  <c r="AA71" i="2"/>
  <c r="Y71" i="2"/>
  <c r="AA87" i="2"/>
  <c r="Y87" i="2"/>
  <c r="AA58" i="2"/>
  <c r="Y58" i="2"/>
  <c r="AA5" i="2"/>
  <c r="Y5" i="2"/>
  <c r="AA59" i="2"/>
  <c r="Y59" i="2"/>
  <c r="AA67" i="2"/>
  <c r="Y67" i="2"/>
  <c r="AA75" i="2"/>
  <c r="Y75" i="2"/>
  <c r="AA83" i="2"/>
  <c r="Y83" i="2"/>
  <c r="AA91" i="2"/>
  <c r="Y91" i="2"/>
  <c r="AA119" i="2"/>
  <c r="Y119" i="2"/>
  <c r="AA127" i="2"/>
  <c r="Y127" i="2"/>
  <c r="AA133" i="2"/>
  <c r="Y133" i="2"/>
  <c r="AA145" i="2"/>
  <c r="Y145" i="2"/>
  <c r="AA132" i="2"/>
  <c r="Y132" i="2"/>
  <c r="AA14" i="2"/>
  <c r="Y14" i="2"/>
  <c r="AA118" i="2"/>
  <c r="Y118" i="2"/>
  <c r="AC4" i="2"/>
  <c r="S4" i="2"/>
  <c r="Q4" i="2"/>
  <c r="U4" i="2"/>
  <c r="Q7" i="2"/>
  <c r="AC104" i="2"/>
  <c r="S104" i="2"/>
  <c r="U104" i="2"/>
  <c r="S140" i="2"/>
  <c r="U140" i="2"/>
  <c r="Q140" i="2"/>
  <c r="U15" i="2"/>
  <c r="AC15" i="2"/>
  <c r="Q23" i="2"/>
  <c r="S23" i="2"/>
  <c r="AC23" i="2"/>
  <c r="Q31" i="2"/>
  <c r="U31" i="2"/>
  <c r="AC39" i="2"/>
  <c r="S39" i="2"/>
  <c r="U39" i="2"/>
  <c r="Q47" i="2"/>
  <c r="U47" i="2"/>
  <c r="AC55" i="2"/>
  <c r="S55" i="2"/>
  <c r="U55" i="2"/>
  <c r="Q63" i="2"/>
  <c r="U63" i="2"/>
  <c r="AC71" i="2"/>
  <c r="S71" i="2"/>
  <c r="U71" i="2"/>
  <c r="Q79" i="2"/>
  <c r="U79" i="2"/>
  <c r="AC87" i="2"/>
  <c r="S87" i="2"/>
  <c r="U87" i="2"/>
  <c r="Q95" i="2"/>
  <c r="U95" i="2"/>
  <c r="AC103" i="2"/>
  <c r="S103" i="2"/>
  <c r="U103" i="2"/>
  <c r="Q111" i="2"/>
  <c r="U111" i="2"/>
  <c r="AC119" i="2"/>
  <c r="U119" i="2"/>
  <c r="S119" i="2"/>
  <c r="AC127" i="2"/>
  <c r="U127" i="2"/>
  <c r="S127" i="2"/>
  <c r="U135" i="2"/>
  <c r="Q135" i="2"/>
  <c r="U143" i="2"/>
  <c r="Q143" i="2"/>
  <c r="U73" i="2"/>
  <c r="U89" i="2"/>
  <c r="U105" i="2"/>
  <c r="AC113" i="2"/>
  <c r="S121" i="2"/>
  <c r="S129" i="2"/>
  <c r="U137" i="2"/>
  <c r="U145" i="2"/>
  <c r="W15" i="2"/>
  <c r="W19" i="2"/>
  <c r="W61" i="2"/>
  <c r="W65" i="2"/>
  <c r="W69" i="2"/>
  <c r="W73" i="2"/>
  <c r="W77" i="2"/>
  <c r="W81" i="2"/>
  <c r="W85" i="2"/>
  <c r="W89" i="2"/>
  <c r="W121" i="2"/>
  <c r="W125" i="2"/>
  <c r="W135" i="2"/>
  <c r="W147" i="2"/>
  <c r="W58" i="2"/>
  <c r="W132" i="2"/>
  <c r="W14" i="2"/>
  <c r="W118" i="2"/>
  <c r="W144" i="2"/>
  <c r="W5" i="2"/>
  <c r="W17" i="2"/>
  <c r="W59" i="2"/>
  <c r="W63" i="2"/>
  <c r="W67" i="2"/>
  <c r="W71" i="2"/>
  <c r="W75" i="2"/>
  <c r="W79" i="2"/>
  <c r="W83" i="2"/>
  <c r="W87" i="2"/>
  <c r="W91" i="2"/>
  <c r="W119" i="2"/>
  <c r="W123" i="2"/>
  <c r="W127" i="2"/>
  <c r="W133" i="2"/>
  <c r="W145" i="2"/>
  <c r="V4" i="2"/>
  <c r="V152" i="2" s="1"/>
  <c r="Z152" i="2"/>
  <c r="W21" i="2"/>
  <c r="W23" i="2"/>
  <c r="W25" i="2"/>
  <c r="W27" i="2"/>
  <c r="W29" i="2"/>
  <c r="W31" i="2"/>
  <c r="W33" i="2"/>
  <c r="W35" i="2"/>
  <c r="W37" i="2"/>
  <c r="W39" i="2"/>
  <c r="W41" i="2"/>
  <c r="W43" i="2"/>
  <c r="W45" i="2"/>
  <c r="W47" i="2"/>
  <c r="W49" i="2"/>
  <c r="W51" i="2"/>
  <c r="W53" i="2"/>
  <c r="W55" i="2"/>
  <c r="W57" i="2"/>
  <c r="W129" i="2"/>
  <c r="W131" i="2"/>
  <c r="W7" i="2"/>
  <c r="W9" i="2"/>
  <c r="W11" i="2"/>
  <c r="W13" i="2"/>
  <c r="W93" i="2"/>
  <c r="W95" i="2"/>
  <c r="W97" i="2"/>
  <c r="W99" i="2"/>
  <c r="W101" i="2"/>
  <c r="W103" i="2"/>
  <c r="W105" i="2"/>
  <c r="W107" i="2"/>
  <c r="W109" i="2"/>
  <c r="W111" i="2"/>
  <c r="W113" i="2"/>
  <c r="W115" i="2"/>
  <c r="W117" i="2"/>
  <c r="W137" i="2"/>
  <c r="W139" i="2"/>
  <c r="W141" i="2"/>
  <c r="W143" i="2"/>
  <c r="W149" i="2"/>
  <c r="S10" i="2"/>
  <c r="S116" i="2"/>
  <c r="Q144" i="2"/>
  <c r="Q5" i="2"/>
  <c r="Q9" i="2"/>
  <c r="S13" i="2"/>
  <c r="U13" i="2"/>
  <c r="S17" i="2"/>
  <c r="U17" i="2"/>
  <c r="S21" i="2"/>
  <c r="U21" i="2"/>
  <c r="S25" i="2"/>
  <c r="U25" i="2"/>
  <c r="S29" i="2"/>
  <c r="Q29" i="2"/>
  <c r="S33" i="2"/>
  <c r="Q33" i="2"/>
  <c r="S37" i="2"/>
  <c r="Q37" i="2"/>
  <c r="S41" i="2"/>
  <c r="Q41" i="2"/>
  <c r="S45" i="2"/>
  <c r="Q45" i="2"/>
  <c r="S49" i="2"/>
  <c r="Q49" i="2"/>
  <c r="S53" i="2"/>
  <c r="Q53" i="2"/>
  <c r="S57" i="2"/>
  <c r="Q57" i="2"/>
  <c r="S61" i="2"/>
  <c r="Q61" i="2"/>
  <c r="S65" i="2"/>
  <c r="Q65" i="2"/>
  <c r="S69" i="2"/>
  <c r="Q69" i="2"/>
  <c r="S73" i="2"/>
  <c r="Q73" i="2"/>
  <c r="S77" i="2"/>
  <c r="Q77" i="2"/>
  <c r="S81" i="2"/>
  <c r="Q81" i="2"/>
  <c r="S85" i="2"/>
  <c r="Q85" i="2"/>
  <c r="S89" i="2"/>
  <c r="Q89" i="2"/>
  <c r="S93" i="2"/>
  <c r="Q93" i="2"/>
  <c r="S97" i="2"/>
  <c r="Q97" i="2"/>
  <c r="S101" i="2"/>
  <c r="Q101" i="2"/>
  <c r="S105" i="2"/>
  <c r="Q105" i="2"/>
  <c r="S109" i="2"/>
  <c r="Q109" i="2"/>
  <c r="S113" i="2"/>
  <c r="Q117" i="2"/>
  <c r="Q121" i="2"/>
  <c r="Q125" i="2"/>
  <c r="Q129" i="2"/>
  <c r="Q133" i="2"/>
  <c r="Q137" i="2"/>
  <c r="Q141" i="2"/>
  <c r="Q145" i="2"/>
  <c r="Q149" i="2"/>
  <c r="N152" i="2"/>
  <c r="S14" i="2"/>
  <c r="U14" i="2"/>
  <c r="S135" i="2"/>
  <c r="S139" i="2"/>
  <c r="S143" i="2"/>
  <c r="S147" i="2"/>
  <c r="O152" i="2"/>
  <c r="O156" i="2" s="1"/>
  <c r="R152" i="2" l="1"/>
  <c r="AC152" i="2"/>
  <c r="R153" i="2"/>
  <c r="T152" i="2"/>
  <c r="U152" i="2"/>
  <c r="Q152" i="2"/>
  <c r="Q153" i="2" s="1"/>
  <c r="S152" i="2"/>
  <c r="S153" i="2" s="1"/>
  <c r="T153" i="2"/>
  <c r="N156" i="2"/>
  <c r="N153" i="2"/>
  <c r="X153" i="2"/>
  <c r="Z153" i="2"/>
  <c r="W152" i="2"/>
  <c r="W153" i="2" s="1"/>
  <c r="Y152" i="2"/>
  <c r="Y153" i="2" s="1"/>
  <c r="AA152" i="2"/>
  <c r="AA153" i="2" s="1"/>
  <c r="V153" i="2"/>
  <c r="AC153" i="2"/>
  <c r="U153" i="2"/>
  <c r="H18" i="18" l="1"/>
  <c r="D32" i="18"/>
  <c r="R5" i="19"/>
  <c r="J11" i="18"/>
  <c r="M15" i="18" s="1"/>
  <c r="H121" i="19" l="1"/>
  <c r="M53" i="19"/>
  <c r="M54" i="19"/>
  <c r="M52"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R4" i="19"/>
  <c r="M12" i="19"/>
  <c r="X12" i="19" s="1"/>
  <c r="M44" i="19"/>
  <c r="X44" i="19" s="1"/>
  <c r="M37" i="19"/>
  <c r="X37" i="19" s="1"/>
  <c r="M43" i="19"/>
  <c r="X43" i="19" s="1"/>
  <c r="M34" i="19"/>
  <c r="X34" i="19" s="1"/>
  <c r="M39" i="19"/>
  <c r="X39" i="19" s="1"/>
  <c r="M40" i="19"/>
  <c r="X40" i="19" s="1"/>
  <c r="M14" i="19"/>
  <c r="X14" i="19" s="1"/>
  <c r="M16" i="19"/>
  <c r="X16" i="19" s="1"/>
  <c r="M51" i="19"/>
  <c r="X51" i="19" s="1"/>
  <c r="M41" i="19"/>
  <c r="X41" i="19" s="1"/>
  <c r="M48" i="19"/>
  <c r="X48" i="19" s="1"/>
  <c r="M38" i="19"/>
  <c r="X38" i="19" s="1"/>
  <c r="M47" i="19"/>
  <c r="X47" i="19" s="1"/>
  <c r="M45" i="19"/>
  <c r="X45" i="19" s="1"/>
  <c r="M42" i="19"/>
  <c r="X42" i="19" s="1"/>
  <c r="M17" i="19"/>
  <c r="X17" i="19" s="1"/>
  <c r="M35" i="19"/>
  <c r="X35" i="19" s="1"/>
  <c r="M20" i="19"/>
  <c r="X20" i="19" s="1"/>
  <c r="M23" i="19"/>
  <c r="X23" i="19" s="1"/>
  <c r="M27" i="19"/>
  <c r="X27" i="19" s="1"/>
  <c r="M28" i="19"/>
  <c r="X28" i="19" s="1"/>
  <c r="M21" i="19"/>
  <c r="X21" i="19" s="1"/>
  <c r="M15" i="19"/>
  <c r="X15" i="19" s="1"/>
  <c r="M18" i="19"/>
  <c r="X18" i="19" s="1"/>
  <c r="M50" i="19"/>
  <c r="X50" i="19" s="1"/>
  <c r="P127" i="19"/>
  <c r="M32" i="19"/>
  <c r="X32" i="19" s="1"/>
  <c r="M11" i="19"/>
  <c r="X11" i="19" s="1"/>
  <c r="M33" i="19"/>
  <c r="X33" i="19" s="1"/>
  <c r="M36" i="19"/>
  <c r="X36" i="19" s="1"/>
  <c r="M25" i="19"/>
  <c r="X25" i="19" s="1"/>
  <c r="M13" i="19"/>
  <c r="X13" i="19" s="1"/>
  <c r="M46" i="19"/>
  <c r="X46" i="19" s="1"/>
  <c r="M22" i="19"/>
  <c r="X22" i="19" s="1"/>
  <c r="M30" i="19"/>
  <c r="X30" i="19" s="1"/>
  <c r="M49" i="19"/>
  <c r="X49" i="19" s="1"/>
  <c r="M26" i="19"/>
  <c r="X26" i="19" s="1"/>
  <c r="M31" i="19"/>
  <c r="X31" i="19" s="1"/>
  <c r="M24" i="19"/>
  <c r="X24" i="19" s="1"/>
  <c r="M10" i="19"/>
  <c r="M19" i="19"/>
  <c r="X19" i="19" s="1"/>
  <c r="M29" i="19"/>
  <c r="X29" i="19" s="1"/>
  <c r="H10" i="18"/>
  <c r="H11" i="18" s="1"/>
  <c r="R7" i="19"/>
  <c r="F16" i="18"/>
  <c r="F21" i="18"/>
  <c r="M99" i="19" l="1"/>
  <c r="G30" i="19"/>
  <c r="F30" i="19" s="1"/>
  <c r="Q30" i="19" s="1"/>
  <c r="G54" i="19"/>
  <c r="H54" i="19" s="1"/>
  <c r="G58" i="19"/>
  <c r="H58" i="19" s="1"/>
  <c r="G62" i="19"/>
  <c r="H62" i="19" s="1"/>
  <c r="G66" i="19"/>
  <c r="H66" i="19" s="1"/>
  <c r="G73" i="19"/>
  <c r="H73" i="19" s="1"/>
  <c r="G77" i="19"/>
  <c r="H77" i="19" s="1"/>
  <c r="G80" i="19"/>
  <c r="H80" i="19" s="1"/>
  <c r="G83" i="19"/>
  <c r="H83" i="19" s="1"/>
  <c r="G87" i="19"/>
  <c r="H87" i="19" s="1"/>
  <c r="G91" i="19"/>
  <c r="H91" i="19" s="1"/>
  <c r="G94" i="19"/>
  <c r="H94" i="19" s="1"/>
  <c r="G98" i="19"/>
  <c r="H98" i="19" s="1"/>
  <c r="G105" i="19"/>
  <c r="H105" i="19" s="1"/>
  <c r="G107" i="19"/>
  <c r="H107" i="19" s="1"/>
  <c r="G114" i="19"/>
  <c r="H114" i="19" s="1"/>
  <c r="G117" i="19"/>
  <c r="H117" i="19" s="1"/>
  <c r="G120" i="19"/>
  <c r="H120" i="19" s="1"/>
  <c r="G53" i="19"/>
  <c r="H53" i="19" s="1"/>
  <c r="G67" i="19"/>
  <c r="H67" i="19" s="1"/>
  <c r="G74" i="19"/>
  <c r="H74" i="19" s="1"/>
  <c r="G88" i="19"/>
  <c r="H88" i="19" s="1"/>
  <c r="G52" i="19"/>
  <c r="H52" i="19" s="1"/>
  <c r="G55" i="19"/>
  <c r="H55" i="19" s="1"/>
  <c r="G69" i="19"/>
  <c r="H69" i="19" s="1"/>
  <c r="G72" i="19"/>
  <c r="H72" i="19" s="1"/>
  <c r="G76" i="19"/>
  <c r="H76" i="19" s="1"/>
  <c r="G79" i="19"/>
  <c r="H79" i="19" s="1"/>
  <c r="G82" i="19"/>
  <c r="H82" i="19" s="1"/>
  <c r="G86" i="19"/>
  <c r="H86" i="19" s="1"/>
  <c r="G90" i="19"/>
  <c r="H90" i="19" s="1"/>
  <c r="G97" i="19"/>
  <c r="H97" i="19" s="1"/>
  <c r="G101" i="19"/>
  <c r="H101" i="19" s="1"/>
  <c r="G104" i="19"/>
  <c r="H104" i="19" s="1"/>
  <c r="G110" i="19"/>
  <c r="H110" i="19" s="1"/>
  <c r="G113" i="19"/>
  <c r="H113" i="19" s="1"/>
  <c r="G116" i="19"/>
  <c r="H116" i="19" s="1"/>
  <c r="G119" i="19"/>
  <c r="H119" i="19" s="1"/>
  <c r="G59" i="19"/>
  <c r="H59" i="19" s="1"/>
  <c r="G63" i="19"/>
  <c r="H63" i="19" s="1"/>
  <c r="G64" i="19"/>
  <c r="H64" i="19" s="1"/>
  <c r="G84" i="19"/>
  <c r="H84" i="19" s="1"/>
  <c r="G95" i="19"/>
  <c r="H95" i="19" s="1"/>
  <c r="G99" i="19"/>
  <c r="H99" i="19" s="1"/>
  <c r="G57" i="19"/>
  <c r="H57" i="19" s="1"/>
  <c r="G61" i="19"/>
  <c r="H61" i="19" s="1"/>
  <c r="G65" i="19"/>
  <c r="H65" i="19" s="1"/>
  <c r="G68" i="19"/>
  <c r="H68" i="19" s="1"/>
  <c r="G71" i="19"/>
  <c r="H71" i="19" s="1"/>
  <c r="G75" i="19"/>
  <c r="H75" i="19" s="1"/>
  <c r="G78" i="19"/>
  <c r="H78" i="19" s="1"/>
  <c r="G85" i="19"/>
  <c r="H85" i="19" s="1"/>
  <c r="G89" i="19"/>
  <c r="H89" i="19" s="1"/>
  <c r="G93" i="19"/>
  <c r="H93" i="19" s="1"/>
  <c r="G96" i="19"/>
  <c r="H96" i="19" s="1"/>
  <c r="G100" i="19"/>
  <c r="H100" i="19" s="1"/>
  <c r="G103" i="19"/>
  <c r="H103" i="19" s="1"/>
  <c r="G106" i="19"/>
  <c r="H106" i="19" s="1"/>
  <c r="G109" i="19"/>
  <c r="H109" i="19" s="1"/>
  <c r="G112" i="19"/>
  <c r="H112" i="19" s="1"/>
  <c r="G115" i="19"/>
  <c r="H115" i="19" s="1"/>
  <c r="G56" i="19"/>
  <c r="H56" i="19" s="1"/>
  <c r="G60" i="19"/>
  <c r="H60" i="19" s="1"/>
  <c r="G70" i="19"/>
  <c r="H70" i="19" s="1"/>
  <c r="G81" i="19"/>
  <c r="H81" i="19" s="1"/>
  <c r="G92" i="19"/>
  <c r="H92" i="19" s="1"/>
  <c r="G118" i="19"/>
  <c r="H118" i="19" s="1"/>
  <c r="G102" i="19"/>
  <c r="H102" i="19" s="1"/>
  <c r="G108" i="19"/>
  <c r="H108" i="19" s="1"/>
  <c r="G111" i="19"/>
  <c r="H111" i="19" s="1"/>
  <c r="G121" i="19"/>
  <c r="J21" i="18"/>
  <c r="J23" i="18" s="1"/>
  <c r="G23" i="18" s="1"/>
  <c r="J26" i="18" s="1"/>
  <c r="G14" i="19"/>
  <c r="I14" i="19" s="1"/>
  <c r="P14" i="19" s="1"/>
  <c r="G20" i="19"/>
  <c r="H20" i="19" s="1"/>
  <c r="G35" i="19"/>
  <c r="F35" i="19" s="1"/>
  <c r="G47" i="19"/>
  <c r="I47" i="19" s="1"/>
  <c r="P47" i="19" s="1"/>
  <c r="G19" i="19"/>
  <c r="I19" i="19" s="1"/>
  <c r="P19" i="19" s="1"/>
  <c r="G22" i="19"/>
  <c r="H22" i="19" s="1"/>
  <c r="G23" i="19"/>
  <c r="H23" i="19" s="1"/>
  <c r="G34" i="19"/>
  <c r="I34" i="19" s="1"/>
  <c r="P34" i="19" s="1"/>
  <c r="G31" i="19"/>
  <c r="H31" i="19" s="1"/>
  <c r="G48" i="19"/>
  <c r="I48" i="19" s="1"/>
  <c r="P48" i="19" s="1"/>
  <c r="G18" i="19"/>
  <c r="H18" i="19" s="1"/>
  <c r="G12" i="19"/>
  <c r="H12" i="19" s="1"/>
  <c r="G43" i="19"/>
  <c r="F43" i="19" s="1"/>
  <c r="G13" i="19"/>
  <c r="H13" i="19" s="1"/>
  <c r="G26" i="19"/>
  <c r="H26" i="19" s="1"/>
  <c r="G36" i="19"/>
  <c r="I36" i="19" s="1"/>
  <c r="P36" i="19" s="1"/>
  <c r="G45" i="19"/>
  <c r="H45" i="19" s="1"/>
  <c r="G10" i="19"/>
  <c r="H10" i="19" s="1"/>
  <c r="G16" i="19"/>
  <c r="H16" i="19" s="1"/>
  <c r="G24" i="19"/>
  <c r="F24" i="19" s="1"/>
  <c r="G32" i="19"/>
  <c r="I32" i="19" s="1"/>
  <c r="P32" i="19" s="1"/>
  <c r="G44" i="19"/>
  <c r="I44" i="19" s="1"/>
  <c r="P44" i="19" s="1"/>
  <c r="G17" i="19"/>
  <c r="H17" i="19" s="1"/>
  <c r="G39" i="19"/>
  <c r="H39" i="19" s="1"/>
  <c r="G37" i="19"/>
  <c r="H37" i="19" s="1"/>
  <c r="G51" i="19"/>
  <c r="G46" i="19"/>
  <c r="H46" i="19" s="1"/>
  <c r="G11" i="19"/>
  <c r="H11" i="19" s="1"/>
  <c r="G28" i="19"/>
  <c r="H28" i="19" s="1"/>
  <c r="G42" i="19"/>
  <c r="H42" i="19" s="1"/>
  <c r="G50" i="19"/>
  <c r="H50" i="19" s="1"/>
  <c r="G21" i="19"/>
  <c r="I21" i="19" s="1"/>
  <c r="P21" i="19" s="1"/>
  <c r="G33" i="19"/>
  <c r="I33" i="19" s="1"/>
  <c r="P33" i="19" s="1"/>
  <c r="G15" i="19"/>
  <c r="H15" i="19" s="1"/>
  <c r="G38" i="19"/>
  <c r="H38" i="19" s="1"/>
  <c r="G27" i="19"/>
  <c r="H27" i="19" s="1"/>
  <c r="G25" i="19"/>
  <c r="I25" i="19" s="1"/>
  <c r="P25" i="19" s="1"/>
  <c r="G29" i="19"/>
  <c r="H29" i="19" s="1"/>
  <c r="G40" i="19"/>
  <c r="I40" i="19" s="1"/>
  <c r="P40" i="19" s="1"/>
  <c r="G41" i="19"/>
  <c r="I41" i="19" s="1"/>
  <c r="P41" i="19" s="1"/>
  <c r="G49" i="19"/>
  <c r="I49" i="19" s="1"/>
  <c r="P49" i="19" s="1"/>
  <c r="X10" i="19"/>
  <c r="H36" i="19" l="1"/>
  <c r="H30" i="19"/>
  <c r="I51" i="19"/>
  <c r="P136" i="19" s="1"/>
  <c r="H51" i="19"/>
  <c r="N30" i="19"/>
  <c r="M100" i="19"/>
  <c r="O30" i="19"/>
  <c r="I30" i="19"/>
  <c r="P30" i="19" s="1"/>
  <c r="F102" i="19"/>
  <c r="I102" i="19"/>
  <c r="I81" i="19"/>
  <c r="P81" i="19" s="1"/>
  <c r="F81" i="19"/>
  <c r="I112" i="19"/>
  <c r="F112" i="19"/>
  <c r="F100" i="19"/>
  <c r="I100" i="19"/>
  <c r="P100" i="19" s="1"/>
  <c r="F85" i="19"/>
  <c r="I85" i="19"/>
  <c r="P85" i="19" s="1"/>
  <c r="F68" i="19"/>
  <c r="I68" i="19"/>
  <c r="P68" i="19" s="1"/>
  <c r="I99" i="19"/>
  <c r="P99" i="19" s="1"/>
  <c r="F99" i="19"/>
  <c r="I63" i="19"/>
  <c r="P63" i="19" s="1"/>
  <c r="F63" i="19"/>
  <c r="F113" i="19"/>
  <c r="I113" i="19"/>
  <c r="F97" i="19"/>
  <c r="I97" i="19"/>
  <c r="P97" i="19" s="1"/>
  <c r="I79" i="19"/>
  <c r="P79" i="19" s="1"/>
  <c r="F79" i="19"/>
  <c r="F55" i="19"/>
  <c r="I55" i="19"/>
  <c r="P55" i="19" s="1"/>
  <c r="I67" i="19"/>
  <c r="P67" i="19" s="1"/>
  <c r="F67" i="19"/>
  <c r="F107" i="19"/>
  <c r="I107" i="19"/>
  <c r="F91" i="19"/>
  <c r="I91" i="19"/>
  <c r="P91" i="19" s="1"/>
  <c r="I77" i="19"/>
  <c r="P77" i="19" s="1"/>
  <c r="F77" i="19"/>
  <c r="I58" i="19"/>
  <c r="P58" i="19" s="1"/>
  <c r="F58" i="19"/>
  <c r="I111" i="19"/>
  <c r="F111" i="19"/>
  <c r="F70" i="19"/>
  <c r="I70" i="19"/>
  <c r="P70" i="19" s="1"/>
  <c r="F109" i="19"/>
  <c r="I109" i="19"/>
  <c r="F96" i="19"/>
  <c r="I96" i="19"/>
  <c r="P96" i="19" s="1"/>
  <c r="F78" i="19"/>
  <c r="I78" i="19"/>
  <c r="P78" i="19" s="1"/>
  <c r="I65" i="19"/>
  <c r="P65" i="19" s="1"/>
  <c r="F65" i="19"/>
  <c r="I95" i="19"/>
  <c r="P95" i="19" s="1"/>
  <c r="F95" i="19"/>
  <c r="I59" i="19"/>
  <c r="P59" i="19" s="1"/>
  <c r="F59" i="19"/>
  <c r="I110" i="19"/>
  <c r="F110" i="19"/>
  <c r="I90" i="19"/>
  <c r="P90" i="19" s="1"/>
  <c r="F90" i="19"/>
  <c r="F76" i="19"/>
  <c r="I76" i="19"/>
  <c r="P76" i="19" s="1"/>
  <c r="F52" i="19"/>
  <c r="I52" i="19"/>
  <c r="P52" i="19" s="1"/>
  <c r="I53" i="19"/>
  <c r="P53" i="19" s="1"/>
  <c r="F53" i="19"/>
  <c r="I120" i="19"/>
  <c r="F120" i="19"/>
  <c r="F105" i="19"/>
  <c r="I105" i="19"/>
  <c r="I87" i="19"/>
  <c r="P87" i="19" s="1"/>
  <c r="F87" i="19"/>
  <c r="F73" i="19"/>
  <c r="I73" i="19"/>
  <c r="P73" i="19" s="1"/>
  <c r="I54" i="19"/>
  <c r="P54" i="19" s="1"/>
  <c r="F54" i="19"/>
  <c r="I118" i="19"/>
  <c r="F118" i="19"/>
  <c r="I60" i="19"/>
  <c r="P60" i="19" s="1"/>
  <c r="F60" i="19"/>
  <c r="I106" i="19"/>
  <c r="F106" i="19"/>
  <c r="I93" i="19"/>
  <c r="P93" i="19" s="1"/>
  <c r="F93" i="19"/>
  <c r="I75" i="19"/>
  <c r="P75" i="19" s="1"/>
  <c r="F75" i="19"/>
  <c r="I61" i="19"/>
  <c r="P61" i="19" s="1"/>
  <c r="F61" i="19"/>
  <c r="I84" i="19"/>
  <c r="P84" i="19" s="1"/>
  <c r="F84" i="19"/>
  <c r="I119" i="19"/>
  <c r="F119" i="19"/>
  <c r="F104" i="19"/>
  <c r="I104" i="19"/>
  <c r="F86" i="19"/>
  <c r="I86" i="19"/>
  <c r="P86" i="19" s="1"/>
  <c r="F72" i="19"/>
  <c r="I72" i="19"/>
  <c r="P72" i="19" s="1"/>
  <c r="I88" i="19"/>
  <c r="P88" i="19" s="1"/>
  <c r="F88" i="19"/>
  <c r="F117" i="19"/>
  <c r="I117" i="19"/>
  <c r="F98" i="19"/>
  <c r="I98" i="19"/>
  <c r="P98" i="19" s="1"/>
  <c r="I83" i="19"/>
  <c r="P83" i="19" s="1"/>
  <c r="F83" i="19"/>
  <c r="I66" i="19"/>
  <c r="P66" i="19" s="1"/>
  <c r="F66" i="19"/>
  <c r="F121" i="19"/>
  <c r="I121" i="19"/>
  <c r="I108" i="19"/>
  <c r="F108" i="19"/>
  <c r="F92" i="19"/>
  <c r="I92" i="19"/>
  <c r="P92" i="19" s="1"/>
  <c r="I56" i="19"/>
  <c r="P56" i="19" s="1"/>
  <c r="F56" i="19"/>
  <c r="F115" i="19"/>
  <c r="I115" i="19"/>
  <c r="I103" i="19"/>
  <c r="F103" i="19"/>
  <c r="F89" i="19"/>
  <c r="I89" i="19"/>
  <c r="P89" i="19" s="1"/>
  <c r="I71" i="19"/>
  <c r="P71" i="19" s="1"/>
  <c r="F71" i="19"/>
  <c r="I57" i="19"/>
  <c r="P57" i="19" s="1"/>
  <c r="F57" i="19"/>
  <c r="I64" i="19"/>
  <c r="P64" i="19" s="1"/>
  <c r="F64" i="19"/>
  <c r="F116" i="19"/>
  <c r="I116" i="19"/>
  <c r="F101" i="19"/>
  <c r="I101" i="19"/>
  <c r="I82" i="19"/>
  <c r="P82" i="19" s="1"/>
  <c r="F82" i="19"/>
  <c r="I69" i="19"/>
  <c r="P69" i="19" s="1"/>
  <c r="F69" i="19"/>
  <c r="F74" i="19"/>
  <c r="I74" i="19"/>
  <c r="P74" i="19" s="1"/>
  <c r="I114" i="19"/>
  <c r="F114" i="19"/>
  <c r="I94" i="19"/>
  <c r="P94" i="19" s="1"/>
  <c r="F94" i="19"/>
  <c r="F80" i="19"/>
  <c r="I80" i="19"/>
  <c r="P80" i="19" s="1"/>
  <c r="I62" i="19"/>
  <c r="P62" i="19" s="1"/>
  <c r="F62" i="19"/>
  <c r="F19" i="19"/>
  <c r="Q19" i="19" s="1"/>
  <c r="H48" i="19"/>
  <c r="H41" i="19"/>
  <c r="F22" i="19"/>
  <c r="Q22" i="19" s="1"/>
  <c r="I28" i="19"/>
  <c r="P28" i="19" s="1"/>
  <c r="F45" i="19"/>
  <c r="O45" i="19" s="1"/>
  <c r="R126" i="19" s="1"/>
  <c r="S126" i="19" s="1"/>
  <c r="I22" i="19"/>
  <c r="P22" i="19" s="1"/>
  <c r="F13" i="19"/>
  <c r="Q13" i="19" s="1"/>
  <c r="I37" i="19"/>
  <c r="P37" i="19" s="1"/>
  <c r="I45" i="19"/>
  <c r="P45" i="19" s="1"/>
  <c r="F20" i="19"/>
  <c r="Q20" i="19" s="1"/>
  <c r="F48" i="19"/>
  <c r="N48" i="19" s="1"/>
  <c r="H24" i="19"/>
  <c r="H19" i="19"/>
  <c r="I42" i="19"/>
  <c r="P42" i="19" s="1"/>
  <c r="F14" i="19"/>
  <c r="O14" i="19" s="1"/>
  <c r="I24" i="19"/>
  <c r="P24" i="19" s="1"/>
  <c r="I43" i="19"/>
  <c r="P43" i="19" s="1"/>
  <c r="F31" i="19"/>
  <c r="N31" i="19" s="1"/>
  <c r="F36" i="19"/>
  <c r="O36" i="19" s="1"/>
  <c r="F23" i="19"/>
  <c r="O23" i="19" s="1"/>
  <c r="F32" i="19"/>
  <c r="O32" i="19" s="1"/>
  <c r="H14" i="19"/>
  <c r="H43" i="19"/>
  <c r="I31" i="19"/>
  <c r="P31" i="19" s="1"/>
  <c r="F18" i="19"/>
  <c r="Q18" i="19" s="1"/>
  <c r="H35" i="19"/>
  <c r="F28" i="19"/>
  <c r="O28" i="19" s="1"/>
  <c r="F37" i="19"/>
  <c r="Q37" i="19" s="1"/>
  <c r="F10" i="19"/>
  <c r="N10" i="19" s="1"/>
  <c r="I20" i="19"/>
  <c r="P20" i="19" s="1"/>
  <c r="H32" i="19"/>
  <c r="I13" i="19"/>
  <c r="P13" i="19" s="1"/>
  <c r="I16" i="19"/>
  <c r="P16" i="19" s="1"/>
  <c r="F12" i="19"/>
  <c r="N12" i="19" s="1"/>
  <c r="F46" i="19"/>
  <c r="N46" i="19" s="1"/>
  <c r="F33" i="19"/>
  <c r="Q33" i="19" s="1"/>
  <c r="F16" i="19"/>
  <c r="Q16" i="19" s="1"/>
  <c r="F47" i="19"/>
  <c r="Q47" i="19" s="1"/>
  <c r="H47" i="19"/>
  <c r="I12" i="19"/>
  <c r="P12" i="19" s="1"/>
  <c r="F17" i="19"/>
  <c r="N17" i="19" s="1"/>
  <c r="H34" i="19"/>
  <c r="I46" i="19"/>
  <c r="P46" i="19" s="1"/>
  <c r="I17" i="19"/>
  <c r="P17" i="19" s="1"/>
  <c r="H33" i="19"/>
  <c r="I29" i="19"/>
  <c r="P29" i="19" s="1"/>
  <c r="F34" i="19"/>
  <c r="Q34" i="19" s="1"/>
  <c r="H25" i="19"/>
  <c r="H44" i="19"/>
  <c r="I35" i="19"/>
  <c r="P35" i="19" s="1"/>
  <c r="H49" i="19"/>
  <c r="F42" i="19"/>
  <c r="O42" i="19" s="1"/>
  <c r="F51" i="19"/>
  <c r="N51" i="19" s="1"/>
  <c r="F44" i="19"/>
  <c r="Q44" i="19" s="1"/>
  <c r="I26" i="19"/>
  <c r="P26" i="19" s="1"/>
  <c r="I23" i="19"/>
  <c r="P23" i="19" s="1"/>
  <c r="I18" i="19"/>
  <c r="P18" i="19" s="1"/>
  <c r="F26" i="19"/>
  <c r="N26" i="19" s="1"/>
  <c r="I10" i="19"/>
  <c r="P10" i="19" s="1"/>
  <c r="F49" i="19"/>
  <c r="Q49" i="19" s="1"/>
  <c r="F27" i="19"/>
  <c r="O27" i="19" s="1"/>
  <c r="F25" i="19"/>
  <c r="O25" i="19" s="1"/>
  <c r="H21" i="19"/>
  <c r="F21" i="19"/>
  <c r="O21" i="19" s="1"/>
  <c r="F41" i="19"/>
  <c r="N41" i="19" s="1"/>
  <c r="G128" i="19"/>
  <c r="G129" i="19" s="1"/>
  <c r="F11" i="19"/>
  <c r="N11" i="19" s="1"/>
  <c r="I39" i="19"/>
  <c r="P39" i="19" s="1"/>
  <c r="F29" i="19"/>
  <c r="O29" i="19" s="1"/>
  <c r="I50" i="19"/>
  <c r="I38" i="19"/>
  <c r="P38" i="19" s="1"/>
  <c r="I11" i="19"/>
  <c r="P11" i="19" s="1"/>
  <c r="F50" i="19"/>
  <c r="N50" i="19" s="1"/>
  <c r="F40" i="19"/>
  <c r="O40" i="19" s="1"/>
  <c r="F38" i="19"/>
  <c r="N38" i="19" s="1"/>
  <c r="F39" i="19"/>
  <c r="O39" i="19" s="1"/>
  <c r="H40" i="19"/>
  <c r="F15" i="19"/>
  <c r="N15" i="19" s="1"/>
  <c r="I27" i="19"/>
  <c r="P27" i="19" s="1"/>
  <c r="I15" i="19"/>
  <c r="P15" i="19" s="1"/>
  <c r="Q35" i="19"/>
  <c r="O35" i="19"/>
  <c r="N35" i="19"/>
  <c r="Q24" i="19"/>
  <c r="N24" i="19"/>
  <c r="O24" i="19"/>
  <c r="N43" i="19"/>
  <c r="Q43" i="19"/>
  <c r="O43" i="19"/>
  <c r="P134" i="19" l="1"/>
  <c r="P51" i="19"/>
  <c r="N140" i="19" s="1"/>
  <c r="P133" i="19"/>
  <c r="R127" i="19"/>
  <c r="O19" i="19"/>
  <c r="M101" i="19"/>
  <c r="N19" i="19"/>
  <c r="O62" i="19"/>
  <c r="Q62" i="19"/>
  <c r="N62" i="19"/>
  <c r="Q94" i="19"/>
  <c r="N94" i="19"/>
  <c r="O94" i="19"/>
  <c r="O82" i="19"/>
  <c r="Q82" i="19"/>
  <c r="N82" i="19"/>
  <c r="O64" i="19"/>
  <c r="N64" i="19"/>
  <c r="Q64" i="19"/>
  <c r="O71" i="19"/>
  <c r="Q71" i="19"/>
  <c r="N71" i="19"/>
  <c r="Q56" i="19"/>
  <c r="O56" i="19"/>
  <c r="N56" i="19"/>
  <c r="N83" i="19"/>
  <c r="O83" i="19"/>
  <c r="Q83" i="19"/>
  <c r="Q61" i="19"/>
  <c r="N61" i="19"/>
  <c r="O61" i="19"/>
  <c r="N93" i="19"/>
  <c r="O93" i="19"/>
  <c r="Q93" i="19"/>
  <c r="N90" i="19"/>
  <c r="Q90" i="19"/>
  <c r="O90" i="19"/>
  <c r="O95" i="19"/>
  <c r="Q95" i="19"/>
  <c r="N95" i="19"/>
  <c r="O58" i="19"/>
  <c r="N58" i="19"/>
  <c r="Q58" i="19"/>
  <c r="O67" i="19"/>
  <c r="Q67" i="19"/>
  <c r="N67" i="19"/>
  <c r="N79" i="19"/>
  <c r="Q79" i="19"/>
  <c r="O79" i="19"/>
  <c r="O63" i="19"/>
  <c r="Q63" i="19"/>
  <c r="N63" i="19"/>
  <c r="Q74" i="19"/>
  <c r="O74" i="19"/>
  <c r="N74" i="19"/>
  <c r="Q72" i="19"/>
  <c r="O72" i="19"/>
  <c r="N72" i="19"/>
  <c r="O73" i="19"/>
  <c r="Q73" i="19"/>
  <c r="N73" i="19"/>
  <c r="N52" i="19"/>
  <c r="O52" i="19"/>
  <c r="Q52" i="19"/>
  <c r="O78" i="19"/>
  <c r="N78" i="19"/>
  <c r="Q78" i="19"/>
  <c r="Q70" i="19"/>
  <c r="N70" i="19"/>
  <c r="O70" i="19"/>
  <c r="N91" i="19"/>
  <c r="O91" i="19"/>
  <c r="Q91" i="19"/>
  <c r="Q68" i="19"/>
  <c r="N68" i="19"/>
  <c r="O68" i="19"/>
  <c r="N100" i="19"/>
  <c r="O100" i="19"/>
  <c r="Q100" i="19"/>
  <c r="Q102" i="19"/>
  <c r="N102" i="19"/>
  <c r="O102" i="19"/>
  <c r="Q69" i="19"/>
  <c r="N69" i="19"/>
  <c r="O69" i="19"/>
  <c r="N57" i="19"/>
  <c r="Q57" i="19"/>
  <c r="O57" i="19"/>
  <c r="O66" i="19"/>
  <c r="Q66" i="19"/>
  <c r="N66" i="19"/>
  <c r="O88" i="19"/>
  <c r="Q88" i="19"/>
  <c r="N88" i="19"/>
  <c r="N84" i="19"/>
  <c r="O84" i="19"/>
  <c r="Q84" i="19"/>
  <c r="N75" i="19"/>
  <c r="Q75" i="19"/>
  <c r="O75" i="19"/>
  <c r="O60" i="19"/>
  <c r="N60" i="19"/>
  <c r="Q60" i="19"/>
  <c r="Q54" i="19"/>
  <c r="N54" i="19"/>
  <c r="O54" i="19"/>
  <c r="Q87" i="19"/>
  <c r="O87" i="19"/>
  <c r="N87" i="19"/>
  <c r="Q53" i="19"/>
  <c r="N53" i="19"/>
  <c r="O53" i="19"/>
  <c r="O59" i="19"/>
  <c r="N59" i="19"/>
  <c r="Q59" i="19"/>
  <c r="N65" i="19"/>
  <c r="Q65" i="19"/>
  <c r="O65" i="19"/>
  <c r="N77" i="19"/>
  <c r="O77" i="19"/>
  <c r="Q77" i="19"/>
  <c r="O99" i="19"/>
  <c r="Q99" i="19"/>
  <c r="N99" i="19"/>
  <c r="Q81" i="19"/>
  <c r="O81" i="19"/>
  <c r="N81" i="19"/>
  <c r="Q80" i="19"/>
  <c r="O80" i="19"/>
  <c r="N80" i="19"/>
  <c r="O101" i="19"/>
  <c r="Q101" i="19"/>
  <c r="N101" i="19"/>
  <c r="Q89" i="19"/>
  <c r="O89" i="19"/>
  <c r="N89" i="19"/>
  <c r="N92" i="19"/>
  <c r="Q92" i="19"/>
  <c r="O92" i="19"/>
  <c r="Q98" i="19"/>
  <c r="O98" i="19"/>
  <c r="N98" i="19"/>
  <c r="O86" i="19"/>
  <c r="Q86" i="19"/>
  <c r="N86" i="19"/>
  <c r="N76" i="19"/>
  <c r="Q76" i="19"/>
  <c r="O76" i="19"/>
  <c r="O96" i="19"/>
  <c r="N96" i="19"/>
  <c r="Q96" i="19"/>
  <c r="O55" i="19"/>
  <c r="Q55" i="19"/>
  <c r="N55" i="19"/>
  <c r="N97" i="19"/>
  <c r="O97" i="19"/>
  <c r="Q97" i="19"/>
  <c r="Q85" i="19"/>
  <c r="O85" i="19"/>
  <c r="N85" i="19"/>
  <c r="O22" i="19"/>
  <c r="N22" i="19"/>
  <c r="O20" i="19"/>
  <c r="N13" i="19"/>
  <c r="O13" i="19"/>
  <c r="N20" i="19"/>
  <c r="Q48" i="19"/>
  <c r="Q45" i="19"/>
  <c r="O48" i="19"/>
  <c r="N45" i="19"/>
  <c r="N47" i="19"/>
  <c r="N32" i="19"/>
  <c r="Q28" i="19"/>
  <c r="Q32" i="19"/>
  <c r="Q36" i="19"/>
  <c r="Q31" i="19"/>
  <c r="O31" i="19"/>
  <c r="N37" i="19"/>
  <c r="Q14" i="19"/>
  <c r="N14" i="19"/>
  <c r="N28" i="19"/>
  <c r="N34" i="19"/>
  <c r="O12" i="19"/>
  <c r="O10" i="19"/>
  <c r="N36" i="19"/>
  <c r="Q23" i="19"/>
  <c r="Q17" i="19"/>
  <c r="N23" i="19"/>
  <c r="O37" i="19"/>
  <c r="N18" i="19"/>
  <c r="O18" i="19"/>
  <c r="O46" i="19"/>
  <c r="Q29" i="19"/>
  <c r="N42" i="19"/>
  <c r="Q11" i="19"/>
  <c r="N27" i="19"/>
  <c r="O16" i="19"/>
  <c r="O44" i="19"/>
  <c r="Q26" i="19"/>
  <c r="Q46" i="19"/>
  <c r="Q12" i="19"/>
  <c r="O11" i="19"/>
  <c r="Q27" i="19"/>
  <c r="O17" i="19"/>
  <c r="Q10" i="19"/>
  <c r="N16" i="19"/>
  <c r="N44" i="19"/>
  <c r="O26" i="19"/>
  <c r="O41" i="19"/>
  <c r="O49" i="19"/>
  <c r="Q127" i="19" s="1"/>
  <c r="O33" i="19"/>
  <c r="O47" i="19"/>
  <c r="P126" i="19" s="1"/>
  <c r="Q21" i="19"/>
  <c r="N33" i="19"/>
  <c r="Q25" i="19"/>
  <c r="O34" i="19"/>
  <c r="Q38" i="19"/>
  <c r="O15" i="19"/>
  <c r="Q42" i="19"/>
  <c r="N29" i="19"/>
  <c r="N21" i="19"/>
  <c r="N25" i="19"/>
  <c r="Q40" i="19"/>
  <c r="O38" i="19"/>
  <c r="N49" i="19"/>
  <c r="Q15" i="19"/>
  <c r="O51" i="19"/>
  <c r="P135" i="19" s="1"/>
  <c r="Q41" i="19"/>
  <c r="Q51" i="19"/>
  <c r="O50" i="19"/>
  <c r="Q125" i="19" s="1"/>
  <c r="Q39" i="19"/>
  <c r="Q50" i="19"/>
  <c r="N39" i="19"/>
  <c r="P50" i="19"/>
  <c r="F128" i="19"/>
  <c r="F129" i="19" s="1"/>
  <c r="N40" i="19"/>
  <c r="N142" i="19" l="1"/>
  <c r="P101" i="19"/>
  <c r="O137" i="19"/>
  <c r="N137" i="19" s="1"/>
  <c r="N138" i="19" s="1"/>
  <c r="N139" i="19" s="1"/>
  <c r="P132" i="19"/>
  <c r="AE13" i="19"/>
  <c r="AE14" i="19" s="1"/>
  <c r="AF13" i="19"/>
  <c r="AF14" i="19" s="1"/>
  <c r="Q126" i="19"/>
  <c r="O132" i="19"/>
  <c r="AF22" i="19"/>
  <c r="AF23" i="19" s="1"/>
  <c r="AE22" i="19"/>
  <c r="AE23" i="19" s="1"/>
  <c r="M102" i="19" l="1"/>
  <c r="P102" i="19"/>
  <c r="O103" i="19"/>
  <c r="N103" i="19"/>
  <c r="Q103" i="19"/>
  <c r="O138" i="19"/>
  <c r="O139" i="19" s="1"/>
  <c r="O140" i="19" s="1"/>
  <c r="AF24" i="19"/>
  <c r="AF26" i="19" s="1"/>
  <c r="AE24" i="19"/>
  <c r="AE26" i="19" s="1"/>
  <c r="M103" i="19" l="1"/>
  <c r="P103" i="19"/>
  <c r="O104" i="19"/>
  <c r="N104" i="19"/>
  <c r="Q104" i="19"/>
  <c r="O105" i="19" l="1"/>
  <c r="N105" i="19"/>
  <c r="Q105" i="19"/>
  <c r="M104" i="19"/>
  <c r="P104" i="19"/>
  <c r="M105" i="19" l="1"/>
  <c r="P105" i="19"/>
  <c r="O106" i="19"/>
  <c r="Q106" i="19"/>
  <c r="N106" i="19"/>
  <c r="Q107" i="19" l="1"/>
  <c r="N107" i="19"/>
  <c r="O107" i="19"/>
  <c r="M106" i="19"/>
  <c r="P106" i="19"/>
  <c r="M107" i="19" l="1"/>
  <c r="P107" i="19"/>
  <c r="N108" i="19"/>
  <c r="Q108" i="19"/>
  <c r="O108" i="19"/>
  <c r="M108" i="19" l="1"/>
  <c r="P108" i="19"/>
  <c r="N109" i="19"/>
  <c r="O109" i="19"/>
  <c r="Q109" i="19"/>
  <c r="M109" i="19" l="1"/>
  <c r="P109" i="19"/>
  <c r="Q110" i="19"/>
  <c r="N110" i="19"/>
  <c r="O110" i="19"/>
  <c r="M110" i="19" l="1"/>
  <c r="P110" i="19"/>
  <c r="Q111" i="19"/>
  <c r="O111" i="19"/>
  <c r="N111" i="19"/>
  <c r="M111" i="19" l="1"/>
  <c r="P111" i="19"/>
  <c r="Q112" i="19"/>
  <c r="N112" i="19"/>
  <c r="O112" i="19"/>
  <c r="M112" i="19" l="1"/>
  <c r="P112" i="19"/>
  <c r="O113" i="19"/>
  <c r="N113" i="19"/>
  <c r="Q113" i="19"/>
  <c r="M113" i="19" l="1"/>
  <c r="P113" i="19"/>
  <c r="Q114" i="19"/>
  <c r="O114" i="19"/>
  <c r="N114" i="19"/>
  <c r="M114" i="19" l="1"/>
  <c r="P114" i="19"/>
  <c r="N115" i="19"/>
  <c r="Q115" i="19"/>
  <c r="O115" i="19"/>
  <c r="M115" i="19" l="1"/>
  <c r="P115" i="19"/>
  <c r="N116" i="19"/>
  <c r="O116" i="19"/>
  <c r="Q116" i="19"/>
  <c r="M116" i="19" l="1"/>
  <c r="P116" i="19"/>
  <c r="N117" i="19"/>
  <c r="Q117" i="19"/>
  <c r="O117" i="19"/>
  <c r="M117" i="19" l="1"/>
  <c r="P117" i="19"/>
  <c r="O118" i="19"/>
  <c r="Q118" i="19"/>
  <c r="N118" i="19"/>
  <c r="M118" i="19" l="1"/>
  <c r="P118" i="19"/>
  <c r="O119" i="19"/>
  <c r="N119" i="19"/>
  <c r="Q119" i="19"/>
  <c r="O120" i="19" l="1"/>
  <c r="N120" i="19"/>
  <c r="Q120" i="19"/>
  <c r="M119" i="19"/>
  <c r="P119" i="19"/>
  <c r="M120" i="19" l="1"/>
  <c r="P120" i="19"/>
  <c r="Q121" i="19"/>
  <c r="N121" i="19"/>
  <c r="N128" i="19" s="1"/>
  <c r="N129" i="19" s="1"/>
  <c r="O121" i="19"/>
  <c r="M121" i="19" l="1"/>
  <c r="P121" i="19"/>
  <c r="L128" i="19" l="1"/>
  <c r="L129" i="19" s="1"/>
  <c r="Q128" i="19"/>
  <c r="Q129" i="19" s="1"/>
  <c r="O128" i="19"/>
  <c r="O129" i="19" s="1"/>
  <c r="O130" i="19" l="1"/>
  <c r="O8" i="19" s="1"/>
  <c r="Q130" i="19"/>
  <c r="L130" i="19"/>
  <c r="L8" i="19" s="1"/>
  <c r="AC25" i="19"/>
  <c r="AD25" i="19"/>
  <c r="N130" i="19"/>
  <c r="N8" i="19" s="1"/>
  <c r="M128" i="19"/>
  <c r="M129" i="19" s="1"/>
  <c r="M130" i="19" s="1"/>
  <c r="M8" i="19" s="1"/>
  <c r="P128" i="19"/>
  <c r="P129" i="19" s="1"/>
  <c r="P130" i="19" s="1"/>
  <c r="Q8" i="19" l="1"/>
  <c r="H12" i="18" s="1"/>
  <c r="P131" i="19"/>
  <c r="P8" i="19"/>
  <c r="H20" i="18" s="1"/>
  <c r="F24" i="18" s="1"/>
  <c r="R6" i="19" s="1"/>
  <c r="R6" i="20" l="1"/>
  <c r="P7" i="19"/>
  <c r="P9" i="19"/>
  <c r="S54" i="19" l="1"/>
  <c r="U68" i="19" l="1"/>
  <c r="S58" i="19"/>
  <c r="W52" i="19"/>
  <c r="R101" i="19"/>
  <c r="V52" i="19"/>
  <c r="V63" i="19"/>
  <c r="S80" i="19"/>
  <c r="R59" i="19"/>
  <c r="V59" i="19"/>
  <c r="T63" i="19"/>
  <c r="W74" i="19"/>
  <c r="V70" i="19"/>
  <c r="W69" i="19"/>
  <c r="W70" i="19"/>
  <c r="T54" i="19"/>
  <c r="S56" i="19"/>
  <c r="S75" i="19"/>
  <c r="T69" i="19"/>
  <c r="T90" i="19"/>
  <c r="T71" i="19"/>
  <c r="T92" i="19"/>
  <c r="R89" i="19"/>
  <c r="S79" i="19"/>
  <c r="V104" i="19"/>
  <c r="S60" i="19"/>
  <c r="U67" i="19"/>
  <c r="W97" i="19"/>
  <c r="W65" i="19"/>
  <c r="T75" i="19"/>
  <c r="W78" i="19"/>
  <c r="U39" i="19"/>
  <c r="T64" i="19"/>
  <c r="V57" i="19"/>
  <c r="T68" i="19"/>
  <c r="W58" i="19"/>
  <c r="U79" i="19"/>
  <c r="S64" i="19"/>
  <c r="T85" i="19"/>
  <c r="R84" i="19"/>
  <c r="T53" i="19"/>
  <c r="S55" i="19"/>
  <c r="R76" i="19"/>
  <c r="R97" i="19"/>
  <c r="V80" i="19"/>
  <c r="U71" i="19"/>
  <c r="T41" i="19"/>
  <c r="T70" i="19"/>
  <c r="R78" i="19"/>
  <c r="R102" i="19"/>
  <c r="S71" i="19"/>
  <c r="S85" i="19"/>
  <c r="S99" i="19"/>
  <c r="V78" i="19"/>
  <c r="V60" i="19"/>
  <c r="S91" i="19"/>
  <c r="T35" i="19"/>
  <c r="V86" i="19"/>
  <c r="T96" i="19"/>
  <c r="V62" i="19"/>
  <c r="T81" i="19"/>
  <c r="R103" i="19"/>
  <c r="S82" i="19"/>
  <c r="S81" i="19"/>
  <c r="U55" i="19"/>
  <c r="T59" i="19"/>
  <c r="R87" i="19"/>
  <c r="W55" i="19"/>
  <c r="T58" i="19"/>
  <c r="U52" i="19"/>
  <c r="V68" i="19"/>
  <c r="U69" i="19"/>
  <c r="R74" i="19"/>
  <c r="V64" i="19"/>
  <c r="W96" i="19"/>
  <c r="W64" i="19"/>
  <c r="S65" i="19"/>
  <c r="S87" i="19"/>
  <c r="R79" i="19"/>
  <c r="T102" i="19"/>
  <c r="W93" i="19"/>
  <c r="V61" i="19"/>
  <c r="R55" i="19"/>
  <c r="S92" i="19"/>
  <c r="W60" i="19"/>
  <c r="R64" i="19"/>
  <c r="V76" i="19"/>
  <c r="V90" i="19"/>
  <c r="W102" i="19"/>
  <c r="R73" i="19"/>
  <c r="R71" i="19"/>
  <c r="R91" i="19"/>
  <c r="U63" i="19"/>
  <c r="U100" i="19"/>
  <c r="W89" i="19"/>
  <c r="U91" i="19"/>
  <c r="T16" i="19"/>
  <c r="W62" i="19"/>
  <c r="T52" i="19"/>
  <c r="U54" i="19"/>
  <c r="T55" i="19"/>
  <c r="T66" i="19"/>
  <c r="T56" i="19"/>
  <c r="V53" i="19"/>
  <c r="W66" i="19"/>
  <c r="T76" i="19"/>
  <c r="U64" i="19"/>
  <c r="W61" i="19"/>
  <c r="S72" i="19"/>
  <c r="V82" i="19"/>
  <c r="S59" i="19"/>
  <c r="R80" i="19"/>
  <c r="S93" i="19"/>
  <c r="S104" i="19"/>
  <c r="T61" i="19"/>
  <c r="U53" i="19"/>
  <c r="W63" i="19"/>
  <c r="T73" i="19"/>
  <c r="V84" i="19"/>
  <c r="T95" i="19"/>
  <c r="S73" i="19"/>
  <c r="V75" i="19"/>
  <c r="S96" i="19"/>
  <c r="R85" i="19"/>
  <c r="U88" i="19"/>
  <c r="V99" i="19"/>
  <c r="R32" i="19"/>
  <c r="T65" i="19"/>
  <c r="U65" i="19"/>
  <c r="R72" i="19"/>
  <c r="T89" i="19"/>
  <c r="W100" i="19"/>
  <c r="S57" i="19"/>
  <c r="W68" i="19"/>
  <c r="R61" i="19"/>
  <c r="W80" i="19"/>
  <c r="U101" i="19"/>
  <c r="V88" i="19"/>
  <c r="T80" i="19"/>
  <c r="S34" i="19"/>
  <c r="W94" i="19"/>
  <c r="U59" i="19"/>
  <c r="R82" i="19"/>
  <c r="W103" i="19"/>
  <c r="V85" i="19"/>
  <c r="R62" i="19"/>
  <c r="U74" i="19"/>
  <c r="W73" i="19"/>
  <c r="V102" i="19"/>
  <c r="T93" i="19"/>
  <c r="U83" i="19"/>
  <c r="V97" i="19"/>
  <c r="S98" i="19"/>
  <c r="U70" i="19"/>
  <c r="U90" i="19"/>
  <c r="R75" i="19"/>
  <c r="U89" i="19"/>
  <c r="W56" i="19"/>
  <c r="V67" i="19"/>
  <c r="W57" i="19"/>
  <c r="U60" i="19"/>
  <c r="T60" i="19"/>
  <c r="V71" i="19"/>
  <c r="S62" i="19"/>
  <c r="R60" i="19"/>
  <c r="W71" i="19"/>
  <c r="T82" i="19"/>
  <c r="S52" i="19"/>
  <c r="S66" i="19"/>
  <c r="T77" i="19"/>
  <c r="V58" i="19"/>
  <c r="R70" i="19"/>
  <c r="S88" i="19"/>
  <c r="W98" i="19"/>
  <c r="U56" i="19"/>
  <c r="R67" i="19"/>
  <c r="R57" i="19"/>
  <c r="R68" i="19"/>
  <c r="T79" i="19"/>
  <c r="S89" i="19"/>
  <c r="S100" i="19"/>
  <c r="W84" i="19"/>
  <c r="W86" i="19"/>
  <c r="V74" i="19"/>
  <c r="W77" i="19"/>
  <c r="R98" i="19"/>
  <c r="R12" i="19"/>
  <c r="U72" i="19"/>
  <c r="W76" i="19"/>
  <c r="T62" i="19"/>
  <c r="R83" i="19"/>
  <c r="R94" i="19"/>
  <c r="R52" i="19"/>
  <c r="R63" i="19"/>
  <c r="S53" i="19"/>
  <c r="S69" i="19"/>
  <c r="T91" i="19"/>
  <c r="T87" i="19"/>
  <c r="U77" i="19"/>
  <c r="W101" i="19"/>
  <c r="V92" i="19"/>
  <c r="S68" i="19"/>
  <c r="S61" i="19"/>
  <c r="U103" i="19"/>
  <c r="U62" i="19"/>
  <c r="W91" i="19"/>
  <c r="U75" i="19"/>
  <c r="V79" i="19"/>
  <c r="T97" i="19"/>
  <c r="V89" i="19"/>
  <c r="V47" i="19"/>
  <c r="V23" i="19"/>
  <c r="V43" i="19"/>
  <c r="V72" i="19"/>
  <c r="T83" i="19"/>
  <c r="U93" i="19"/>
  <c r="T104" i="19"/>
  <c r="T72" i="19"/>
  <c r="T94" i="19"/>
  <c r="U82" i="19"/>
  <c r="U85" i="19"/>
  <c r="U94" i="19"/>
  <c r="V66" i="19"/>
  <c r="R56" i="19"/>
  <c r="W99" i="19"/>
  <c r="R95" i="19"/>
  <c r="R65" i="19"/>
  <c r="R66" i="19"/>
  <c r="U87" i="19"/>
  <c r="U80" i="19"/>
  <c r="U61" i="19"/>
  <c r="W54" i="19"/>
  <c r="U95" i="19"/>
  <c r="T57" i="19"/>
  <c r="U58" i="19"/>
  <c r="W59" i="19"/>
  <c r="T100" i="19"/>
  <c r="T103" i="19"/>
  <c r="U76" i="19"/>
  <c r="V39" i="19"/>
  <c r="S102" i="19"/>
  <c r="U32" i="19"/>
  <c r="T17" i="19"/>
  <c r="W32" i="19"/>
  <c r="U16" i="19"/>
  <c r="U17" i="19"/>
  <c r="V56" i="19"/>
  <c r="T67" i="19"/>
  <c r="R77" i="19"/>
  <c r="T88" i="19"/>
  <c r="T99" i="19"/>
  <c r="W81" i="19"/>
  <c r="S83" i="19"/>
  <c r="R104" i="19"/>
  <c r="T74" i="19"/>
  <c r="U96" i="19"/>
  <c r="V46" i="19"/>
  <c r="V87" i="19"/>
  <c r="W88" i="19"/>
  <c r="U84" i="19"/>
  <c r="W53" i="19"/>
  <c r="V55" i="19"/>
  <c r="V77" i="19"/>
  <c r="V98" i="19"/>
  <c r="R86" i="19"/>
  <c r="U104" i="19"/>
  <c r="S74" i="19"/>
  <c r="S76" i="19"/>
  <c r="R54" i="19"/>
  <c r="W72" i="19"/>
  <c r="V65" i="19"/>
  <c r="V81" i="19"/>
  <c r="W82" i="19"/>
  <c r="S84" i="19"/>
  <c r="R88" i="19"/>
  <c r="U73" i="19"/>
  <c r="W26" i="19"/>
  <c r="V36" i="19"/>
  <c r="R96" i="19"/>
  <c r="U66" i="19"/>
  <c r="U57" i="19"/>
  <c r="R58" i="19"/>
  <c r="W79" i="19"/>
  <c r="T101" i="19"/>
  <c r="W87" i="19"/>
  <c r="W67" i="19"/>
  <c r="W51" i="19"/>
  <c r="S70" i="19"/>
  <c r="R53" i="19"/>
  <c r="U78" i="19"/>
  <c r="U102" i="19"/>
  <c r="T78" i="19"/>
  <c r="S77" i="19"/>
  <c r="U81" i="19"/>
  <c r="W95" i="19"/>
  <c r="S86" i="19"/>
  <c r="U97" i="19"/>
  <c r="S26" i="19"/>
  <c r="T86" i="19"/>
  <c r="T25" i="19"/>
  <c r="R92" i="19"/>
  <c r="R31" i="19"/>
  <c r="V31" i="19"/>
  <c r="S51" i="19"/>
  <c r="U26" i="19"/>
  <c r="S21" i="19"/>
  <c r="W30" i="19"/>
  <c r="R22" i="19"/>
  <c r="S24" i="19"/>
  <c r="V50" i="19"/>
  <c r="S37" i="19"/>
  <c r="T33" i="19"/>
  <c r="S103" i="19"/>
  <c r="S11" i="19"/>
  <c r="R40" i="19"/>
  <c r="V54" i="19"/>
  <c r="U98" i="19"/>
  <c r="S67" i="19"/>
  <c r="V69" i="19"/>
  <c r="R90" i="19"/>
  <c r="W85" i="19"/>
  <c r="S63" i="19"/>
  <c r="R69" i="19"/>
  <c r="V73" i="19"/>
  <c r="S94" i="19"/>
  <c r="U86" i="19"/>
  <c r="U99" i="19"/>
  <c r="W90" i="19"/>
  <c r="R81" i="19"/>
  <c r="U92" i="19"/>
  <c r="V83" i="19"/>
  <c r="W83" i="19"/>
  <c r="W75" i="19"/>
  <c r="R41" i="19"/>
  <c r="T45" i="19"/>
  <c r="R100" i="19"/>
  <c r="T84" i="19"/>
  <c r="U13" i="19"/>
  <c r="R27" i="19"/>
  <c r="V94" i="19"/>
  <c r="S43" i="19"/>
  <c r="T27" i="19"/>
  <c r="S31" i="19"/>
  <c r="W40" i="19"/>
  <c r="U12" i="19"/>
  <c r="R39" i="19"/>
  <c r="S16" i="19"/>
  <c r="S13" i="19"/>
  <c r="T48" i="19"/>
  <c r="T31" i="19"/>
  <c r="U28" i="19"/>
  <c r="T47" i="19"/>
  <c r="T14" i="19"/>
  <c r="V18" i="19"/>
  <c r="T98" i="19"/>
  <c r="S101" i="19"/>
  <c r="R16" i="19"/>
  <c r="U30" i="19"/>
  <c r="S42" i="19"/>
  <c r="W34" i="19"/>
  <c r="V45" i="19"/>
  <c r="V44" i="19"/>
  <c r="R23" i="19"/>
  <c r="T19" i="19"/>
  <c r="T18" i="19"/>
  <c r="W29" i="19"/>
  <c r="U21" i="19"/>
  <c r="T50" i="19"/>
  <c r="U15" i="19"/>
  <c r="U107" i="19"/>
  <c r="T34" i="19"/>
  <c r="V110" i="19"/>
  <c r="R45" i="19"/>
  <c r="U14" i="19"/>
  <c r="R10" i="19"/>
  <c r="S14" i="19"/>
  <c r="U44" i="19"/>
  <c r="R99" i="19"/>
  <c r="S15" i="19"/>
  <c r="V105" i="19"/>
  <c r="S97" i="19"/>
  <c r="T21" i="19"/>
  <c r="T30" i="19"/>
  <c r="R13" i="19"/>
  <c r="S36" i="19"/>
  <c r="V91" i="19"/>
  <c r="R17" i="19"/>
  <c r="T28" i="19"/>
  <c r="R38" i="19"/>
  <c r="S29" i="19"/>
  <c r="W10" i="19"/>
  <c r="U42" i="19"/>
  <c r="U38" i="19"/>
  <c r="U49" i="19"/>
  <c r="S17" i="19"/>
  <c r="W46" i="19"/>
  <c r="R15" i="19"/>
  <c r="R20" i="19"/>
  <c r="V48" i="19"/>
  <c r="S38" i="19"/>
  <c r="U43" i="19"/>
  <c r="W44" i="19"/>
  <c r="S47" i="19"/>
  <c r="R42" i="19"/>
  <c r="S45" i="19"/>
  <c r="W35" i="19"/>
  <c r="T11" i="19"/>
  <c r="S44" i="19"/>
  <c r="T39" i="19"/>
  <c r="R24" i="19"/>
  <c r="T106" i="19"/>
  <c r="W92" i="19"/>
  <c r="V13" i="19"/>
  <c r="W39" i="19"/>
  <c r="V40" i="19"/>
  <c r="U106" i="19"/>
  <c r="S23" i="19"/>
  <c r="S10" i="19"/>
  <c r="U51" i="19"/>
  <c r="S33" i="19"/>
  <c r="T109" i="19"/>
  <c r="U46" i="19"/>
  <c r="T36" i="19"/>
  <c r="V41" i="19"/>
  <c r="S78" i="19"/>
  <c r="W49" i="19"/>
  <c r="W41" i="19"/>
  <c r="V100" i="19"/>
  <c r="R19" i="19"/>
  <c r="T51" i="19"/>
  <c r="W43" i="19"/>
  <c r="W36" i="19"/>
  <c r="V93" i="19"/>
  <c r="V35" i="19"/>
  <c r="W47" i="19"/>
  <c r="S46" i="19"/>
  <c r="V95" i="19"/>
  <c r="S32" i="19"/>
  <c r="W28" i="19"/>
  <c r="W33" i="19"/>
  <c r="U20" i="19"/>
  <c r="W18" i="19"/>
  <c r="R26" i="19"/>
  <c r="R30" i="19"/>
  <c r="R44" i="19"/>
  <c r="V101" i="19"/>
  <c r="U34" i="19"/>
  <c r="U35" i="19"/>
  <c r="S25" i="19"/>
  <c r="U18" i="19"/>
  <c r="V33" i="19"/>
  <c r="V109" i="19"/>
  <c r="R51" i="19"/>
  <c r="U10" i="19"/>
  <c r="U29" i="19"/>
  <c r="S27" i="19"/>
  <c r="T42" i="19"/>
  <c r="W24" i="19"/>
  <c r="V42" i="19"/>
  <c r="T24" i="19"/>
  <c r="S106" i="19"/>
  <c r="W104" i="19"/>
  <c r="V32" i="19"/>
  <c r="T116" i="19"/>
  <c r="U33" i="19"/>
  <c r="S90" i="19"/>
  <c r="V24" i="19"/>
  <c r="W23" i="19"/>
  <c r="V16" i="19"/>
  <c r="W20" i="19"/>
  <c r="S19" i="19"/>
  <c r="U105" i="19"/>
  <c r="T108" i="19"/>
  <c r="S12" i="19"/>
  <c r="T23" i="19"/>
  <c r="R49" i="19"/>
  <c r="S35" i="19"/>
  <c r="R14" i="19"/>
  <c r="S39" i="19"/>
  <c r="V21" i="19"/>
  <c r="S22" i="19"/>
  <c r="W105" i="19"/>
  <c r="T13" i="19"/>
  <c r="U41" i="19"/>
  <c r="W15" i="19"/>
  <c r="V11" i="19"/>
  <c r="U48" i="19"/>
  <c r="U37" i="19"/>
  <c r="V15" i="19"/>
  <c r="W50" i="19"/>
  <c r="R93" i="19"/>
  <c r="R37" i="19"/>
  <c r="W108" i="19"/>
  <c r="S109" i="19"/>
  <c r="W38" i="19"/>
  <c r="T40" i="19"/>
  <c r="R48" i="19"/>
  <c r="V26" i="19"/>
  <c r="R111" i="19"/>
  <c r="T112" i="19"/>
  <c r="W11" i="19"/>
  <c r="V34" i="19"/>
  <c r="W19" i="19"/>
  <c r="S28" i="19"/>
  <c r="R25" i="19"/>
  <c r="T107" i="19"/>
  <c r="R109" i="19"/>
  <c r="T43" i="19"/>
  <c r="V28" i="19"/>
  <c r="T10" i="19"/>
  <c r="T44" i="19"/>
  <c r="U47" i="19"/>
  <c r="U27" i="19"/>
  <c r="R34" i="19"/>
  <c r="W25" i="19"/>
  <c r="V108" i="19"/>
  <c r="R33" i="19"/>
  <c r="V27" i="19"/>
  <c r="W13" i="19"/>
  <c r="V22" i="19"/>
  <c r="T20" i="19"/>
  <c r="W37" i="19"/>
  <c r="W22" i="19"/>
  <c r="S20" i="19"/>
  <c r="W42" i="19"/>
  <c r="U25" i="19"/>
  <c r="W113" i="19"/>
  <c r="S119" i="19"/>
  <c r="T115" i="19"/>
  <c r="V112" i="19"/>
  <c r="V10" i="19"/>
  <c r="W117" i="19"/>
  <c r="U31" i="19"/>
  <c r="U109" i="19"/>
  <c r="U112" i="19"/>
  <c r="W115" i="19"/>
  <c r="W120" i="19"/>
  <c r="V111" i="19"/>
  <c r="U116" i="19"/>
  <c r="V106" i="19"/>
  <c r="R114" i="19"/>
  <c r="U118" i="19"/>
  <c r="S117" i="19"/>
  <c r="W106" i="19"/>
  <c r="R113" i="19"/>
  <c r="V119" i="19"/>
  <c r="T111" i="19"/>
  <c r="V115" i="19"/>
  <c r="V120" i="19"/>
  <c r="W116" i="19"/>
  <c r="U113" i="19"/>
  <c r="R108" i="19"/>
  <c r="R119" i="19"/>
  <c r="V114" i="19"/>
  <c r="W118" i="19"/>
  <c r="W121" i="19"/>
  <c r="R18" i="19"/>
  <c r="S48" i="19"/>
  <c r="T15" i="19"/>
  <c r="U19" i="19"/>
  <c r="V29" i="19"/>
  <c r="R46" i="19"/>
  <c r="R35" i="19"/>
  <c r="W21" i="19"/>
  <c r="S18" i="19"/>
  <c r="S30" i="19"/>
  <c r="W31" i="19"/>
  <c r="U36" i="19"/>
  <c r="S40" i="19"/>
  <c r="V107" i="19"/>
  <c r="R110" i="19"/>
  <c r="R47" i="19"/>
  <c r="T26" i="19"/>
  <c r="T32" i="19"/>
  <c r="S49" i="19"/>
  <c r="W16" i="19"/>
  <c r="V17" i="19"/>
  <c r="T37" i="19"/>
  <c r="W45" i="19"/>
  <c r="W12" i="19"/>
  <c r="T46" i="19"/>
  <c r="W48" i="19"/>
  <c r="T22" i="19"/>
  <c r="T49" i="19"/>
  <c r="V19" i="19"/>
  <c r="W27" i="19"/>
  <c r="T38" i="19"/>
  <c r="V30" i="19"/>
  <c r="S50" i="19"/>
  <c r="V49" i="19"/>
  <c r="S107" i="19"/>
  <c r="U111" i="19"/>
  <c r="W114" i="19"/>
  <c r="R117" i="19"/>
  <c r="W119" i="19"/>
  <c r="R105" i="19"/>
  <c r="T110" i="19"/>
  <c r="V113" i="19"/>
  <c r="U115" i="19"/>
  <c r="R118" i="19"/>
  <c r="S105" i="19"/>
  <c r="U110" i="19"/>
  <c r="T113" i="19"/>
  <c r="V116" i="19"/>
  <c r="S118" i="19"/>
  <c r="T121" i="19"/>
  <c r="R116" i="19"/>
  <c r="R50" i="19"/>
  <c r="T114" i="19"/>
  <c r="S120" i="19"/>
  <c r="W112" i="19"/>
  <c r="T105" i="19"/>
  <c r="W107" i="19"/>
  <c r="S112" i="19"/>
  <c r="V118" i="19"/>
  <c r="R121" i="19"/>
  <c r="T119" i="19"/>
  <c r="V37" i="19"/>
  <c r="T29" i="19"/>
  <c r="V96" i="19"/>
  <c r="V20" i="19"/>
  <c r="W17" i="19"/>
  <c r="V38" i="19"/>
  <c r="U50" i="19"/>
  <c r="U23" i="19"/>
  <c r="R106" i="19"/>
  <c r="S108" i="19"/>
  <c r="R28" i="19"/>
  <c r="V103" i="19"/>
  <c r="R11" i="19"/>
  <c r="U45" i="19"/>
  <c r="U40" i="19"/>
  <c r="R43" i="19"/>
  <c r="T12" i="19"/>
  <c r="S95" i="19"/>
  <c r="R29" i="19"/>
  <c r="V25" i="19"/>
  <c r="R21" i="19"/>
  <c r="U11" i="19"/>
  <c r="V14" i="19"/>
  <c r="V12" i="19"/>
  <c r="R36" i="19"/>
  <c r="W14" i="19"/>
  <c r="V51" i="19"/>
  <c r="S41" i="19"/>
  <c r="U24" i="19"/>
  <c r="U22" i="19"/>
  <c r="W110" i="19"/>
  <c r="S113" i="19"/>
  <c r="R115" i="19"/>
  <c r="T118" i="19"/>
  <c r="S121" i="19"/>
  <c r="R107" i="19"/>
  <c r="S111" i="19"/>
  <c r="U114" i="19"/>
  <c r="U117" i="19"/>
  <c r="U119" i="19"/>
  <c r="U108" i="19"/>
  <c r="R112" i="19"/>
  <c r="S114" i="19"/>
  <c r="T117" i="19"/>
  <c r="U120" i="19"/>
  <c r="S110" i="19"/>
  <c r="W111" i="19"/>
  <c r="V117" i="19"/>
  <c r="W109" i="19"/>
  <c r="T120" i="19"/>
  <c r="S116" i="19"/>
  <c r="S115" i="19"/>
  <c r="R120" i="19"/>
  <c r="V121" i="19"/>
  <c r="U121" i="19"/>
  <c r="W110" i="20"/>
  <c r="W121" i="20"/>
  <c r="W107" i="20"/>
  <c r="W135" i="20"/>
  <c r="T66" i="20"/>
  <c r="T89" i="20"/>
  <c r="T115" i="20"/>
  <c r="W71" i="20"/>
  <c r="W137" i="20"/>
  <c r="W134" i="20"/>
  <c r="W124" i="20"/>
  <c r="W120" i="20"/>
  <c r="T98" i="20"/>
  <c r="T116" i="20"/>
  <c r="W123" i="20"/>
  <c r="W148" i="20"/>
  <c r="W100" i="20"/>
  <c r="W65" i="20"/>
  <c r="W106" i="20"/>
  <c r="T74" i="20"/>
  <c r="T79" i="20"/>
  <c r="T94" i="20"/>
  <c r="W70" i="20"/>
  <c r="W103" i="20"/>
  <c r="W86" i="20"/>
  <c r="W119" i="20"/>
  <c r="T140" i="20"/>
  <c r="T126" i="20"/>
  <c r="W129" i="20"/>
  <c r="T101" i="20"/>
  <c r="W108" i="20"/>
  <c r="W88" i="20"/>
  <c r="T105" i="20"/>
  <c r="W92" i="20"/>
  <c r="T91" i="20"/>
  <c r="W75" i="20"/>
  <c r="W151" i="20"/>
  <c r="W131" i="20"/>
  <c r="W152" i="20"/>
  <c r="T60" i="20"/>
  <c r="W73" i="20"/>
  <c r="W63" i="20"/>
  <c r="T96" i="20"/>
  <c r="W67" i="20"/>
  <c r="W109" i="20"/>
  <c r="W113" i="20"/>
  <c r="W147" i="20"/>
  <c r="W122" i="20"/>
  <c r="T136" i="20"/>
  <c r="T142" i="20"/>
  <c r="T110" i="20"/>
  <c r="T121" i="20"/>
  <c r="T107" i="20"/>
  <c r="T135" i="20"/>
  <c r="W87" i="20"/>
  <c r="W112" i="20"/>
  <c r="T99" i="20"/>
  <c r="T61" i="20"/>
  <c r="T80" i="20"/>
  <c r="W149" i="20"/>
  <c r="T133" i="20"/>
  <c r="W102" i="20"/>
  <c r="T85" i="20"/>
  <c r="W69" i="20"/>
  <c r="T139" i="20"/>
  <c r="T125" i="20"/>
  <c r="T132" i="20"/>
  <c r="W104" i="20"/>
  <c r="T83" i="20"/>
  <c r="W77" i="20"/>
  <c r="T143" i="20"/>
  <c r="W68" i="20"/>
  <c r="W59" i="20"/>
  <c r="W90" i="20"/>
  <c r="T56" i="20"/>
  <c r="T114" i="20"/>
  <c r="W153" i="20"/>
  <c r="W130" i="20"/>
  <c r="T144" i="20"/>
  <c r="W93" i="20"/>
  <c r="T84" i="20"/>
  <c r="W138" i="20"/>
  <c r="T97" i="20"/>
  <c r="W141" i="20"/>
  <c r="W72" i="20"/>
  <c r="T62" i="20"/>
  <c r="W82" i="20"/>
  <c r="T154" i="20"/>
  <c r="T127" i="20"/>
  <c r="W58" i="20"/>
  <c r="W117" i="20"/>
  <c r="W95" i="20"/>
  <c r="T76" i="20"/>
  <c r="W145" i="20"/>
  <c r="W81" i="20"/>
  <c r="T64" i="20"/>
  <c r="T78" i="20"/>
  <c r="W150" i="20"/>
  <c r="T146" i="20"/>
  <c r="T155" i="20"/>
  <c r="T128" i="20"/>
  <c r="T118" i="20"/>
  <c r="W57" i="20"/>
  <c r="T111" i="20"/>
  <c r="W156" i="20"/>
  <c r="T87" i="20"/>
  <c r="T112" i="20"/>
  <c r="W99" i="20"/>
  <c r="W61" i="20"/>
  <c r="W80" i="20"/>
  <c r="T149" i="20"/>
  <c r="W133" i="20"/>
  <c r="T102" i="20"/>
  <c r="W85" i="20"/>
  <c r="T69" i="20"/>
  <c r="W139" i="20"/>
  <c r="W125" i="20"/>
  <c r="W132" i="20"/>
  <c r="T104" i="20"/>
  <c r="W83" i="20"/>
  <c r="T77" i="20"/>
  <c r="W143" i="20"/>
  <c r="T68" i="20"/>
  <c r="T59" i="20"/>
  <c r="T90" i="20"/>
  <c r="W56" i="20"/>
  <c r="W114" i="20"/>
  <c r="T153" i="20"/>
  <c r="T130" i="20"/>
  <c r="W144" i="20"/>
  <c r="T93" i="20"/>
  <c r="W84" i="20"/>
  <c r="T138" i="20"/>
  <c r="W97" i="20"/>
  <c r="T141" i="20"/>
  <c r="T72" i="20"/>
  <c r="W62" i="20"/>
  <c r="T82" i="20"/>
  <c r="W154" i="20"/>
  <c r="W127" i="20"/>
  <c r="T58" i="20"/>
  <c r="T117" i="20"/>
  <c r="T95" i="20"/>
  <c r="W76" i="20"/>
  <c r="T145" i="20"/>
  <c r="T81" i="20"/>
  <c r="W64" i="20"/>
  <c r="W78" i="20"/>
  <c r="T150" i="20"/>
  <c r="W146" i="20"/>
  <c r="W155" i="20"/>
  <c r="W128" i="20"/>
  <c r="W118" i="20"/>
  <c r="T57" i="20"/>
  <c r="W111" i="20"/>
  <c r="T156" i="20"/>
  <c r="W66" i="20"/>
  <c r="W89" i="20"/>
  <c r="W115" i="20"/>
  <c r="T71" i="20"/>
  <c r="T137" i="20"/>
  <c r="T134" i="20"/>
  <c r="T124" i="20"/>
  <c r="T120" i="20"/>
  <c r="W98" i="20"/>
  <c r="W116" i="20"/>
  <c r="T123" i="20"/>
  <c r="T148" i="20"/>
  <c r="T100" i="20"/>
  <c r="T65" i="20"/>
  <c r="T106" i="20"/>
  <c r="W74" i="20"/>
  <c r="W79" i="20"/>
  <c r="W94" i="20"/>
  <c r="T70" i="20"/>
  <c r="T103" i="20"/>
  <c r="T86" i="20"/>
  <c r="T119" i="20"/>
  <c r="W140" i="20"/>
  <c r="W126" i="20"/>
  <c r="T129" i="20"/>
  <c r="W101" i="20"/>
  <c r="T108" i="20"/>
  <c r="T88" i="20"/>
  <c r="W105" i="20"/>
  <c r="T92" i="20"/>
  <c r="W91" i="20"/>
  <c r="T75" i="20"/>
  <c r="T151" i="20"/>
  <c r="T131" i="20"/>
  <c r="T152" i="20"/>
  <c r="W60" i="20"/>
  <c r="T73" i="20"/>
  <c r="T63" i="20"/>
  <c r="W96" i="20"/>
  <c r="T67" i="20"/>
  <c r="T109" i="20"/>
  <c r="T113" i="20"/>
  <c r="T147" i="20"/>
  <c r="T122" i="20"/>
  <c r="W136" i="20"/>
  <c r="W142" i="20"/>
  <c r="T46" i="20"/>
  <c r="T22" i="20"/>
  <c r="T25" i="20"/>
  <c r="T49" i="20"/>
  <c r="T32" i="20"/>
  <c r="T42" i="20"/>
  <c r="T41" i="20"/>
  <c r="W19" i="20"/>
  <c r="T50" i="20"/>
  <c r="W30" i="20"/>
  <c r="T23" i="20"/>
  <c r="W51" i="20"/>
  <c r="T55" i="20"/>
  <c r="T47" i="20"/>
  <c r="W43" i="20"/>
  <c r="T39" i="20"/>
  <c r="W35" i="20"/>
  <c r="W31" i="20"/>
  <c r="W28" i="20"/>
  <c r="W20" i="20"/>
  <c r="T17" i="20"/>
  <c r="T26" i="20"/>
  <c r="S51" i="20"/>
  <c r="R96" i="20"/>
  <c r="S108" i="20"/>
  <c r="R80" i="20"/>
  <c r="S28" i="20"/>
  <c r="R149" i="20"/>
  <c r="R34" i="20"/>
  <c r="S71" i="20"/>
  <c r="S90" i="20"/>
  <c r="S58" i="20"/>
  <c r="S87" i="20"/>
  <c r="R73" i="20"/>
  <c r="S60" i="20"/>
  <c r="S89" i="20"/>
  <c r="S22" i="20"/>
  <c r="S57" i="20"/>
  <c r="R156" i="20"/>
  <c r="S13" i="20"/>
  <c r="R79" i="20"/>
  <c r="S81" i="20"/>
  <c r="S122" i="20"/>
  <c r="R82" i="20"/>
  <c r="S121" i="20"/>
  <c r="S151" i="20"/>
  <c r="R126" i="20"/>
  <c r="R44" i="20"/>
  <c r="S50" i="20"/>
  <c r="R92" i="20"/>
  <c r="S69" i="20"/>
  <c r="R18" i="20"/>
  <c r="R100" i="20"/>
  <c r="S148" i="20"/>
  <c r="R152" i="20"/>
  <c r="R86" i="20"/>
  <c r="S39" i="20"/>
  <c r="S53" i="20"/>
  <c r="S103" i="20"/>
  <c r="R137" i="20"/>
  <c r="S29" i="20"/>
  <c r="S55" i="20"/>
  <c r="S68" i="20"/>
  <c r="S139" i="20"/>
  <c r="T31" i="20"/>
  <c r="T44" i="20"/>
  <c r="T53" i="20"/>
  <c r="W36" i="20"/>
  <c r="W38" i="20"/>
  <c r="T40" i="20"/>
  <c r="W54" i="20"/>
  <c r="W13" i="20"/>
  <c r="T28" i="20"/>
  <c r="W55" i="20"/>
  <c r="S143" i="20"/>
  <c r="T52" i="20"/>
  <c r="T54" i="20"/>
  <c r="W46" i="20"/>
  <c r="W42" i="20"/>
  <c r="T38" i="20"/>
  <c r="W34" i="20"/>
  <c r="T30" i="20"/>
  <c r="T19" i="20"/>
  <c r="W22" i="20"/>
  <c r="R22" i="20"/>
  <c r="T24" i="20"/>
  <c r="R85" i="20"/>
  <c r="S95" i="20"/>
  <c r="S96" i="20"/>
  <c r="S120" i="20"/>
  <c r="R52" i="20"/>
  <c r="R43" i="20"/>
  <c r="S62" i="20"/>
  <c r="R23" i="20"/>
  <c r="S154" i="20"/>
  <c r="R128" i="20"/>
  <c r="S146" i="20"/>
  <c r="S44" i="20"/>
  <c r="S115" i="20"/>
  <c r="S45" i="20"/>
  <c r="S80" i="20"/>
  <c r="R13" i="20"/>
  <c r="S37" i="20"/>
  <c r="S98" i="20"/>
  <c r="S70" i="20"/>
  <c r="R117" i="20"/>
  <c r="S116" i="20"/>
  <c r="R142" i="20"/>
  <c r="R124" i="20"/>
  <c r="S150" i="20"/>
  <c r="R134" i="20"/>
  <c r="R144" i="20"/>
  <c r="R26" i="20"/>
  <c r="S47" i="20"/>
  <c r="R19" i="20"/>
  <c r="S74" i="20"/>
  <c r="R81" i="20"/>
  <c r="S76" i="20"/>
  <c r="R143" i="20"/>
  <c r="R122" i="20"/>
  <c r="S82" i="20"/>
  <c r="S105" i="20"/>
  <c r="R97" i="20"/>
  <c r="S30" i="20"/>
  <c r="S109" i="20"/>
  <c r="R42" i="20"/>
  <c r="R75" i="20"/>
  <c r="S129" i="20"/>
  <c r="R151" i="20"/>
  <c r="R138" i="20"/>
  <c r="S126" i="20"/>
  <c r="S67" i="20"/>
  <c r="S92" i="20"/>
  <c r="R48" i="20"/>
  <c r="S38" i="20"/>
  <c r="S113" i="20"/>
  <c r="S152" i="20"/>
  <c r="R118" i="20"/>
  <c r="S86" i="20"/>
  <c r="S101" i="20"/>
  <c r="R39" i="20"/>
  <c r="R25" i="20"/>
  <c r="R103" i="20"/>
  <c r="S66" i="20"/>
  <c r="R29" i="20"/>
  <c r="S111" i="20"/>
  <c r="R68" i="20"/>
  <c r="R139" i="20"/>
  <c r="T48" i="20"/>
  <c r="T45" i="20"/>
  <c r="S97" i="20"/>
  <c r="T33" i="20"/>
  <c r="W52" i="20"/>
  <c r="T51" i="20"/>
  <c r="T14" i="20"/>
  <c r="T35" i="20"/>
  <c r="T34" i="20"/>
  <c r="W27" i="20"/>
  <c r="S123" i="20"/>
  <c r="W50" i="20"/>
  <c r="W49" i="20"/>
  <c r="W45" i="20"/>
  <c r="W41" i="20"/>
  <c r="T37" i="20"/>
  <c r="W33" i="20"/>
  <c r="W29" i="20"/>
  <c r="W21" i="20"/>
  <c r="W23" i="20"/>
  <c r="T13" i="20"/>
  <c r="T18" i="20"/>
  <c r="S85" i="20"/>
  <c r="R95" i="20"/>
  <c r="R51" i="20"/>
  <c r="R120" i="20"/>
  <c r="S17" i="20"/>
  <c r="S52" i="20"/>
  <c r="S43" i="20"/>
  <c r="R62" i="20"/>
  <c r="S23" i="20"/>
  <c r="R154" i="20"/>
  <c r="R108" i="20"/>
  <c r="S128" i="20"/>
  <c r="R146" i="20"/>
  <c r="R71" i="20"/>
  <c r="R90" i="20"/>
  <c r="R58" i="20"/>
  <c r="S20" i="20"/>
  <c r="R98" i="20"/>
  <c r="S33" i="20"/>
  <c r="S78" i="20"/>
  <c r="R70" i="20"/>
  <c r="R125" i="20"/>
  <c r="R127" i="20"/>
  <c r="S153" i="20"/>
  <c r="S142" i="20"/>
  <c r="S124" i="20"/>
  <c r="R150" i="20"/>
  <c r="S134" i="20"/>
  <c r="R17" i="20"/>
  <c r="R47" i="20"/>
  <c r="S19" i="20"/>
  <c r="S79" i="20"/>
  <c r="R74" i="20"/>
  <c r="R76" i="20"/>
  <c r="U82" i="20"/>
  <c r="S72" i="20"/>
  <c r="R105" i="20"/>
  <c r="S75" i="20"/>
  <c r="S138" i="20"/>
  <c r="R28" i="20"/>
  <c r="S93" i="20"/>
  <c r="R148" i="20"/>
  <c r="T20" i="20"/>
  <c r="W39" i="20"/>
  <c r="T21" i="20"/>
  <c r="W26" i="20"/>
  <c r="W18" i="20"/>
  <c r="W37" i="20"/>
  <c r="W17" i="20"/>
  <c r="W47" i="20"/>
  <c r="T29" i="20"/>
  <c r="T43" i="20"/>
  <c r="W24" i="20"/>
  <c r="W53" i="20"/>
  <c r="W48" i="20"/>
  <c r="W44" i="20"/>
  <c r="W40" i="20"/>
  <c r="T36" i="20"/>
  <c r="W32" i="20"/>
  <c r="T27" i="20"/>
  <c r="W25" i="20"/>
  <c r="W14" i="20"/>
  <c r="R20" i="20"/>
  <c r="V120" i="20"/>
  <c r="R115" i="20"/>
  <c r="R45" i="20"/>
  <c r="S149" i="20"/>
  <c r="S34" i="20"/>
  <c r="R87" i="20"/>
  <c r="R37" i="20"/>
  <c r="S73" i="20"/>
  <c r="R60" i="20"/>
  <c r="R89" i="20"/>
  <c r="R33" i="20"/>
  <c r="R57" i="20"/>
  <c r="R78" i="20"/>
  <c r="S26" i="20"/>
  <c r="S117" i="20"/>
  <c r="S156" i="20"/>
  <c r="S125" i="20"/>
  <c r="R116" i="20"/>
  <c r="S127" i="20"/>
  <c r="U134" i="20"/>
  <c r="S144" i="20"/>
  <c r="R72" i="20"/>
  <c r="R30" i="20"/>
  <c r="R121" i="20"/>
  <c r="R109" i="20"/>
  <c r="S42" i="20"/>
  <c r="R129" i="20"/>
  <c r="R153" i="20"/>
  <c r="R67" i="20"/>
  <c r="R50" i="20"/>
  <c r="R69" i="20"/>
  <c r="S48" i="20"/>
  <c r="R38" i="20"/>
  <c r="R113" i="20"/>
  <c r="S27" i="20"/>
  <c r="S100" i="20"/>
  <c r="R93" i="20"/>
  <c r="R53" i="20"/>
  <c r="R66" i="20"/>
  <c r="S137" i="20"/>
  <c r="R111" i="20"/>
  <c r="R65" i="20"/>
  <c r="R123" i="20"/>
  <c r="S91" i="20"/>
  <c r="R140" i="20"/>
  <c r="S136" i="20"/>
  <c r="S31" i="20"/>
  <c r="S77" i="20"/>
  <c r="R59" i="20"/>
  <c r="S106" i="20"/>
  <c r="S46" i="20"/>
  <c r="R61" i="20"/>
  <c r="R136" i="20"/>
  <c r="R64" i="20"/>
  <c r="S94" i="20"/>
  <c r="R135" i="20"/>
  <c r="S63" i="20"/>
  <c r="R112" i="20"/>
  <c r="S41" i="20"/>
  <c r="S83" i="20"/>
  <c r="R131" i="20"/>
  <c r="S24" i="20"/>
  <c r="S84" i="20"/>
  <c r="S40" i="20"/>
  <c r="R114" i="20"/>
  <c r="S141" i="20"/>
  <c r="S14" i="20"/>
  <c r="U32" i="20"/>
  <c r="S102" i="20"/>
  <c r="S110" i="20"/>
  <c r="S135" i="20"/>
  <c r="S21" i="20"/>
  <c r="R63" i="20"/>
  <c r="S36" i="20"/>
  <c r="S107" i="20"/>
  <c r="S112" i="20"/>
  <c r="S133" i="20"/>
  <c r="R35" i="20"/>
  <c r="S119" i="20"/>
  <c r="S54" i="20"/>
  <c r="R83" i="20"/>
  <c r="S145" i="20"/>
  <c r="S147" i="20"/>
  <c r="S131" i="20"/>
  <c r="S99" i="20"/>
  <c r="R24" i="20"/>
  <c r="S155" i="20"/>
  <c r="R132" i="20"/>
  <c r="R130" i="20"/>
  <c r="S18" i="20"/>
  <c r="R91" i="20"/>
  <c r="S140" i="20"/>
  <c r="R31" i="20"/>
  <c r="R56" i="20"/>
  <c r="R106" i="20"/>
  <c r="R94" i="20"/>
  <c r="R107" i="20"/>
  <c r="U155" i="20"/>
  <c r="S130" i="20"/>
  <c r="R27" i="20"/>
  <c r="S59" i="20"/>
  <c r="S32" i="20"/>
  <c r="R41" i="20"/>
  <c r="R145" i="20"/>
  <c r="S132" i="20"/>
  <c r="R155" i="20"/>
  <c r="S118" i="20"/>
  <c r="R55" i="20"/>
  <c r="R84" i="20"/>
  <c r="R40" i="20"/>
  <c r="S114" i="20"/>
  <c r="R141" i="20"/>
  <c r="U14" i="20"/>
  <c r="R77" i="20"/>
  <c r="S64" i="20"/>
  <c r="R32" i="20"/>
  <c r="R102" i="20"/>
  <c r="S49" i="20"/>
  <c r="R104" i="20"/>
  <c r="R36" i="20"/>
  <c r="S35" i="20"/>
  <c r="R88" i="20"/>
  <c r="R119" i="20"/>
  <c r="R54" i="20"/>
  <c r="S25" i="20"/>
  <c r="R101" i="20"/>
  <c r="S65" i="20"/>
  <c r="R14" i="20"/>
  <c r="U31" i="20"/>
  <c r="S56" i="20"/>
  <c r="U77" i="20"/>
  <c r="R46" i="20"/>
  <c r="S61" i="20"/>
  <c r="R110" i="20"/>
  <c r="R21" i="20"/>
  <c r="R49" i="20"/>
  <c r="S104" i="20"/>
  <c r="R133" i="20"/>
  <c r="S88" i="20"/>
  <c r="R147" i="20"/>
  <c r="R99" i="20"/>
  <c r="U83" i="20"/>
  <c r="V41" i="20"/>
  <c r="U135" i="20"/>
  <c r="V40" i="20"/>
  <c r="V68" i="20"/>
  <c r="V115" i="20"/>
  <c r="U50" i="20"/>
  <c r="V55" i="20"/>
  <c r="U53" i="20"/>
  <c r="V110" i="20"/>
  <c r="U39" i="20"/>
  <c r="U133" i="20"/>
  <c r="V123" i="20"/>
  <c r="V104" i="20"/>
  <c r="U138" i="20"/>
  <c r="V117" i="20"/>
  <c r="U61" i="20"/>
  <c r="U156" i="20"/>
  <c r="V23" i="20"/>
  <c r="U65" i="20"/>
  <c r="V74" i="20"/>
  <c r="U45" i="20"/>
  <c r="V148" i="20"/>
  <c r="U143" i="20"/>
  <c r="U70" i="20"/>
  <c r="U119" i="20"/>
  <c r="V64" i="20"/>
  <c r="U55" i="20"/>
  <c r="U69" i="20"/>
  <c r="V57" i="20"/>
  <c r="V48" i="20"/>
  <c r="U102" i="20"/>
  <c r="V66" i="20"/>
  <c r="U42" i="20"/>
  <c r="V134" i="20"/>
  <c r="U89" i="20"/>
  <c r="V15" i="20"/>
  <c r="V102" i="20"/>
  <c r="U129" i="20"/>
  <c r="U28" i="20"/>
  <c r="U110" i="20"/>
  <c r="U103" i="20"/>
  <c r="U75" i="20"/>
  <c r="U57" i="20"/>
  <c r="V71" i="20"/>
  <c r="U145" i="20"/>
  <c r="W16" i="20"/>
  <c r="U34" i="20"/>
  <c r="U108" i="20"/>
  <c r="W10" i="20"/>
  <c r="U125" i="20"/>
  <c r="V56" i="20"/>
  <c r="U12" i="20"/>
  <c r="U114" i="20"/>
  <c r="U151" i="20"/>
  <c r="V76" i="20"/>
  <c r="V153" i="20"/>
  <c r="W11" i="20"/>
  <c r="V95" i="20"/>
  <c r="V116" i="20"/>
  <c r="U111" i="20"/>
  <c r="R15" i="20"/>
  <c r="U132" i="20"/>
  <c r="U116" i="20"/>
  <c r="U91" i="20"/>
  <c r="U17" i="20"/>
  <c r="U72" i="20"/>
  <c r="U150" i="20"/>
  <c r="V39" i="20"/>
  <c r="U136" i="20"/>
  <c r="V126" i="20"/>
  <c r="V155" i="20"/>
  <c r="U154" i="20"/>
  <c r="V63" i="20"/>
  <c r="U141" i="20"/>
  <c r="V78" i="20"/>
  <c r="V65" i="20"/>
  <c r="U117" i="20"/>
  <c r="V62" i="20"/>
  <c r="V139" i="20"/>
  <c r="U74" i="20"/>
  <c r="U131" i="20"/>
  <c r="V11" i="20"/>
  <c r="V81" i="20"/>
  <c r="V22" i="20"/>
  <c r="V49" i="20"/>
  <c r="V52" i="20"/>
  <c r="U148" i="20"/>
  <c r="V109" i="20"/>
  <c r="U22" i="20"/>
  <c r="U24" i="20"/>
  <c r="V61" i="20"/>
  <c r="U118" i="20"/>
  <c r="U109" i="20"/>
  <c r="V125" i="20"/>
  <c r="V89" i="20"/>
  <c r="V28" i="20"/>
  <c r="U66" i="20"/>
  <c r="V127" i="20"/>
  <c r="V99" i="20"/>
  <c r="U112" i="20"/>
  <c r="V101" i="20"/>
  <c r="V30" i="20"/>
  <c r="U33" i="20"/>
  <c r="U146" i="20"/>
  <c r="U43" i="20"/>
  <c r="V140" i="20"/>
  <c r="T10" i="20"/>
  <c r="V98" i="20"/>
  <c r="U41" i="20"/>
  <c r="V36" i="20"/>
  <c r="U49" i="20"/>
  <c r="V111" i="20"/>
  <c r="U18" i="20"/>
  <c r="V19" i="20"/>
  <c r="V60" i="20"/>
  <c r="U73" i="20"/>
  <c r="W15" i="20"/>
  <c r="V146" i="20"/>
  <c r="V108" i="20"/>
  <c r="U23" i="20"/>
  <c r="V83" i="20"/>
  <c r="V122" i="20"/>
  <c r="U58" i="20"/>
  <c r="V24" i="20"/>
  <c r="U54" i="20"/>
  <c r="U36" i="20"/>
  <c r="U21" i="20"/>
  <c r="W12" i="20"/>
  <c r="V16" i="20"/>
  <c r="V113" i="20"/>
  <c r="V69" i="20"/>
  <c r="V97" i="20"/>
  <c r="U144" i="20"/>
  <c r="V51" i="20"/>
  <c r="V86" i="20"/>
  <c r="T15" i="20"/>
  <c r="V58" i="20"/>
  <c r="U80" i="20"/>
  <c r="V43" i="20"/>
  <c r="V31" i="20"/>
  <c r="V130" i="20"/>
  <c r="V131" i="20"/>
  <c r="V119" i="20"/>
  <c r="U88" i="20"/>
  <c r="R16" i="20"/>
  <c r="R11" i="20"/>
  <c r="S10" i="20"/>
  <c r="S11" i="20"/>
  <c r="U81" i="20"/>
  <c r="V59" i="20"/>
  <c r="V25" i="20"/>
  <c r="V136" i="20"/>
  <c r="U59" i="20"/>
  <c r="V91" i="20"/>
  <c r="V149" i="20"/>
  <c r="V53" i="20"/>
  <c r="U105" i="20"/>
  <c r="V54" i="20"/>
  <c r="U107" i="20"/>
  <c r="U126" i="20"/>
  <c r="V105" i="20"/>
  <c r="S15" i="20"/>
  <c r="U121" i="20"/>
  <c r="V13" i="20"/>
  <c r="U85" i="20"/>
  <c r="V50" i="20"/>
  <c r="U13" i="20"/>
  <c r="S12" i="20"/>
  <c r="V93" i="20"/>
  <c r="U79" i="20"/>
  <c r="V80" i="20"/>
  <c r="V46" i="20"/>
  <c r="V147" i="20"/>
  <c r="U11" i="20"/>
  <c r="V121" i="20"/>
  <c r="U71" i="20"/>
  <c r="U63" i="20"/>
  <c r="U139" i="20"/>
  <c r="U113" i="20"/>
  <c r="U30" i="20"/>
  <c r="V70" i="20"/>
  <c r="U37" i="20"/>
  <c r="V128" i="20"/>
  <c r="V103" i="20"/>
  <c r="V37" i="20"/>
  <c r="V112" i="20"/>
  <c r="V32" i="20"/>
  <c r="U86" i="20"/>
  <c r="V142" i="20"/>
  <c r="U98" i="20"/>
  <c r="U52" i="20"/>
  <c r="V88" i="20"/>
  <c r="V107" i="20"/>
  <c r="U90" i="20"/>
  <c r="U147" i="20"/>
  <c r="U10" i="20"/>
  <c r="V90" i="20"/>
  <c r="U62" i="20"/>
  <c r="U19" i="20"/>
  <c r="V145" i="20"/>
  <c r="V141" i="20"/>
  <c r="U137" i="20"/>
  <c r="U27" i="20"/>
  <c r="R12" i="20"/>
  <c r="V47" i="20"/>
  <c r="U130" i="20"/>
  <c r="U15" i="20"/>
  <c r="U149" i="20"/>
  <c r="U123" i="20"/>
  <c r="U40" i="20"/>
  <c r="U16" i="20"/>
  <c r="U47" i="20"/>
  <c r="U25" i="20"/>
  <c r="U44" i="20"/>
  <c r="U104" i="20"/>
  <c r="V21" i="20"/>
  <c r="V138" i="20"/>
  <c r="V156" i="20"/>
  <c r="U96" i="20"/>
  <c r="U76" i="20"/>
  <c r="V154" i="20"/>
  <c r="V14" i="20"/>
  <c r="V151" i="20"/>
  <c r="V79" i="20"/>
  <c r="U68" i="20"/>
  <c r="U100" i="20"/>
  <c r="V150" i="20"/>
  <c r="V132" i="20"/>
  <c r="U46" i="20"/>
  <c r="U94" i="20"/>
  <c r="V27" i="20"/>
  <c r="U127" i="20"/>
  <c r="V45" i="20"/>
  <c r="V135" i="20"/>
  <c r="V29" i="20"/>
  <c r="V129" i="20"/>
  <c r="V82" i="20"/>
  <c r="V26" i="20"/>
  <c r="U20" i="20"/>
  <c r="V85" i="20"/>
  <c r="V152" i="20"/>
  <c r="V20" i="20"/>
  <c r="U99" i="20"/>
  <c r="V12" i="20"/>
  <c r="U152" i="20"/>
  <c r="U26" i="20"/>
  <c r="V73" i="20"/>
  <c r="U120" i="20"/>
  <c r="T16" i="20"/>
  <c r="V18" i="20"/>
  <c r="U124" i="20"/>
  <c r="U87" i="20"/>
  <c r="U128" i="20"/>
  <c r="U95" i="20"/>
  <c r="V94" i="20"/>
  <c r="V77" i="20"/>
  <c r="V35" i="20"/>
  <c r="U29" i="20"/>
  <c r="U93" i="20"/>
  <c r="U115" i="20"/>
  <c r="V17" i="20"/>
  <c r="U51" i="20"/>
  <c r="T11" i="20"/>
  <c r="V124" i="20"/>
  <c r="V92" i="20"/>
  <c r="V67" i="20"/>
  <c r="R10" i="20"/>
  <c r="U35" i="20"/>
  <c r="V114" i="20"/>
  <c r="V137" i="20"/>
  <c r="U101" i="20"/>
  <c r="V118" i="20"/>
  <c r="V38" i="20"/>
  <c r="U67" i="20"/>
  <c r="V75" i="20"/>
  <c r="V143" i="20"/>
  <c r="U78" i="20"/>
  <c r="V33" i="20"/>
  <c r="U60" i="20"/>
  <c r="V133" i="20"/>
  <c r="U106" i="20"/>
  <c r="U140" i="20"/>
  <c r="S16" i="20"/>
  <c r="V100" i="20"/>
  <c r="U97" i="20"/>
  <c r="U142" i="20"/>
  <c r="V44" i="20"/>
  <c r="U84" i="20"/>
  <c r="U48" i="20"/>
  <c r="V144" i="20"/>
  <c r="U153" i="20"/>
  <c r="V106" i="20"/>
  <c r="U64" i="20"/>
  <c r="U56" i="20"/>
  <c r="T12" i="20"/>
  <c r="U92" i="20"/>
  <c r="V84" i="20"/>
  <c r="V72" i="20"/>
  <c r="U122" i="20"/>
  <c r="V10" i="20"/>
  <c r="U38" i="20"/>
  <c r="V87" i="20"/>
  <c r="V34" i="20"/>
  <c r="V96" i="20"/>
  <c r="V42" i="20"/>
  <c r="S128" i="19" l="1"/>
  <c r="S129" i="19" s="1"/>
  <c r="S130" i="19" s="1"/>
  <c r="V128" i="19"/>
  <c r="V129" i="19" s="1"/>
  <c r="V130" i="19" s="1"/>
  <c r="U128" i="19"/>
  <c r="U129" i="19" s="1"/>
  <c r="U130" i="19" s="1"/>
  <c r="W128" i="19"/>
  <c r="W129" i="19" s="1"/>
  <c r="W130" i="19" s="1"/>
  <c r="R128" i="19"/>
  <c r="R129" i="19" s="1"/>
  <c r="R130" i="19" s="1"/>
  <c r="R8" i="19" s="1"/>
  <c r="T128" i="19"/>
  <c r="T129" i="19" s="1"/>
  <c r="T130" i="19" s="1"/>
  <c r="R161" i="20"/>
  <c r="R162" i="20" s="1"/>
  <c r="R163" i="20" s="1"/>
  <c r="R8" i="20" s="1"/>
  <c r="T161" i="20"/>
  <c r="T162" i="20" s="1"/>
  <c r="T163" i="20" s="1"/>
  <c r="T8" i="20" s="1"/>
  <c r="S161" i="20"/>
  <c r="S162" i="20" s="1"/>
  <c r="S163" i="20" s="1"/>
  <c r="S8" i="20" s="1"/>
  <c r="S8" i="19" s="1"/>
  <c r="W161" i="20"/>
  <c r="W162" i="20" s="1"/>
  <c r="W163" i="20" s="1"/>
  <c r="W8" i="20" s="1"/>
  <c r="V161" i="20"/>
  <c r="V162" i="20" s="1"/>
  <c r="V163" i="20" s="1"/>
  <c r="V8" i="20" s="1"/>
  <c r="U161" i="20"/>
  <c r="U162" i="20" s="1"/>
  <c r="U163" i="20" s="1"/>
  <c r="U8" i="20" s="1"/>
  <c r="V8" i="19" l="1"/>
  <c r="U8" i="19"/>
  <c r="T8" i="19"/>
  <c r="W8" i="19"/>
  <c r="L22" i="18" l="1"/>
  <c r="Q22" i="18" s="1"/>
</calcChain>
</file>

<file path=xl/comments1.xml><?xml version="1.0" encoding="utf-8"?>
<comments xmlns="http://schemas.openxmlformats.org/spreadsheetml/2006/main">
  <authors>
    <author>Vermeij, Izak</author>
  </authors>
  <commentList>
    <comment ref="H14" authorId="0" shapeId="0">
      <text>
        <r>
          <rPr>
            <b/>
            <sz val="9"/>
            <color indexed="81"/>
            <rFont val="Tahoma"/>
            <family val="2"/>
          </rPr>
          <t xml:space="preserve">Vanwege leklucht zal de maximale reductie 95% zijn. </t>
        </r>
        <r>
          <rPr>
            <sz val="9"/>
            <color indexed="81"/>
            <rFont val="Tahoma"/>
            <family val="2"/>
          </rPr>
          <t xml:space="preserve">
</t>
        </r>
      </text>
    </comment>
    <comment ref="H19" authorId="0" shapeId="0">
      <text>
        <r>
          <rPr>
            <b/>
            <sz val="9"/>
            <color indexed="81"/>
            <rFont val="Tahoma"/>
            <family val="2"/>
          </rPr>
          <t>Vanwege leklucht zal de gerealiseerde reductie maximaal 95% zijn.</t>
        </r>
        <r>
          <rPr>
            <sz val="9"/>
            <color indexed="81"/>
            <rFont val="Tahoma"/>
            <family val="2"/>
          </rPr>
          <t xml:space="preserve">
</t>
        </r>
      </text>
    </comment>
    <comment ref="L19" authorId="0" shapeId="0">
      <text>
        <r>
          <rPr>
            <b/>
            <sz val="9"/>
            <color indexed="81"/>
            <rFont val="Tahoma"/>
            <family val="2"/>
          </rPr>
          <t>Hier staat reductiepercentage van techniek zelf. Door de combinatie met andere technieken, zal het hieronder vermelde gerealiseerde percentage lager uitvallen.</t>
        </r>
        <r>
          <rPr>
            <sz val="9"/>
            <color indexed="81"/>
            <rFont val="Tahoma"/>
            <family val="2"/>
          </rPr>
          <t xml:space="preserve">
</t>
        </r>
      </text>
    </comment>
    <comment ref="L22" authorId="0" shapeId="0">
      <text>
        <r>
          <rPr>
            <sz val="9"/>
            <color indexed="81"/>
            <rFont val="Tahoma"/>
            <family val="2"/>
          </rPr>
          <t xml:space="preserve">Dit reductiepercentage is gebaseerd op het deel van de lucht dat door de overige techniek gaat en wordt beinvloed door de voorgaande technieken.
Enkele regels hierboven staat het reductiepercentage van de techniek 'an sich'. 
</t>
        </r>
      </text>
    </comment>
  </commentList>
</comments>
</file>

<file path=xl/sharedStrings.xml><?xml version="1.0" encoding="utf-8"?>
<sst xmlns="http://schemas.openxmlformats.org/spreadsheetml/2006/main" count="463" uniqueCount="227">
  <si>
    <t>bedrijf</t>
  </si>
  <si>
    <t>meting</t>
  </si>
  <si>
    <t>lft dieren</t>
  </si>
  <si>
    <t>datum</t>
  </si>
  <si>
    <t>T stal</t>
  </si>
  <si>
    <t>T buiten</t>
  </si>
  <si>
    <t>Debiet</t>
  </si>
  <si>
    <t>PM10</t>
  </si>
  <si>
    <t>Deurne</t>
  </si>
  <si>
    <t>N'weert</t>
  </si>
  <si>
    <t>dier/dplts</t>
  </si>
  <si>
    <t>Lft</t>
  </si>
  <si>
    <t>gew hen</t>
  </si>
  <si>
    <t>gew haan</t>
  </si>
  <si>
    <t>Wk</t>
  </si>
  <si>
    <t>hen</t>
  </si>
  <si>
    <t>haan</t>
  </si>
  <si>
    <t>WW 0,35</t>
  </si>
  <si>
    <t>Hoofd debiet</t>
  </si>
  <si>
    <t>conc</t>
  </si>
  <si>
    <t>PM10 em. norm</t>
  </si>
  <si>
    <t>WW</t>
  </si>
  <si>
    <t>PM10 em. +WW +50%</t>
  </si>
  <si>
    <t>PM10 em. +WW +60%</t>
  </si>
  <si>
    <t>PM10 em. +WW +70%</t>
  </si>
  <si>
    <t>PM10 em. +WW +80%</t>
  </si>
  <si>
    <t>Hoofd debiet WW 0,35</t>
  </si>
  <si>
    <t>PM10 em. +WW +99%</t>
  </si>
  <si>
    <t>Rekenmodel</t>
  </si>
  <si>
    <t>BUT6</t>
  </si>
  <si>
    <t>Aviagen</t>
  </si>
  <si>
    <t>Opfok</t>
  </si>
  <si>
    <t>ionisatiefilter</t>
  </si>
  <si>
    <t xml:space="preserve"> </t>
  </si>
  <si>
    <t>A</t>
  </si>
  <si>
    <t>B</t>
  </si>
  <si>
    <t>C</t>
  </si>
  <si>
    <t>D</t>
  </si>
  <si>
    <t>E</t>
  </si>
  <si>
    <t>G</t>
  </si>
  <si>
    <t>H</t>
  </si>
  <si>
    <t>I</t>
  </si>
  <si>
    <t>J</t>
  </si>
  <si>
    <t>L</t>
  </si>
  <si>
    <t>serie alles
voetnoot 2</t>
  </si>
  <si>
    <t>F</t>
  </si>
  <si>
    <t>K</t>
  </si>
  <si>
    <t>M</t>
  </si>
  <si>
    <t>N</t>
  </si>
  <si>
    <t>O</t>
  </si>
  <si>
    <t>P</t>
  </si>
  <si>
    <t>Q</t>
  </si>
  <si>
    <t>R</t>
  </si>
  <si>
    <t>S</t>
  </si>
  <si>
    <t>T</t>
  </si>
  <si>
    <t>U</t>
  </si>
  <si>
    <t>V</t>
  </si>
  <si>
    <t>W</t>
  </si>
  <si>
    <t>X</t>
  </si>
  <si>
    <t>Y</t>
  </si>
  <si>
    <t>bio wasser 60%</t>
  </si>
  <si>
    <t>bio wasser 75%</t>
  </si>
  <si>
    <t>biofilter</t>
  </si>
  <si>
    <t>oliefilm</t>
  </si>
  <si>
    <t>negatieve ionisatie</t>
  </si>
  <si>
    <t>water wasser</t>
  </si>
  <si>
    <t>droogfilter</t>
  </si>
  <si>
    <t>oliefim</t>
  </si>
  <si>
    <t>strooiselschuif</t>
  </si>
  <si>
    <t>percentages berekend door 1 x (1-%)x(1-%)</t>
  </si>
  <si>
    <t>rood</t>
  </si>
  <si>
    <t>afwijkend</t>
  </si>
  <si>
    <t>paars</t>
  </si>
  <si>
    <t xml:space="preserve"> 1% afwijkend</t>
  </si>
  <si>
    <t>blauw</t>
  </si>
  <si>
    <t>kan niet gecombineerd</t>
  </si>
  <si>
    <t>chemische wasser</t>
  </si>
  <si>
    <t>warmtewisselaar zonder stof 31%</t>
  </si>
  <si>
    <t>warmtewisselaar met stof 31%</t>
  </si>
  <si>
    <t>warmtewisselaar zonder stof 13%</t>
  </si>
  <si>
    <t>warmtewisselaar met stof 13%</t>
  </si>
  <si>
    <t>warmtewisselaar zonder stof 37%</t>
  </si>
  <si>
    <t>warmtewisselaar met stof 37%</t>
  </si>
  <si>
    <t>warmtewisselaar zonder stof 50%</t>
  </si>
  <si>
    <t>warmtewisselaar met stof 50%</t>
  </si>
  <si>
    <t>Overzicht maximale waarden rekenmodel reducties fijnstof</t>
  </si>
  <si>
    <t>waarden in m3/dier/uur</t>
  </si>
  <si>
    <t>Maximale ventilatie:</t>
  </si>
  <si>
    <t>Opfok leghennen</t>
  </si>
  <si>
    <t>Leghennen</t>
  </si>
  <si>
    <t>Opfok vleeskuikenouderdieren</t>
  </si>
  <si>
    <t>Vleeskuikenouderdieren</t>
  </si>
  <si>
    <t>Vleeskuikens</t>
  </si>
  <si>
    <t>Vleeskalkoenen hennen</t>
  </si>
  <si>
    <t>Vleeskalkoenen hanen</t>
  </si>
  <si>
    <t>Vleeseenden</t>
  </si>
  <si>
    <t>Debiet door droogtunnel</t>
  </si>
  <si>
    <t>rekenwaarde</t>
  </si>
  <si>
    <t>in overzicht</t>
  </si>
  <si>
    <t>bandendroger (30%)</t>
  </si>
  <si>
    <t>Deze waarden staan (nog) niet genoemd in de beschrijvingen.</t>
  </si>
  <si>
    <t>platendroger (55%)</t>
  </si>
  <si>
    <t>Debiet door warmtewisselaar</t>
  </si>
  <si>
    <t>ZONDER FILTERS</t>
  </si>
  <si>
    <t>Reductiepercentage op stalniveau:</t>
  </si>
  <si>
    <t>MET FILTERS</t>
  </si>
  <si>
    <t>Staltechniek</t>
  </si>
  <si>
    <t>GEEN DROOGTUNNEL</t>
  </si>
  <si>
    <t>DROOGTUNNEL (PLATEN) 55%</t>
  </si>
  <si>
    <t>DROOGTUNNEL (BANDEN) 30%</t>
  </si>
  <si>
    <t>OLIEFILM</t>
  </si>
  <si>
    <t>JA</t>
  </si>
  <si>
    <t>NEE</t>
  </si>
  <si>
    <t>BIO WASSER 60%</t>
  </si>
  <si>
    <t>BIO WASSER 75%</t>
  </si>
  <si>
    <t>BIOFILTER</t>
  </si>
  <si>
    <t>DROOGFILTERWAND</t>
  </si>
  <si>
    <t>IONISATIEFILTER</t>
  </si>
  <si>
    <t>WARMTEWISSELAAR 31%</t>
  </si>
  <si>
    <t>WARMTEWISSELAAR 13%</t>
  </si>
  <si>
    <t>WARMTEWISSELAAR 37%</t>
  </si>
  <si>
    <t>WARMTEWISSELAAR 50%</t>
  </si>
  <si>
    <t>ZONDER STOFFILTER</t>
  </si>
  <si>
    <t>MET STOFFILTER</t>
  </si>
  <si>
    <t>GEEN STALTECHNIEK</t>
  </si>
  <si>
    <r>
      <t>Max. ventilatiedebiet m</t>
    </r>
    <r>
      <rPr>
        <vertAlign val="superscript"/>
        <sz val="12"/>
        <color theme="0"/>
        <rFont val="Calibri"/>
        <family val="2"/>
        <scheme val="minor"/>
      </rPr>
      <t>3</t>
    </r>
    <r>
      <rPr>
        <sz val="12"/>
        <color theme="0"/>
        <rFont val="Calibri"/>
        <family val="2"/>
        <scheme val="minor"/>
      </rPr>
      <t>/d/uur</t>
    </r>
  </si>
  <si>
    <t>GEEN TECHNIEK</t>
  </si>
  <si>
    <t>̌</t>
  </si>
  <si>
    <t>WATERLUCHTWASSYSTEEM</t>
  </si>
  <si>
    <t>ALLE VENTILATIELUCHT</t>
  </si>
  <si>
    <t>DEEL VENTILATIELUCHT</t>
  </si>
  <si>
    <r>
      <t>Kies ALLE VENTILATIELUCHT ivm vereiste NH</t>
    </r>
    <r>
      <rPr>
        <vertAlign val="subscript"/>
        <sz val="12"/>
        <color theme="0"/>
        <rFont val="Calibri"/>
        <family val="2"/>
        <scheme val="minor"/>
      </rPr>
      <t xml:space="preserve">3 </t>
    </r>
    <r>
      <rPr>
        <sz val="12"/>
        <color theme="0"/>
        <rFont val="Calibri"/>
        <family val="2"/>
        <scheme val="minor"/>
      </rPr>
      <t>reductie</t>
    </r>
  </si>
  <si>
    <t>75% VENTILATIE</t>
  </si>
  <si>
    <t>50% VENTILATIE</t>
  </si>
  <si>
    <t>25% VENTILATIE</t>
  </si>
  <si>
    <t>PARALLEL GESCHAKELD MET WARMTEWISSELAAR</t>
  </si>
  <si>
    <t>SERIE GESCHAKELD MET WARMTEWISSELAAR</t>
  </si>
  <si>
    <t>Overige technieken</t>
  </si>
  <si>
    <t>Maximale ventilatie in de stal</t>
  </si>
  <si>
    <t>naam</t>
  </si>
  <si>
    <t>adres</t>
  </si>
  <si>
    <r>
      <t>Reductiepercentage PM</t>
    </r>
    <r>
      <rPr>
        <b/>
        <vertAlign val="subscript"/>
        <sz val="24"/>
        <rFont val="Calibri"/>
        <family val="2"/>
        <scheme val="minor"/>
      </rPr>
      <t>10</t>
    </r>
  </si>
  <si>
    <t>Reductiepercentage in stal</t>
  </si>
  <si>
    <t>Reductiepercentage overige techniek</t>
  </si>
  <si>
    <t>Berekenen van het reductiepercentage van combinaties van fijnstof reducerende technieken</t>
  </si>
  <si>
    <t>Lft (dg)</t>
  </si>
  <si>
    <t>MG</t>
  </si>
  <si>
    <t>Voer (g/d)</t>
  </si>
  <si>
    <t>Totaal deb update (m3/d/u)</t>
  </si>
  <si>
    <t>Hoofd deb update minus WW (m3/d/u)</t>
  </si>
  <si>
    <t>Deb. w.wisselaar (m3/u/d)</t>
  </si>
  <si>
    <t>PM10 conc (mg/m3)</t>
  </si>
  <si>
    <t>#dieren</t>
  </si>
  <si>
    <t>Emissie PM10 zonder reductie (g/dpl/j)</t>
  </si>
  <si>
    <r>
      <t xml:space="preserve">Emissie (g/dpl/jr) bij ..% red. WW </t>
    </r>
    <r>
      <rPr>
        <b/>
        <i/>
        <u/>
        <sz val="10"/>
        <rFont val="Arial"/>
        <family val="2"/>
      </rPr>
      <t>en</t>
    </r>
    <r>
      <rPr>
        <b/>
        <sz val="10"/>
        <rFont val="Arial"/>
        <family val="2"/>
      </rPr>
      <t xml:space="preserve"> ..%red hoofddebiet</t>
    </r>
  </si>
  <si>
    <t>Berekeningen bij uitbroeden/opfokken en overplaatsen</t>
  </si>
  <si>
    <t>Achtergrond</t>
  </si>
  <si>
    <t>reductie in de stal</t>
  </si>
  <si>
    <t>max. debiet door wwlaar/droge stoffilters (m3/u/d)</t>
  </si>
  <si>
    <t>zonder reductie</t>
  </si>
  <si>
    <t>met reductie</t>
  </si>
  <si>
    <t>verhouding plaatsen</t>
  </si>
  <si>
    <t>1:2</t>
  </si>
  <si>
    <t>1:1</t>
  </si>
  <si>
    <t>trad.</t>
  </si>
  <si>
    <t>uitbroed/opfok-systeem</t>
  </si>
  <si>
    <t>gemiddelde reductie</t>
  </si>
  <si>
    <t>Overplaatsen op  .... dagen</t>
  </si>
  <si>
    <t>dagen eieren</t>
  </si>
  <si>
    <t>dagen leegstand</t>
  </si>
  <si>
    <t>dagen/ronde</t>
  </si>
  <si>
    <t># rondes/jr</t>
  </si>
  <si>
    <t>emissie/ronde  (gam)</t>
  </si>
  <si>
    <t>emissie/dpl/jr (gram)</t>
  </si>
  <si>
    <t>vervolghuisvesting</t>
  </si>
  <si>
    <t># dagen</t>
  </si>
  <si>
    <t>Groeiperiode</t>
  </si>
  <si>
    <t>Patio</t>
  </si>
  <si>
    <t>VVH</t>
  </si>
  <si>
    <t>Leegstand na vvh</t>
  </si>
  <si>
    <t># ronden</t>
  </si>
  <si>
    <t>emissie/ronde  (gram)</t>
  </si>
  <si>
    <t>samen (gr/dpl/jr)</t>
  </si>
  <si>
    <t>verschil t.o.v. trad.</t>
  </si>
  <si>
    <t>reductie</t>
  </si>
  <si>
    <t>totaal reductie debiet</t>
  </si>
  <si>
    <t>gem (- leeg)</t>
  </si>
  <si>
    <t>gem (+ leeg)</t>
  </si>
  <si>
    <t>TOTAAL DEBIET (hoofd en WW)</t>
  </si>
  <si>
    <t>reductie wwlaar zonder droge stoffilters</t>
  </si>
  <si>
    <t>beiden niet via techniek</t>
  </si>
  <si>
    <t>reductie overige techniek ALLE lucht</t>
  </si>
  <si>
    <t>Emissie alleen stoffilter</t>
  </si>
  <si>
    <t>Emissie alleen ww</t>
  </si>
  <si>
    <t>lucht ww niet via techniek</t>
  </si>
  <si>
    <t>Emissie na overige techniek (g/dpl/jr)</t>
  </si>
  <si>
    <t>lucht ww niet via techniek wel via stoffilter</t>
  </si>
  <si>
    <t>% t.o.v. maximum</t>
  </si>
  <si>
    <t>ww wel via overige techniek</t>
  </si>
  <si>
    <t>Warmtewisselaar met stoffilter?</t>
  </si>
  <si>
    <t>lucht ww i.c.m. filter via techniek</t>
  </si>
  <si>
    <t>max. debiet stoffilter stand alone</t>
  </si>
  <si>
    <t>Emissie ww + stand alone stoffilter</t>
  </si>
  <si>
    <t>Deb. Alleen Stoffilter (m3/u/d)</t>
  </si>
  <si>
    <t>Deb. Ww en Stoffilter (m3/u/d)</t>
  </si>
  <si>
    <t>Emissie Stoffilter en ww achter elkaar</t>
  </si>
  <si>
    <t>max. debiet stoffilter met ww</t>
  </si>
  <si>
    <t>Gemaakt in opdracht van het ministerie van Infrastructuur en Waterstaat</t>
  </si>
  <si>
    <t>ww incl stoffilter via techniek</t>
  </si>
  <si>
    <r>
      <t>m</t>
    </r>
    <r>
      <rPr>
        <vertAlign val="superscript"/>
        <sz val="12"/>
        <color theme="1"/>
        <rFont val="Calibri"/>
        <family val="2"/>
        <scheme val="minor"/>
      </rPr>
      <t>3</t>
    </r>
    <r>
      <rPr>
        <sz val="12"/>
        <color theme="1"/>
        <rFont val="Calibri"/>
        <family val="2"/>
        <scheme val="minor"/>
      </rPr>
      <t>/uur</t>
    </r>
  </si>
  <si>
    <r>
      <t>m</t>
    </r>
    <r>
      <rPr>
        <b/>
        <vertAlign val="superscript"/>
        <sz val="14"/>
        <color theme="0" tint="-0.499984740745262"/>
        <rFont val="Calibri"/>
        <family val="2"/>
        <scheme val="minor"/>
      </rPr>
      <t>3</t>
    </r>
    <r>
      <rPr>
        <b/>
        <sz val="14"/>
        <color theme="0" tint="-0.499984740745262"/>
        <rFont val="Calibri"/>
        <family val="2"/>
        <scheme val="minor"/>
      </rPr>
      <t>/uur</t>
    </r>
  </si>
  <si>
    <t>LUCHTCONDITIONERINGSUNIT</t>
  </si>
  <si>
    <t>IONISATIE d.m.v. KOOLSTOFBORSTELTJES</t>
  </si>
  <si>
    <r>
      <t xml:space="preserve">Bij alle </t>
    </r>
    <r>
      <rPr>
        <b/>
        <sz val="14"/>
        <color rgb="FFFFFF00"/>
        <rFont val="Calibri"/>
        <family val="2"/>
        <scheme val="minor"/>
      </rPr>
      <t xml:space="preserve">GEEL </t>
    </r>
    <r>
      <rPr>
        <b/>
        <sz val="14"/>
        <color rgb="FF0070C0"/>
        <rFont val="Calibri"/>
        <family val="2"/>
        <scheme val="minor"/>
      </rPr>
      <t xml:space="preserve">gekleurde vakjes dient een keuze gemaakt te worden. Ga op het vakje staan, klik rechts naast vakje en kies een optie.                              </t>
    </r>
  </si>
  <si>
    <r>
      <t xml:space="preserve">De gerealiseerde reductiepercentages staan in </t>
    </r>
    <r>
      <rPr>
        <b/>
        <sz val="14"/>
        <color rgb="FF00B050"/>
        <rFont val="Calibri"/>
        <family val="2"/>
        <scheme val="minor"/>
      </rPr>
      <t xml:space="preserve">GROENE </t>
    </r>
    <r>
      <rPr>
        <b/>
        <sz val="14"/>
        <color rgb="FF0070C0"/>
        <rFont val="Calibri"/>
        <family val="2"/>
        <scheme val="minor"/>
      </rPr>
      <t xml:space="preserve">blokjes vermeld. Helemaal rechts is het reductiepercentage van de combinatie van de fijnstofreducerende </t>
    </r>
  </si>
  <si>
    <r>
      <t xml:space="preserve">technieken weergegeven. Als combinaties niet mogelijk of zinvol zijn, verschijnt er tekst in </t>
    </r>
    <r>
      <rPr>
        <b/>
        <sz val="14"/>
        <color rgb="FFFF0000"/>
        <rFont val="Calibri"/>
        <family val="2"/>
        <scheme val="minor"/>
      </rPr>
      <t>ROOD</t>
    </r>
    <r>
      <rPr>
        <b/>
        <sz val="14"/>
        <color rgb="FF0070C0"/>
        <rFont val="Calibri"/>
        <family val="2"/>
        <scheme val="minor"/>
      </rPr>
      <t>. Bij 'niet mogelijk' dient u keuze(s) aan te passen.</t>
    </r>
  </si>
  <si>
    <t xml:space="preserve">Bij warmtewisselaar en stoffilter kan de ventilatiehoeveelheid door een techniek aangepast worden met de pijltjes omhoog/omlaag. </t>
  </si>
  <si>
    <t>Stal voor kalkoenen</t>
  </si>
  <si>
    <t>Gew. (kg)</t>
  </si>
  <si>
    <t>HENNEN</t>
  </si>
  <si>
    <t>HANEN</t>
  </si>
  <si>
    <t>KIES HENNEN of HANEN</t>
  </si>
  <si>
    <t>Rekenmodel Vee-combistof - pluimvee (V2.0, 15 maart 2021)</t>
  </si>
  <si>
    <t>invullen</t>
  </si>
  <si>
    <t>TOELICHTING GEBRUIK REKENMODEL (Er is online ook een handleiding beschikbaar).</t>
  </si>
  <si>
    <t>CHEMISCHE WASSER 35%</t>
  </si>
  <si>
    <t>CHEMISCHE WASSER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</si>
</sst>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d/mm/yy;@"/>
    <numFmt numFmtId="167" formatCode="0.000"/>
    <numFmt numFmtId="168" formatCode="0.0%"/>
    <numFmt numFmtId="169" formatCode="#,##0.00_ ;\-#,##0.00\ "/>
    <numFmt numFmtId="170" formatCode="0.000000"/>
  </numFmts>
  <fonts count="67" x14ac:knownFonts="1">
    <font>
      <sz val="10"/>
      <name val="Arial"/>
    </font>
    <font>
      <sz val="11"/>
      <color theme="1"/>
      <name val="Calibri"/>
      <family val="2"/>
      <scheme val="minor"/>
    </font>
    <font>
      <sz val="10"/>
      <name val="Arial"/>
      <family val="2"/>
    </font>
    <font>
      <sz val="8"/>
      <name val="Arial"/>
      <family val="2"/>
    </font>
    <font>
      <b/>
      <sz val="10"/>
      <name val="Arial"/>
      <family val="2"/>
    </font>
    <font>
      <i/>
      <sz val="10"/>
      <name val="Arial"/>
      <family val="2"/>
    </font>
    <font>
      <sz val="10"/>
      <name val="Arial"/>
      <family val="2"/>
    </font>
    <font>
      <b/>
      <i/>
      <sz val="10"/>
      <name val="Arial"/>
      <family val="2"/>
    </font>
    <font>
      <b/>
      <i/>
      <u/>
      <sz val="10"/>
      <name val="Arial"/>
      <family val="2"/>
    </font>
    <font>
      <sz val="12"/>
      <color theme="1"/>
      <name val="Calibri"/>
      <family val="2"/>
      <scheme val="minor"/>
    </font>
    <font>
      <b/>
      <sz val="14"/>
      <color theme="1"/>
      <name val="Calibri"/>
      <family val="2"/>
      <scheme val="minor"/>
    </font>
    <font>
      <b/>
      <sz val="12"/>
      <name val="Calibri"/>
      <family val="2"/>
      <scheme val="minor"/>
    </font>
    <font>
      <sz val="9"/>
      <color rgb="FF000000"/>
      <name val="Verdana"/>
      <family val="2"/>
    </font>
    <font>
      <b/>
      <sz val="12"/>
      <color theme="1"/>
      <name val="Calibri"/>
      <family val="2"/>
      <scheme val="minor"/>
    </font>
    <font>
      <sz val="12"/>
      <color theme="4" tint="0.59999389629810485"/>
      <name val="Calibri"/>
      <family val="2"/>
      <scheme val="minor"/>
    </font>
    <font>
      <sz val="12"/>
      <name val="Calibri"/>
      <family val="2"/>
      <scheme val="minor"/>
    </font>
    <font>
      <sz val="12"/>
      <color rgb="FFFF0000"/>
      <name val="Calibri"/>
      <family val="2"/>
      <scheme val="minor"/>
    </font>
    <font>
      <b/>
      <sz val="13"/>
      <color theme="1"/>
      <name val="Calibri"/>
      <family val="2"/>
      <scheme val="minor"/>
    </font>
    <font>
      <vertAlign val="superscript"/>
      <sz val="12"/>
      <color theme="1"/>
      <name val="Calibri"/>
      <family val="2"/>
      <scheme val="minor"/>
    </font>
    <font>
      <sz val="14"/>
      <name val="Calibri"/>
      <family val="2"/>
      <scheme val="minor"/>
    </font>
    <font>
      <sz val="18"/>
      <color theme="1"/>
      <name val="Calibri"/>
      <family val="2"/>
      <scheme val="minor"/>
    </font>
    <font>
      <sz val="10"/>
      <name val="Arial"/>
      <family val="2"/>
    </font>
    <font>
      <sz val="14"/>
      <color rgb="FFFF0000"/>
      <name val="Calibri"/>
      <family val="2"/>
      <scheme val="minor"/>
    </font>
    <font>
      <sz val="9"/>
      <color theme="1"/>
      <name val="Verdana"/>
      <family val="2"/>
    </font>
    <font>
      <b/>
      <u/>
      <sz val="9"/>
      <color theme="1"/>
      <name val="Verdana"/>
      <family val="2"/>
    </font>
    <font>
      <b/>
      <i/>
      <sz val="9"/>
      <color theme="1"/>
      <name val="Verdana"/>
      <family val="2"/>
    </font>
    <font>
      <u/>
      <sz val="9"/>
      <color theme="1"/>
      <name val="Verdana"/>
      <family val="2"/>
    </font>
    <font>
      <i/>
      <sz val="9"/>
      <color theme="1"/>
      <name val="Verdana"/>
      <family val="2"/>
    </font>
    <font>
      <b/>
      <sz val="14"/>
      <color rgb="FFFF0000"/>
      <name val="Calibri"/>
      <family val="2"/>
      <scheme val="minor"/>
    </font>
    <font>
      <b/>
      <sz val="12"/>
      <color rgb="FFFF0000"/>
      <name val="Calibri"/>
      <family val="2"/>
      <scheme val="minor"/>
    </font>
    <font>
      <sz val="14"/>
      <color theme="1"/>
      <name val="Calibri"/>
      <family val="2"/>
      <scheme val="minor"/>
    </font>
    <font>
      <sz val="12"/>
      <color theme="0"/>
      <name val="Calibri"/>
      <family val="2"/>
      <scheme val="minor"/>
    </font>
    <font>
      <vertAlign val="superscript"/>
      <sz val="12"/>
      <color theme="0"/>
      <name val="Calibri"/>
      <family val="2"/>
      <scheme val="minor"/>
    </font>
    <font>
      <sz val="12"/>
      <color theme="1"/>
      <name val="Calibri"/>
      <family val="2"/>
    </font>
    <font>
      <b/>
      <sz val="22"/>
      <color theme="1"/>
      <name val="Calibri"/>
      <family val="2"/>
      <scheme val="minor"/>
    </font>
    <font>
      <sz val="10"/>
      <color rgb="FFFF0000"/>
      <name val="Arial"/>
      <family val="2"/>
    </font>
    <font>
      <sz val="12"/>
      <name val="Arial"/>
      <family val="2"/>
    </font>
    <font>
      <b/>
      <sz val="14"/>
      <name val="Arial"/>
      <family val="2"/>
    </font>
    <font>
      <sz val="14"/>
      <name val="Arial"/>
      <family val="2"/>
    </font>
    <font>
      <b/>
      <sz val="13"/>
      <color rgb="FFFF0000"/>
      <name val="Calibri"/>
      <family val="2"/>
      <scheme val="minor"/>
    </font>
    <font>
      <sz val="23"/>
      <color theme="1"/>
      <name val="Calibri"/>
      <family val="2"/>
      <scheme val="minor"/>
    </font>
    <font>
      <b/>
      <sz val="24"/>
      <name val="Calibri"/>
      <family val="2"/>
      <scheme val="minor"/>
    </font>
    <font>
      <sz val="24"/>
      <name val="Arial"/>
      <family val="2"/>
    </font>
    <font>
      <b/>
      <sz val="16"/>
      <color rgb="FFFF0000"/>
      <name val="Calibri"/>
      <family val="2"/>
      <scheme val="minor"/>
    </font>
    <font>
      <vertAlign val="subscript"/>
      <sz val="12"/>
      <color theme="0"/>
      <name val="Calibri"/>
      <family val="2"/>
      <scheme val="minor"/>
    </font>
    <font>
      <b/>
      <sz val="20"/>
      <color theme="3" tint="0.39997558519241921"/>
      <name val="Calibri"/>
      <family val="2"/>
      <scheme val="minor"/>
    </font>
    <font>
      <sz val="18"/>
      <name val="Calibri"/>
      <family val="2"/>
      <scheme val="minor"/>
    </font>
    <font>
      <b/>
      <sz val="14"/>
      <color theme="0" tint="-0.499984740745262"/>
      <name val="Calibri"/>
      <family val="2"/>
      <scheme val="minor"/>
    </font>
    <font>
      <b/>
      <vertAlign val="superscript"/>
      <sz val="14"/>
      <color theme="0" tint="-0.499984740745262"/>
      <name val="Calibri"/>
      <family val="2"/>
      <scheme val="minor"/>
    </font>
    <font>
      <b/>
      <sz val="14"/>
      <color rgb="FF0070C0"/>
      <name val="Calibri"/>
      <family val="2"/>
      <scheme val="minor"/>
    </font>
    <font>
      <b/>
      <sz val="14"/>
      <color rgb="FF00B050"/>
      <name val="Calibri"/>
      <family val="2"/>
      <scheme val="minor"/>
    </font>
    <font>
      <b/>
      <sz val="14"/>
      <name val="Calibri"/>
      <family val="2"/>
      <scheme val="minor"/>
    </font>
    <font>
      <b/>
      <sz val="14"/>
      <color rgb="FF002060"/>
      <name val="Calibri"/>
      <family val="2"/>
      <scheme val="minor"/>
    </font>
    <font>
      <b/>
      <vertAlign val="subscript"/>
      <sz val="24"/>
      <name val="Calibri"/>
      <family val="2"/>
      <scheme val="minor"/>
    </font>
    <font>
      <sz val="9"/>
      <color indexed="81"/>
      <name val="Tahoma"/>
      <family val="2"/>
    </font>
    <font>
      <b/>
      <sz val="9"/>
      <color indexed="81"/>
      <name val="Tahoma"/>
      <family val="2"/>
    </font>
    <font>
      <b/>
      <sz val="14"/>
      <color rgb="FFFFFF00"/>
      <name val="Calibri"/>
      <family val="2"/>
      <scheme val="minor"/>
    </font>
    <font>
      <b/>
      <sz val="15"/>
      <name val="Calibri"/>
      <family val="2"/>
      <scheme val="minor"/>
    </font>
    <font>
      <sz val="15"/>
      <name val="Arial"/>
      <family val="2"/>
    </font>
    <font>
      <b/>
      <sz val="12"/>
      <color rgb="FFFFFF00"/>
      <name val="Calibri"/>
      <family val="2"/>
      <scheme val="minor"/>
    </font>
    <font>
      <sz val="12"/>
      <color rgb="FFFFFF00"/>
      <name val="Calibri"/>
      <family val="2"/>
      <scheme val="minor"/>
    </font>
    <font>
      <b/>
      <sz val="14"/>
      <color rgb="FFFF0000"/>
      <name val="Arial"/>
      <family val="2"/>
    </font>
    <font>
      <b/>
      <sz val="12"/>
      <color rgb="FFFF0000"/>
      <name val="Verdana"/>
      <family val="2"/>
    </font>
    <font>
      <sz val="12"/>
      <color rgb="FF222222"/>
      <name val="Calibri"/>
      <family val="2"/>
      <scheme val="minor"/>
    </font>
    <font>
      <b/>
      <sz val="12"/>
      <color rgb="FF00B0F0"/>
      <name val="Calibri"/>
      <family val="2"/>
      <scheme val="minor"/>
    </font>
    <font>
      <b/>
      <sz val="10"/>
      <color rgb="FF00B0F0"/>
      <name val="Arial"/>
      <family val="2"/>
    </font>
    <font>
      <b/>
      <sz val="14"/>
      <color rgb="FF0070C0"/>
      <name val="Arial"/>
      <family val="2"/>
    </font>
  </fonts>
  <fills count="2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13"/>
        <bgColor indexed="64"/>
      </patternFill>
    </fill>
    <fill>
      <patternFill patternType="solid">
        <fgColor rgb="FFCCFFCC"/>
        <bgColor indexed="64"/>
      </patternFill>
    </fill>
    <fill>
      <patternFill patternType="solid">
        <fgColor indexed="42"/>
        <bgColor indexed="64"/>
      </patternFill>
    </fill>
    <fill>
      <patternFill patternType="solid">
        <fgColor theme="7"/>
        <bgColor indexed="64"/>
      </patternFill>
    </fill>
    <fill>
      <patternFill patternType="solid">
        <fgColor rgb="FFFF0000"/>
        <bgColor indexed="64"/>
      </patternFill>
    </fill>
    <fill>
      <patternFill patternType="solid">
        <fgColor rgb="FF8064A2"/>
        <bgColor indexed="64"/>
      </patternFill>
    </fill>
    <fill>
      <patternFill patternType="solid">
        <fgColor rgb="FF0070C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9" fontId="2"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0" fontId="12" fillId="0" borderId="0"/>
    <xf numFmtId="164" fontId="21" fillId="0" borderId="0" applyFont="0" applyFill="0" applyBorder="0" applyAlignment="0" applyProtection="0"/>
    <xf numFmtId="0" fontId="23" fillId="0" borderId="0"/>
  </cellStyleXfs>
  <cellXfs count="298">
    <xf numFmtId="0" fontId="0" fillId="0" borderId="0" xfId="0"/>
    <xf numFmtId="0" fontId="0" fillId="0" borderId="0" xfId="0" applyAlignment="1">
      <alignment horizontal="center"/>
    </xf>
    <xf numFmtId="166" fontId="0" fillId="0" borderId="0" xfId="0" applyNumberFormat="1" applyAlignment="1">
      <alignment horizontal="center"/>
    </xf>
    <xf numFmtId="0" fontId="4" fillId="0" borderId="0" xfId="0" applyFont="1"/>
    <xf numFmtId="0" fontId="4" fillId="0" borderId="0" xfId="0" applyFont="1" applyAlignment="1">
      <alignment horizontal="center"/>
    </xf>
    <xf numFmtId="165" fontId="0" fillId="0" borderId="0" xfId="0" applyNumberFormat="1" applyAlignment="1">
      <alignment horizontal="center"/>
    </xf>
    <xf numFmtId="167" fontId="0" fillId="0" borderId="0" xfId="0" applyNumberFormat="1" applyAlignment="1">
      <alignment horizontal="center"/>
    </xf>
    <xf numFmtId="2" fontId="0" fillId="0" borderId="0" xfId="0" applyNumberFormat="1" applyAlignment="1">
      <alignment horizontal="center"/>
    </xf>
    <xf numFmtId="166" fontId="4" fillId="0" borderId="0" xfId="0" applyNumberFormat="1" applyFont="1" applyAlignment="1">
      <alignment horizontal="center"/>
    </xf>
    <xf numFmtId="2" fontId="6" fillId="0" borderId="0" xfId="0" applyNumberFormat="1" applyFont="1" applyAlignment="1">
      <alignment horizontal="center"/>
    </xf>
    <xf numFmtId="0" fontId="4" fillId="0" borderId="0" xfId="0" applyFont="1" applyAlignment="1">
      <alignment horizontal="center" vertical="top" wrapText="1"/>
    </xf>
    <xf numFmtId="2" fontId="4" fillId="0" borderId="0" xfId="0" applyNumberFormat="1" applyFont="1" applyAlignment="1">
      <alignment horizontal="center"/>
    </xf>
    <xf numFmtId="0" fontId="5" fillId="0" borderId="0" xfId="0" applyFont="1" applyAlignment="1">
      <alignment horizontal="center"/>
    </xf>
    <xf numFmtId="168" fontId="2" fillId="0" borderId="0" xfId="1" applyNumberFormat="1" applyAlignment="1">
      <alignment horizontal="center"/>
    </xf>
    <xf numFmtId="168" fontId="4" fillId="0" borderId="0" xfId="1" applyNumberFormat="1" applyFont="1" applyAlignment="1">
      <alignment horizontal="center"/>
    </xf>
    <xf numFmtId="0" fontId="4" fillId="0" borderId="0" xfId="0" applyFont="1" applyAlignment="1">
      <alignment vertical="top" wrapText="1"/>
    </xf>
    <xf numFmtId="0" fontId="4" fillId="0" borderId="0" xfId="0" applyFont="1" applyAlignment="1">
      <alignment horizontal="center"/>
    </xf>
    <xf numFmtId="0" fontId="0" fillId="2" borderId="0" xfId="0" applyFill="1" applyAlignment="1">
      <alignment horizontal="center"/>
    </xf>
    <xf numFmtId="2" fontId="6" fillId="2" borderId="0" xfId="0" applyNumberFormat="1" applyFont="1" applyFill="1" applyAlignment="1">
      <alignment horizontal="center"/>
    </xf>
    <xf numFmtId="0" fontId="4" fillId="2" borderId="0" xfId="0" applyFont="1" applyFill="1" applyAlignment="1">
      <alignment horizontal="center" vertical="top" wrapText="1"/>
    </xf>
    <xf numFmtId="165" fontId="4" fillId="2" borderId="0" xfId="0" applyNumberFormat="1" applyFont="1" applyFill="1" applyAlignment="1">
      <alignment horizontal="center"/>
    </xf>
    <xf numFmtId="168" fontId="4" fillId="2" borderId="0" xfId="1" applyNumberFormat="1" applyFont="1" applyFill="1" applyAlignment="1">
      <alignment horizontal="center"/>
    </xf>
    <xf numFmtId="0" fontId="5" fillId="2" borderId="0" xfId="0" applyFont="1" applyFill="1" applyAlignment="1">
      <alignment horizontal="center"/>
    </xf>
    <xf numFmtId="2" fontId="0" fillId="2" borderId="0" xfId="0" applyNumberFormat="1" applyFill="1" applyAlignment="1">
      <alignment horizontal="center"/>
    </xf>
    <xf numFmtId="2" fontId="4" fillId="2" borderId="0" xfId="0" applyNumberFormat="1" applyFont="1" applyFill="1" applyAlignment="1">
      <alignment horizontal="center"/>
    </xf>
    <xf numFmtId="0" fontId="4" fillId="2" borderId="0" xfId="0" applyFont="1" applyFill="1" applyAlignment="1">
      <alignment horizontal="center"/>
    </xf>
    <xf numFmtId="165" fontId="4" fillId="3" borderId="0" xfId="0" applyNumberFormat="1" applyFont="1" applyFill="1" applyAlignment="1">
      <alignment horizontal="center"/>
    </xf>
    <xf numFmtId="168" fontId="4" fillId="3" borderId="0" xfId="1" applyNumberFormat="1" applyFont="1" applyFill="1" applyAlignment="1">
      <alignment horizontal="center"/>
    </xf>
    <xf numFmtId="0" fontId="0" fillId="3" borderId="0" xfId="0" applyFill="1" applyAlignment="1">
      <alignment horizontal="center"/>
    </xf>
    <xf numFmtId="0" fontId="4" fillId="3" borderId="0" xfId="0" applyFont="1" applyFill="1" applyAlignment="1">
      <alignment horizontal="center"/>
    </xf>
    <xf numFmtId="2" fontId="0" fillId="3" borderId="0" xfId="0" applyNumberFormat="1" applyFill="1" applyAlignment="1">
      <alignment horizontal="center"/>
    </xf>
    <xf numFmtId="2" fontId="4" fillId="3" borderId="0" xfId="0" applyNumberFormat="1" applyFont="1" applyFill="1" applyAlignment="1">
      <alignment horizontal="center"/>
    </xf>
    <xf numFmtId="0" fontId="2" fillId="0" borderId="0" xfId="0" applyFont="1"/>
    <xf numFmtId="0" fontId="2" fillId="0" borderId="0" xfId="0" applyFont="1" applyAlignment="1">
      <alignment horizontal="center"/>
    </xf>
    <xf numFmtId="0" fontId="4" fillId="0" borderId="0" xfId="0" applyFont="1" applyAlignment="1">
      <alignment horizontal="center"/>
    </xf>
    <xf numFmtId="2" fontId="4" fillId="4" borderId="0" xfId="0" applyNumberFormat="1" applyFont="1" applyFill="1" applyAlignment="1">
      <alignment horizontal="center"/>
    </xf>
    <xf numFmtId="167" fontId="0" fillId="0" borderId="0" xfId="0" applyNumberFormat="1"/>
    <xf numFmtId="0" fontId="9" fillId="0" borderId="0" xfId="2"/>
    <xf numFmtId="0" fontId="9" fillId="5" borderId="0" xfId="2" applyFill="1"/>
    <xf numFmtId="9" fontId="9" fillId="0" borderId="0" xfId="2" applyNumberFormat="1"/>
    <xf numFmtId="1" fontId="9" fillId="0" borderId="0" xfId="2" applyNumberFormat="1"/>
    <xf numFmtId="0" fontId="9" fillId="0" borderId="0" xfId="2" applyAlignment="1">
      <alignment wrapText="1"/>
    </xf>
    <xf numFmtId="9" fontId="9" fillId="5" borderId="0" xfId="2" applyNumberFormat="1" applyFill="1"/>
    <xf numFmtId="2" fontId="9" fillId="5" borderId="0" xfId="2" applyNumberFormat="1" applyFill="1"/>
    <xf numFmtId="9" fontId="14" fillId="7" borderId="0" xfId="2" applyNumberFormat="1" applyFont="1" applyFill="1"/>
    <xf numFmtId="9" fontId="14" fillId="8" borderId="0" xfId="2" applyNumberFormat="1" applyFont="1" applyFill="1"/>
    <xf numFmtId="9" fontId="15" fillId="9" borderId="0" xfId="2" applyNumberFormat="1" applyFont="1" applyFill="1"/>
    <xf numFmtId="9" fontId="9" fillId="0" borderId="0" xfId="2" applyNumberFormat="1" applyFill="1"/>
    <xf numFmtId="9" fontId="9" fillId="9" borderId="0" xfId="2" applyNumberFormat="1" applyFill="1"/>
    <xf numFmtId="9" fontId="16" fillId="0" borderId="0" xfId="2" applyNumberFormat="1" applyFont="1" applyFill="1"/>
    <xf numFmtId="9" fontId="15" fillId="0" borderId="0" xfId="2" applyNumberFormat="1" applyFont="1" applyFill="1"/>
    <xf numFmtId="1" fontId="9" fillId="0" borderId="0" xfId="2" applyNumberFormat="1" applyFill="1"/>
    <xf numFmtId="1" fontId="16" fillId="0" borderId="0" xfId="2" applyNumberFormat="1" applyFont="1"/>
    <xf numFmtId="2" fontId="9" fillId="0" borderId="0" xfId="2" applyNumberFormat="1"/>
    <xf numFmtId="0" fontId="9" fillId="0" borderId="0" xfId="2" applyFill="1" applyBorder="1"/>
    <xf numFmtId="0" fontId="9" fillId="0" borderId="0" xfId="2" applyFill="1"/>
    <xf numFmtId="0" fontId="13" fillId="0" borderId="0" xfId="2" applyFont="1" applyFill="1" applyAlignment="1">
      <alignment horizontal="center"/>
    </xf>
    <xf numFmtId="2" fontId="4" fillId="0" borderId="0" xfId="0" applyNumberFormat="1" applyFont="1" applyAlignment="1">
      <alignment horizontal="center"/>
    </xf>
    <xf numFmtId="2" fontId="13" fillId="0" borderId="0" xfId="2" applyNumberFormat="1" applyFont="1"/>
    <xf numFmtId="0" fontId="0" fillId="0" borderId="0" xfId="0" applyFill="1"/>
    <xf numFmtId="0" fontId="19" fillId="10" borderId="0" xfId="2" applyFont="1" applyFill="1" applyAlignment="1">
      <alignment horizontal="center"/>
    </xf>
    <xf numFmtId="0" fontId="22" fillId="0" borderId="0" xfId="2" applyFont="1"/>
    <xf numFmtId="0" fontId="24" fillId="0" borderId="0" xfId="7" applyFont="1"/>
    <xf numFmtId="0" fontId="23" fillId="0" borderId="0" xfId="7"/>
    <xf numFmtId="0" fontId="25" fillId="0" borderId="0" xfId="7" applyFont="1"/>
    <xf numFmtId="0" fontId="23" fillId="0" borderId="0" xfId="7" applyFont="1"/>
    <xf numFmtId="0" fontId="26" fillId="0" borderId="0" xfId="7" applyFont="1"/>
    <xf numFmtId="0" fontId="23" fillId="0" borderId="0" xfId="7" applyAlignment="1">
      <alignment horizontal="right"/>
    </xf>
    <xf numFmtId="167" fontId="23" fillId="0" borderId="0" xfId="7" applyNumberFormat="1"/>
    <xf numFmtId="0" fontId="23" fillId="4" borderId="0" xfId="7" applyFill="1"/>
    <xf numFmtId="2" fontId="23" fillId="0" borderId="0" xfId="7" applyNumberFormat="1"/>
    <xf numFmtId="0" fontId="27" fillId="0" borderId="0" xfId="7" applyFont="1"/>
    <xf numFmtId="9" fontId="27" fillId="0" borderId="0" xfId="7" applyNumberFormat="1" applyFont="1"/>
    <xf numFmtId="165" fontId="23" fillId="0" borderId="0" xfId="7" applyNumberFormat="1"/>
    <xf numFmtId="0" fontId="9" fillId="0" borderId="0" xfId="2" applyAlignment="1"/>
    <xf numFmtId="0" fontId="0" fillId="0" borderId="0" xfId="0" applyBorder="1" applyAlignment="1"/>
    <xf numFmtId="169" fontId="9" fillId="0" borderId="0" xfId="6" applyNumberFormat="1" applyFont="1"/>
    <xf numFmtId="0" fontId="19" fillId="5" borderId="9" xfId="2" applyFont="1" applyFill="1" applyBorder="1" applyAlignment="1">
      <alignment horizontal="center"/>
    </xf>
    <xf numFmtId="0" fontId="0" fillId="0" borderId="0" xfId="0" applyFill="1" applyBorder="1" applyAlignment="1">
      <alignment vertical="top"/>
    </xf>
    <xf numFmtId="0" fontId="13" fillId="4" borderId="10" xfId="3" applyFont="1" applyFill="1" applyBorder="1" applyAlignment="1" applyProtection="1">
      <alignment horizontal="center" vertical="center"/>
      <protection locked="0"/>
    </xf>
    <xf numFmtId="0" fontId="31" fillId="0" borderId="0" xfId="2" applyFont="1"/>
    <xf numFmtId="164" fontId="31" fillId="0" borderId="0" xfId="2" applyNumberFormat="1" applyFont="1"/>
    <xf numFmtId="0" fontId="28" fillId="0" borderId="0" xfId="2" applyFont="1" applyAlignment="1">
      <alignment horizontal="left"/>
    </xf>
    <xf numFmtId="0" fontId="33" fillId="0" borderId="0" xfId="2" applyFont="1"/>
    <xf numFmtId="0" fontId="0" fillId="12" borderId="0" xfId="0" applyFill="1"/>
    <xf numFmtId="0" fontId="9" fillId="12" borderId="0" xfId="2" applyFill="1"/>
    <xf numFmtId="9" fontId="9" fillId="12" borderId="0" xfId="1" applyFont="1" applyFill="1"/>
    <xf numFmtId="9" fontId="10" fillId="12" borderId="0" xfId="4" applyFont="1" applyFill="1"/>
    <xf numFmtId="2" fontId="9" fillId="12" borderId="0" xfId="2" applyNumberFormat="1" applyFill="1"/>
    <xf numFmtId="0" fontId="17" fillId="4" borderId="11" xfId="3" applyFont="1" applyFill="1" applyBorder="1" applyAlignment="1" applyProtection="1">
      <alignment horizontal="center" vertical="center" wrapText="1"/>
      <protection locked="0"/>
    </xf>
    <xf numFmtId="0" fontId="40" fillId="12" borderId="0" xfId="2" applyFont="1" applyFill="1"/>
    <xf numFmtId="0" fontId="43" fillId="0" borderId="0" xfId="2" applyFont="1" applyAlignment="1">
      <alignment wrapText="1"/>
    </xf>
    <xf numFmtId="9" fontId="15" fillId="0" borderId="0" xfId="1" applyFont="1" applyFill="1" applyBorder="1" applyAlignment="1">
      <alignment horizontal="center"/>
    </xf>
    <xf numFmtId="0" fontId="9" fillId="13" borderId="0" xfId="2" applyFill="1"/>
    <xf numFmtId="0" fontId="0" fillId="13" borderId="0" xfId="0" applyFill="1"/>
    <xf numFmtId="9" fontId="0" fillId="13" borderId="0" xfId="4" applyFont="1" applyFill="1"/>
    <xf numFmtId="0" fontId="30" fillId="6" borderId="22" xfId="2" applyFont="1" applyFill="1" applyBorder="1" applyAlignment="1">
      <alignment horizontal="center" wrapText="1"/>
    </xf>
    <xf numFmtId="0" fontId="47" fillId="0" borderId="0" xfId="2" applyFont="1" applyAlignment="1">
      <alignment horizontal="left"/>
    </xf>
    <xf numFmtId="2" fontId="47" fillId="0" borderId="0" xfId="2" applyNumberFormat="1" applyFont="1"/>
    <xf numFmtId="0" fontId="47" fillId="0" borderId="0" xfId="2" applyFont="1"/>
    <xf numFmtId="9" fontId="34" fillId="2" borderId="11" xfId="1" applyNumberFormat="1" applyFont="1" applyFill="1" applyBorder="1" applyAlignment="1">
      <alignment horizontal="center"/>
    </xf>
    <xf numFmtId="0" fontId="9" fillId="2" borderId="10" xfId="2" applyFill="1" applyBorder="1"/>
    <xf numFmtId="0" fontId="9" fillId="0" borderId="0" xfId="2" quotePrefix="1"/>
    <xf numFmtId="0" fontId="51" fillId="5" borderId="17" xfId="2" applyFont="1" applyFill="1" applyBorder="1" applyProtection="1"/>
    <xf numFmtId="0" fontId="51" fillId="5" borderId="13" xfId="2" applyFont="1" applyFill="1" applyBorder="1" applyProtection="1"/>
    <xf numFmtId="14" fontId="52" fillId="5" borderId="19" xfId="2" applyNumberFormat="1" applyFont="1" applyFill="1" applyBorder="1" applyAlignment="1" applyProtection="1">
      <alignment horizontal="left"/>
    </xf>
    <xf numFmtId="14" fontId="52" fillId="5" borderId="20" xfId="2" applyNumberFormat="1" applyFont="1" applyFill="1" applyBorder="1" applyAlignment="1" applyProtection="1">
      <alignment horizontal="left"/>
    </xf>
    <xf numFmtId="2" fontId="2" fillId="0" borderId="0" xfId="0" applyNumberFormat="1" applyFont="1" applyAlignment="1">
      <alignment horizontal="center"/>
    </xf>
    <xf numFmtId="167" fontId="2" fillId="0" borderId="0" xfId="0" applyNumberFormat="1" applyFont="1" applyAlignment="1">
      <alignment horizontal="center"/>
    </xf>
    <xf numFmtId="167" fontId="0" fillId="0" borderId="0" xfId="1" applyNumberFormat="1" applyFont="1" applyAlignment="1">
      <alignment horizontal="center"/>
    </xf>
    <xf numFmtId="167" fontId="4" fillId="0" borderId="0" xfId="0" applyNumberFormat="1" applyFont="1" applyAlignment="1">
      <alignment horizontal="center" vertical="top" wrapText="1"/>
    </xf>
    <xf numFmtId="0" fontId="4" fillId="7" borderId="0" xfId="0" applyFont="1" applyFill="1" applyAlignment="1">
      <alignment horizontal="center" vertical="top" wrapText="1"/>
    </xf>
    <xf numFmtId="0" fontId="4" fillId="0" borderId="0" xfId="0" applyFont="1" applyFill="1" applyAlignment="1">
      <alignment vertical="top"/>
    </xf>
    <xf numFmtId="9" fontId="4" fillId="4" borderId="0" xfId="0" applyNumberFormat="1" applyFont="1" applyFill="1" applyAlignment="1">
      <alignment horizontal="center" vertical="top" wrapText="1"/>
    </xf>
    <xf numFmtId="0" fontId="4" fillId="0" borderId="0" xfId="0" applyFont="1" applyAlignment="1">
      <alignment horizontal="left" vertical="top"/>
    </xf>
    <xf numFmtId="0" fontId="4" fillId="14" borderId="0" xfId="0" applyFont="1" applyFill="1" applyAlignment="1">
      <alignment horizontal="left" vertical="top"/>
    </xf>
    <xf numFmtId="9" fontId="4" fillId="4" borderId="0" xfId="1" applyFont="1" applyFill="1" applyAlignment="1">
      <alignment horizontal="center" vertical="top" wrapText="1"/>
    </xf>
    <xf numFmtId="0" fontId="4" fillId="0" borderId="0" xfId="0" applyFont="1" applyAlignment="1">
      <alignment horizontal="left" vertical="top" wrapText="1"/>
    </xf>
    <xf numFmtId="20" fontId="0" fillId="0" borderId="3" xfId="0" quotePrefix="1" applyNumberFormat="1" applyBorder="1" applyAlignment="1">
      <alignment horizontal="right"/>
    </xf>
    <xf numFmtId="20" fontId="2" fillId="0" borderId="4" xfId="0" quotePrefix="1" applyNumberFormat="1" applyFont="1" applyBorder="1" applyAlignment="1">
      <alignment horizontal="right"/>
    </xf>
    <xf numFmtId="0" fontId="0" fillId="0" borderId="5" xfId="0" applyBorder="1"/>
    <xf numFmtId="0" fontId="0" fillId="0" borderId="6" xfId="0" applyBorder="1"/>
    <xf numFmtId="0" fontId="4" fillId="0" borderId="21" xfId="0" applyFont="1" applyBorder="1"/>
    <xf numFmtId="0" fontId="4" fillId="0" borderId="3" xfId="0" applyFont="1" applyBorder="1" applyAlignment="1">
      <alignment horizontal="right"/>
    </xf>
    <xf numFmtId="0" fontId="4" fillId="0" borderId="4" xfId="0" applyFont="1" applyBorder="1" applyAlignment="1">
      <alignment horizontal="right"/>
    </xf>
    <xf numFmtId="0" fontId="4" fillId="0" borderId="0" xfId="0" applyFont="1" applyAlignment="1">
      <alignment vertical="top"/>
    </xf>
    <xf numFmtId="0" fontId="2" fillId="0" borderId="22" xfId="0" applyFont="1" applyBorder="1"/>
    <xf numFmtId="0" fontId="0" fillId="15" borderId="5" xfId="0" applyFill="1" applyBorder="1"/>
    <xf numFmtId="0" fontId="0" fillId="15" borderId="6" xfId="0" applyFill="1" applyBorder="1"/>
    <xf numFmtId="168" fontId="2" fillId="0" borderId="0" xfId="1" applyNumberFormat="1" applyFont="1" applyAlignment="1">
      <alignment horizontal="center"/>
    </xf>
    <xf numFmtId="0" fontId="0" fillId="0" borderId="22" xfId="0" applyBorder="1"/>
    <xf numFmtId="167" fontId="0" fillId="7" borderId="0" xfId="0" applyNumberFormat="1" applyFill="1" applyAlignment="1">
      <alignment horizontal="center"/>
    </xf>
    <xf numFmtId="168" fontId="0" fillId="0" borderId="0" xfId="1" applyNumberFormat="1" applyFont="1" applyAlignment="1">
      <alignment horizontal="center"/>
    </xf>
    <xf numFmtId="165" fontId="0" fillId="0" borderId="5" xfId="0" applyNumberFormat="1" applyBorder="1"/>
    <xf numFmtId="165" fontId="0" fillId="0" borderId="6" xfId="0" applyNumberFormat="1" applyBorder="1"/>
    <xf numFmtId="0" fontId="2" fillId="0" borderId="12" xfId="0" applyFont="1" applyBorder="1"/>
    <xf numFmtId="165" fontId="0" fillId="16" borderId="7" xfId="0" applyNumberFormat="1" applyFill="1" applyBorder="1"/>
    <xf numFmtId="165" fontId="0" fillId="17" borderId="8" xfId="0" applyNumberFormat="1" applyFill="1" applyBorder="1"/>
    <xf numFmtId="0" fontId="0" fillId="0" borderId="3" xfId="0" applyBorder="1"/>
    <xf numFmtId="0" fontId="0" fillId="0" borderId="4" xfId="0" applyBorder="1"/>
    <xf numFmtId="1" fontId="0" fillId="0" borderId="5" xfId="0" applyNumberFormat="1" applyBorder="1" applyAlignment="1"/>
    <xf numFmtId="1" fontId="0" fillId="0" borderId="6" xfId="0" applyNumberFormat="1" applyBorder="1" applyAlignment="1"/>
    <xf numFmtId="0" fontId="0" fillId="15" borderId="5" xfId="0" applyFill="1" applyBorder="1" applyAlignment="1"/>
    <xf numFmtId="0" fontId="0" fillId="15" borderId="6" xfId="0" applyFill="1" applyBorder="1" applyAlignment="1"/>
    <xf numFmtId="165" fontId="0" fillId="0" borderId="5" xfId="0" applyNumberFormat="1" applyBorder="1" applyAlignment="1"/>
    <xf numFmtId="165" fontId="0" fillId="0" borderId="6" xfId="0" applyNumberFormat="1" applyBorder="1" applyAlignment="1"/>
    <xf numFmtId="0" fontId="0" fillId="14" borderId="23" xfId="0" applyFill="1" applyBorder="1" applyAlignment="1">
      <alignment horizontal="center"/>
    </xf>
    <xf numFmtId="0" fontId="0" fillId="14" borderId="24" xfId="0" applyFill="1" applyBorder="1" applyAlignment="1">
      <alignment horizontal="center"/>
    </xf>
    <xf numFmtId="167" fontId="0" fillId="14" borderId="24" xfId="0" applyNumberFormat="1" applyFill="1" applyBorder="1" applyAlignment="1">
      <alignment horizontal="center"/>
    </xf>
    <xf numFmtId="2" fontId="0" fillId="14" borderId="24" xfId="0" applyNumberFormat="1" applyFill="1" applyBorder="1" applyAlignment="1">
      <alignment horizontal="center"/>
    </xf>
    <xf numFmtId="0" fontId="4" fillId="0" borderId="25" xfId="0" applyFont="1" applyBorder="1" applyAlignment="1">
      <alignment horizontal="left"/>
    </xf>
    <xf numFmtId="165" fontId="0" fillId="16" borderId="1" xfId="0" applyNumberFormat="1" applyFill="1" applyBorder="1" applyAlignment="1">
      <alignment horizontal="right"/>
    </xf>
    <xf numFmtId="165" fontId="0" fillId="16" borderId="2" xfId="0" applyNumberFormat="1" applyFill="1" applyBorder="1" applyAlignment="1">
      <alignment horizontal="right"/>
    </xf>
    <xf numFmtId="0" fontId="4" fillId="0" borderId="0" xfId="0" applyFont="1" applyAlignment="1">
      <alignment horizontal="left"/>
    </xf>
    <xf numFmtId="9" fontId="0" fillId="0" borderId="0" xfId="1" applyFont="1" applyAlignment="1">
      <alignment horizontal="right"/>
    </xf>
    <xf numFmtId="0" fontId="7" fillId="0" borderId="0" xfId="0" applyFont="1" applyAlignment="1">
      <alignment horizontal="left"/>
    </xf>
    <xf numFmtId="168" fontId="7" fillId="7" borderId="0" xfId="1" applyNumberFormat="1" applyFont="1" applyFill="1" applyAlignment="1">
      <alignment horizontal="right"/>
    </xf>
    <xf numFmtId="9" fontId="0" fillId="0" borderId="0" xfId="0" applyNumberFormat="1" applyAlignment="1">
      <alignment horizontal="center"/>
    </xf>
    <xf numFmtId="2" fontId="0" fillId="7" borderId="0" xfId="0" applyNumberFormat="1" applyFill="1" applyAlignment="1">
      <alignment horizontal="center"/>
    </xf>
    <xf numFmtId="10" fontId="4" fillId="7" borderId="0" xfId="1" applyNumberFormat="1" applyFont="1" applyFill="1" applyAlignment="1">
      <alignment horizontal="center"/>
    </xf>
    <xf numFmtId="2" fontId="4" fillId="4" borderId="0" xfId="0" applyNumberFormat="1" applyFont="1" applyFill="1" applyAlignment="1">
      <alignment horizontal="center" vertical="top" wrapText="1"/>
    </xf>
    <xf numFmtId="0" fontId="20" fillId="0" borderId="9" xfId="2" applyFont="1" applyFill="1" applyBorder="1" applyAlignment="1">
      <alignment horizontal="center"/>
    </xf>
    <xf numFmtId="0" fontId="2" fillId="0" borderId="0" xfId="0" quotePrefix="1" applyFont="1" applyAlignment="1">
      <alignment horizontal="left"/>
    </xf>
    <xf numFmtId="9" fontId="9" fillId="0" borderId="0" xfId="1" applyFont="1"/>
    <xf numFmtId="0" fontId="2" fillId="0" borderId="0" xfId="0" applyFont="1" applyAlignment="1">
      <alignment horizontal="left" wrapText="1"/>
    </xf>
    <xf numFmtId="0" fontId="2" fillId="0" borderId="0" xfId="0" applyFont="1" applyAlignment="1">
      <alignment horizontal="center" wrapText="1"/>
    </xf>
    <xf numFmtId="0" fontId="9" fillId="0" borderId="0" xfId="2" applyAlignment="1">
      <alignment horizontal="left"/>
    </xf>
    <xf numFmtId="0" fontId="4" fillId="7" borderId="0" xfId="0" applyFont="1" applyFill="1" applyAlignment="1">
      <alignment horizontal="center" vertical="top" wrapText="1"/>
    </xf>
    <xf numFmtId="168" fontId="4" fillId="4" borderId="0" xfId="1" applyNumberFormat="1" applyFont="1" applyFill="1" applyAlignment="1">
      <alignment horizontal="center" vertical="top" wrapText="1"/>
    </xf>
    <xf numFmtId="168" fontId="2" fillId="0" borderId="0" xfId="0" applyNumberFormat="1" applyFont="1" applyAlignment="1">
      <alignment horizontal="center" wrapText="1"/>
    </xf>
    <xf numFmtId="9" fontId="13" fillId="2" borderId="0" xfId="1" applyFont="1" applyFill="1" applyAlignment="1">
      <alignment horizontal="center"/>
    </xf>
    <xf numFmtId="0" fontId="2" fillId="19" borderId="0" xfId="0" applyFont="1" applyFill="1" applyAlignment="1">
      <alignment horizontal="center" wrapText="1"/>
    </xf>
    <xf numFmtId="167" fontId="0" fillId="19" borderId="0" xfId="0" applyNumberFormat="1" applyFill="1" applyAlignment="1">
      <alignment horizontal="center"/>
    </xf>
    <xf numFmtId="0" fontId="0" fillId="19" borderId="0" xfId="0" applyFill="1" applyAlignment="1">
      <alignment horizontal="center"/>
    </xf>
    <xf numFmtId="0" fontId="2" fillId="19" borderId="0" xfId="0" applyFont="1" applyFill="1" applyAlignment="1">
      <alignment horizontal="center"/>
    </xf>
    <xf numFmtId="2" fontId="0" fillId="19" borderId="0" xfId="0" applyNumberFormat="1" applyFill="1" applyAlignment="1">
      <alignment horizontal="center"/>
    </xf>
    <xf numFmtId="10" fontId="4" fillId="19" borderId="0" xfId="1" applyNumberFormat="1" applyFont="1" applyFill="1" applyAlignment="1">
      <alignment horizontal="center"/>
    </xf>
    <xf numFmtId="167" fontId="0" fillId="5" borderId="0" xfId="0" applyNumberFormat="1" applyFill="1" applyAlignment="1">
      <alignment horizontal="center"/>
    </xf>
    <xf numFmtId="168" fontId="9" fillId="2" borderId="11" xfId="1" applyNumberFormat="1" applyFont="1" applyFill="1" applyBorder="1"/>
    <xf numFmtId="2" fontId="2" fillId="5" borderId="0" xfId="0" applyNumberFormat="1" applyFont="1" applyFill="1" applyAlignment="1">
      <alignment horizontal="center"/>
    </xf>
    <xf numFmtId="2" fontId="13" fillId="0" borderId="0" xfId="2" applyNumberFormat="1" applyFont="1" applyProtection="1">
      <protection locked="0"/>
    </xf>
    <xf numFmtId="2" fontId="39" fillId="0" borderId="0" xfId="2" applyNumberFormat="1" applyFont="1" applyAlignment="1" applyProtection="1">
      <protection locked="0"/>
    </xf>
    <xf numFmtId="0" fontId="9" fillId="0" borderId="0" xfId="2" applyProtection="1">
      <protection locked="0"/>
    </xf>
    <xf numFmtId="0" fontId="9" fillId="0" borderId="0" xfId="2" applyBorder="1"/>
    <xf numFmtId="2" fontId="9" fillId="0" borderId="0" xfId="2" applyNumberFormat="1" applyBorder="1"/>
    <xf numFmtId="9" fontId="13" fillId="2" borderId="11" xfId="3" applyNumberFormat="1" applyFont="1" applyFill="1" applyBorder="1" applyAlignment="1" applyProtection="1">
      <alignment horizontal="center" vertical="center"/>
      <protection locked="0"/>
    </xf>
    <xf numFmtId="10" fontId="9" fillId="12" borderId="0" xfId="2" quotePrefix="1" applyNumberFormat="1" applyFill="1"/>
    <xf numFmtId="0" fontId="0" fillId="2" borderId="0" xfId="0" applyFill="1" applyAlignment="1">
      <alignment wrapText="1"/>
    </xf>
    <xf numFmtId="167" fontId="0" fillId="2" borderId="0" xfId="1" applyNumberFormat="1" applyFont="1" applyFill="1" applyAlignment="1">
      <alignment horizontal="center"/>
    </xf>
    <xf numFmtId="168" fontId="4" fillId="2" borderId="0" xfId="1" applyNumberFormat="1" applyFont="1" applyFill="1" applyAlignment="1">
      <alignment horizontal="center" vertical="top" wrapText="1"/>
    </xf>
    <xf numFmtId="0" fontId="2" fillId="2" borderId="0" xfId="0" applyFont="1" applyFill="1" applyAlignment="1">
      <alignment horizontal="center"/>
    </xf>
    <xf numFmtId="167" fontId="0" fillId="2" borderId="0" xfId="0" applyNumberFormat="1" applyFill="1" applyAlignment="1">
      <alignment horizontal="center"/>
    </xf>
    <xf numFmtId="10" fontId="4" fillId="2" borderId="0" xfId="1" applyNumberFormat="1" applyFont="1" applyFill="1" applyAlignment="1">
      <alignment horizontal="center"/>
    </xf>
    <xf numFmtId="168" fontId="4" fillId="19" borderId="0" xfId="1" applyNumberFormat="1" applyFont="1" applyFill="1" applyAlignment="1">
      <alignment horizontal="center" vertical="top" wrapText="1"/>
    </xf>
    <xf numFmtId="0" fontId="9" fillId="13" borderId="0" xfId="2" applyFill="1" applyBorder="1"/>
    <xf numFmtId="0" fontId="13" fillId="4" borderId="0" xfId="3" applyFont="1" applyFill="1" applyBorder="1" applyAlignment="1" applyProtection="1">
      <alignment horizontal="center" vertical="center"/>
      <protection locked="0"/>
    </xf>
    <xf numFmtId="0" fontId="9" fillId="4" borderId="27" xfId="2" applyFill="1" applyBorder="1"/>
    <xf numFmtId="0" fontId="9" fillId="4" borderId="28" xfId="2" applyFill="1" applyBorder="1"/>
    <xf numFmtId="0" fontId="9" fillId="4" borderId="29" xfId="2" applyFill="1" applyBorder="1"/>
    <xf numFmtId="170" fontId="0" fillId="2" borderId="0" xfId="0" applyNumberFormat="1" applyFill="1" applyAlignment="1">
      <alignment horizontal="center"/>
    </xf>
    <xf numFmtId="167" fontId="2" fillId="2" borderId="0" xfId="0" applyNumberFormat="1" applyFont="1" applyFill="1" applyAlignment="1">
      <alignment horizontal="center"/>
    </xf>
    <xf numFmtId="167" fontId="4" fillId="2" borderId="0" xfId="0" applyNumberFormat="1" applyFont="1" applyFill="1" applyAlignment="1">
      <alignment horizontal="center" vertical="top" wrapText="1"/>
    </xf>
    <xf numFmtId="168" fontId="2" fillId="2" borderId="0" xfId="0" applyNumberFormat="1" applyFont="1" applyFill="1" applyAlignment="1">
      <alignment horizontal="center"/>
    </xf>
    <xf numFmtId="2" fontId="4" fillId="4" borderId="0" xfId="1" applyNumberFormat="1" applyFont="1" applyFill="1" applyAlignment="1">
      <alignment horizontal="center" vertical="top" wrapText="1"/>
    </xf>
    <xf numFmtId="168" fontId="4" fillId="2" borderId="0" xfId="0" applyNumberFormat="1" applyFont="1" applyFill="1" applyAlignment="1">
      <alignment horizontal="center" vertical="top" wrapText="1"/>
    </xf>
    <xf numFmtId="167" fontId="2" fillId="5" borderId="0" xfId="0" applyNumberFormat="1" applyFont="1" applyFill="1" applyAlignment="1">
      <alignment horizontal="center"/>
    </xf>
    <xf numFmtId="0" fontId="29" fillId="0" borderId="0" xfId="2" applyFont="1"/>
    <xf numFmtId="0" fontId="0" fillId="0" borderId="0" xfId="0" applyFill="1" applyBorder="1" applyAlignment="1">
      <alignment horizontal="center"/>
    </xf>
    <xf numFmtId="0" fontId="11" fillId="13" borderId="0" xfId="2" applyFont="1" applyFill="1"/>
    <xf numFmtId="0" fontId="9" fillId="11" borderId="0" xfId="2" applyFill="1"/>
    <xf numFmtId="0" fontId="45" fillId="11" borderId="0" xfId="0" applyFont="1" applyFill="1"/>
    <xf numFmtId="0" fontId="46" fillId="11" borderId="0" xfId="0" applyFont="1" applyFill="1"/>
    <xf numFmtId="0" fontId="10" fillId="0" borderId="0" xfId="2" applyFont="1" applyFill="1"/>
    <xf numFmtId="0" fontId="11" fillId="0" borderId="0" xfId="2" applyFont="1" applyFill="1"/>
    <xf numFmtId="0" fontId="59" fillId="20" borderId="26" xfId="2" applyFont="1" applyFill="1" applyBorder="1"/>
    <xf numFmtId="0" fontId="60" fillId="18" borderId="11" xfId="2" applyFont="1" applyFill="1" applyBorder="1" applyAlignment="1">
      <alignment horizontal="center"/>
    </xf>
    <xf numFmtId="0" fontId="56" fillId="21" borderId="9" xfId="2" applyFont="1" applyFill="1" applyBorder="1" applyAlignment="1">
      <alignment horizontal="center"/>
    </xf>
    <xf numFmtId="9" fontId="0" fillId="0" borderId="0" xfId="1" applyFont="1" applyAlignment="1">
      <alignment horizontal="center"/>
    </xf>
    <xf numFmtId="10" fontId="0" fillId="0" borderId="0" xfId="0" applyNumberFormat="1" applyAlignment="1">
      <alignment horizontal="center"/>
    </xf>
    <xf numFmtId="0" fontId="56" fillId="21" borderId="21" xfId="2" applyFont="1" applyFill="1" applyBorder="1" applyAlignment="1">
      <alignment horizontal="center"/>
    </xf>
    <xf numFmtId="0" fontId="60" fillId="18" borderId="12" xfId="2" applyFont="1" applyFill="1" applyBorder="1" applyAlignment="1">
      <alignment horizontal="center"/>
    </xf>
    <xf numFmtId="0" fontId="62" fillId="13" borderId="0" xfId="0" applyFont="1" applyFill="1"/>
    <xf numFmtId="0" fontId="9" fillId="13" borderId="0" xfId="2" quotePrefix="1" applyFill="1"/>
    <xf numFmtId="0" fontId="28" fillId="0" borderId="0" xfId="2" applyFont="1"/>
    <xf numFmtId="0" fontId="63" fillId="0" borderId="0" xfId="0" applyFont="1"/>
    <xf numFmtId="0" fontId="35" fillId="0" borderId="0" xfId="0" applyFont="1" applyAlignment="1"/>
    <xf numFmtId="0" fontId="35" fillId="0" borderId="13" xfId="0" applyFont="1" applyBorder="1" applyAlignment="1"/>
    <xf numFmtId="0" fontId="28" fillId="0" borderId="0" xfId="2" applyFont="1" applyBorder="1" applyAlignment="1">
      <alignment horizontal="center" vertical="center" wrapText="1"/>
    </xf>
    <xf numFmtId="0" fontId="28" fillId="0" borderId="0" xfId="2" applyFont="1" applyBorder="1" applyAlignment="1">
      <alignment vertical="center" wrapText="1"/>
    </xf>
    <xf numFmtId="0" fontId="37" fillId="0" borderId="0" xfId="0" applyFont="1" applyAlignment="1">
      <alignment vertical="center"/>
    </xf>
    <xf numFmtId="0" fontId="38" fillId="0" borderId="0" xfId="0" applyFont="1" applyBorder="1" applyAlignment="1">
      <alignment horizontal="center" vertical="center"/>
    </xf>
    <xf numFmtId="0" fontId="58" fillId="12" borderId="0" xfId="0" applyFont="1" applyFill="1" applyAlignment="1">
      <alignment horizontal="left"/>
    </xf>
    <xf numFmtId="165" fontId="23" fillId="19" borderId="0" xfId="7" applyNumberFormat="1" applyFill="1"/>
    <xf numFmtId="0" fontId="4" fillId="14" borderId="0" xfId="0" applyFont="1" applyFill="1" applyAlignment="1">
      <alignment horizontal="left" vertical="top"/>
    </xf>
    <xf numFmtId="0" fontId="4" fillId="7" borderId="0" xfId="0" applyFont="1" applyFill="1" applyAlignment="1">
      <alignment horizontal="center" vertical="top" wrapText="1"/>
    </xf>
    <xf numFmtId="2" fontId="4" fillId="0" borderId="0" xfId="0" applyNumberFormat="1" applyFont="1" applyAlignment="1">
      <alignment horizontal="center"/>
    </xf>
    <xf numFmtId="0" fontId="64" fillId="0" borderId="0" xfId="2" quotePrefix="1" applyFont="1"/>
    <xf numFmtId="9" fontId="11" fillId="2" borderId="12" xfId="1" applyNumberFormat="1" applyFont="1" applyFill="1" applyBorder="1" applyAlignment="1">
      <alignment horizontal="center"/>
    </xf>
    <xf numFmtId="9" fontId="13" fillId="2" borderId="10" xfId="1" applyNumberFormat="1" applyFont="1" applyFill="1" applyBorder="1" applyAlignment="1">
      <alignment horizontal="center"/>
    </xf>
    <xf numFmtId="9" fontId="9" fillId="0" borderId="0" xfId="1" applyFont="1" applyAlignment="1">
      <alignment horizontal="center" vertical="top"/>
    </xf>
    <xf numFmtId="0" fontId="51" fillId="4" borderId="16" xfId="2" applyFont="1" applyFill="1" applyBorder="1" applyProtection="1">
      <protection locked="0"/>
    </xf>
    <xf numFmtId="0" fontId="51" fillId="4" borderId="18" xfId="2" applyFont="1" applyFill="1" applyBorder="1" applyProtection="1">
      <protection locked="0"/>
    </xf>
    <xf numFmtId="0" fontId="4" fillId="3" borderId="0" xfId="0" applyFont="1" applyFill="1" applyAlignment="1">
      <alignment horizontal="center" vertical="top" wrapText="1"/>
    </xf>
    <xf numFmtId="10" fontId="4" fillId="0" borderId="0" xfId="0" applyNumberFormat="1" applyFont="1" applyAlignment="1">
      <alignment horizontal="center" vertical="top" wrapText="1"/>
    </xf>
    <xf numFmtId="0" fontId="38" fillId="5" borderId="15" xfId="0" applyFont="1" applyFill="1" applyBorder="1" applyAlignment="1"/>
    <xf numFmtId="0" fontId="38" fillId="5" borderId="17" xfId="0" applyFont="1" applyFill="1" applyBorder="1" applyAlignment="1"/>
    <xf numFmtId="0" fontId="49" fillId="5" borderId="18" xfId="2" applyFont="1" applyFill="1" applyBorder="1" applyAlignment="1">
      <alignment horizontal="left" vertical="center"/>
    </xf>
    <xf numFmtId="0" fontId="38" fillId="5" borderId="13" xfId="0" applyFont="1" applyFill="1" applyBorder="1" applyAlignment="1">
      <alignment horizontal="left" vertical="center"/>
    </xf>
    <xf numFmtId="0" fontId="49" fillId="5" borderId="18" xfId="2" applyFont="1" applyFill="1" applyBorder="1" applyAlignment="1"/>
    <xf numFmtId="0" fontId="66" fillId="5" borderId="13" xfId="0" applyFont="1" applyFill="1" applyBorder="1" applyAlignment="1"/>
    <xf numFmtId="0" fontId="49" fillId="5" borderId="19" xfId="2" applyFont="1" applyFill="1" applyBorder="1" applyAlignment="1"/>
    <xf numFmtId="0" fontId="0" fillId="5" borderId="14" xfId="0" applyFill="1" applyBorder="1" applyAlignment="1"/>
    <xf numFmtId="0" fontId="9" fillId="5" borderId="14" xfId="2" applyFill="1" applyBorder="1" applyAlignment="1"/>
    <xf numFmtId="0" fontId="9" fillId="5" borderId="20" xfId="2" applyFill="1" applyBorder="1" applyAlignment="1"/>
    <xf numFmtId="0" fontId="38" fillId="5" borderId="0" xfId="0" applyFont="1" applyFill="1" applyBorder="1" applyAlignment="1"/>
    <xf numFmtId="0" fontId="38" fillId="5" borderId="0" xfId="0" applyFont="1" applyFill="1" applyBorder="1" applyAlignment="1">
      <alignment horizontal="left" vertical="center"/>
    </xf>
    <xf numFmtId="0" fontId="66" fillId="5" borderId="0" xfId="0" applyFont="1" applyFill="1" applyBorder="1" applyAlignment="1"/>
    <xf numFmtId="0" fontId="38" fillId="5" borderId="13" xfId="0" applyFont="1" applyFill="1" applyBorder="1" applyAlignment="1"/>
    <xf numFmtId="2" fontId="29" fillId="0" borderId="0" xfId="2" applyNumberFormat="1" applyFont="1" applyAlignment="1" applyProtection="1">
      <protection locked="0"/>
    </xf>
    <xf numFmtId="0" fontId="10" fillId="5" borderId="16" xfId="2" applyFont="1" applyFill="1" applyBorder="1"/>
    <xf numFmtId="0" fontId="17" fillId="4" borderId="0" xfId="3" applyFont="1" applyFill="1" applyBorder="1" applyAlignment="1" applyProtection="1">
      <alignment horizontal="center" vertical="center" wrapText="1"/>
      <protection locked="0"/>
    </xf>
    <xf numFmtId="0" fontId="17" fillId="4" borderId="14" xfId="3" applyFont="1" applyFill="1" applyBorder="1" applyAlignment="1" applyProtection="1">
      <alignment horizontal="center" vertical="center" wrapText="1"/>
      <protection locked="0"/>
    </xf>
    <xf numFmtId="0" fontId="29" fillId="10" borderId="0" xfId="2" applyFont="1" applyFill="1" applyAlignment="1">
      <alignment horizontal="center" vertical="center" wrapText="1"/>
    </xf>
    <xf numFmtId="0" fontId="36" fillId="0" borderId="0" xfId="0" applyFont="1" applyAlignment="1">
      <alignment vertical="center" wrapText="1"/>
    </xf>
    <xf numFmtId="0" fontId="57" fillId="12" borderId="0" xfId="0" applyFont="1" applyFill="1" applyAlignment="1">
      <alignment horizontal="left" wrapText="1"/>
    </xf>
    <xf numFmtId="0" fontId="0" fillId="0" borderId="0" xfId="0" applyAlignment="1">
      <alignment horizontal="left" wrapText="1"/>
    </xf>
    <xf numFmtId="0" fontId="0" fillId="0" borderId="0" xfId="0" applyAlignment="1"/>
    <xf numFmtId="0" fontId="41" fillId="2" borderId="9" xfId="2" applyFont="1" applyFill="1" applyBorder="1" applyAlignment="1">
      <alignment horizontal="center" vertical="center" textRotation="180"/>
    </xf>
    <xf numFmtId="0" fontId="42" fillId="0" borderId="11" xfId="0" applyFont="1" applyBorder="1" applyAlignment="1">
      <alignment horizontal="center" vertical="center" textRotation="180"/>
    </xf>
    <xf numFmtId="0" fontId="0" fillId="0" borderId="11" xfId="0" applyBorder="1" applyAlignment="1"/>
    <xf numFmtId="0" fontId="28" fillId="0" borderId="0" xfId="2" applyFont="1" applyAlignment="1"/>
    <xf numFmtId="0" fontId="61" fillId="0" borderId="0" xfId="0" applyFont="1" applyAlignment="1"/>
    <xf numFmtId="0" fontId="28" fillId="0" borderId="18" xfId="2" quotePrefix="1" applyFont="1" applyBorder="1" applyAlignment="1">
      <alignment wrapText="1"/>
    </xf>
    <xf numFmtId="0" fontId="37" fillId="0" borderId="0" xfId="0" applyFont="1" applyAlignment="1"/>
    <xf numFmtId="0" fontId="37" fillId="0" borderId="6" xfId="0" applyFont="1" applyBorder="1" applyAlignment="1"/>
    <xf numFmtId="0" fontId="28" fillId="0" borderId="0" xfId="2" applyFont="1" applyAlignment="1">
      <alignment wrapText="1"/>
    </xf>
    <xf numFmtId="0" fontId="61" fillId="0" borderId="0" xfId="0" applyFont="1" applyAlignment="1">
      <alignment wrapText="1"/>
    </xf>
    <xf numFmtId="0" fontId="28" fillId="0" borderId="0" xfId="2" applyFont="1" applyAlignment="1">
      <alignment vertical="center" wrapText="1"/>
    </xf>
    <xf numFmtId="0" fontId="0" fillId="0" borderId="0" xfId="0" applyAlignment="1">
      <alignment wrapText="1"/>
    </xf>
    <xf numFmtId="0" fontId="13" fillId="0" borderId="0" xfId="2" applyFont="1" applyBorder="1" applyAlignment="1">
      <alignment wrapText="1"/>
    </xf>
    <xf numFmtId="0" fontId="4" fillId="0" borderId="0" xfId="0" applyFont="1" applyAlignment="1">
      <alignment wrapText="1"/>
    </xf>
    <xf numFmtId="0" fontId="64" fillId="0" borderId="0" xfId="2" applyFont="1" applyAlignment="1">
      <alignment horizontal="left" wrapText="1"/>
    </xf>
    <xf numFmtId="0" fontId="65" fillId="0" borderId="0" xfId="0" applyFont="1" applyAlignment="1">
      <alignment horizontal="left" wrapText="1"/>
    </xf>
    <xf numFmtId="165" fontId="28" fillId="0" borderId="5" xfId="2" applyNumberFormat="1" applyFont="1" applyBorder="1" applyAlignment="1">
      <alignment horizontal="left" wrapText="1"/>
    </xf>
    <xf numFmtId="0" fontId="61" fillId="0" borderId="0" xfId="0" applyFont="1" applyAlignment="1">
      <alignment horizontal="left" wrapText="1"/>
    </xf>
    <xf numFmtId="0" fontId="61" fillId="0" borderId="13" xfId="0" applyFont="1" applyBorder="1" applyAlignment="1">
      <alignment horizontal="left" wrapText="1"/>
    </xf>
    <xf numFmtId="165" fontId="28" fillId="0" borderId="0" xfId="0" applyNumberFormat="1" applyFont="1" applyBorder="1" applyAlignment="1">
      <alignment horizontal="left" wrapText="1"/>
    </xf>
    <xf numFmtId="0" fontId="28" fillId="0" borderId="0" xfId="0" applyFont="1" applyAlignment="1">
      <alignment horizontal="left" wrapText="1"/>
    </xf>
    <xf numFmtId="0" fontId="28" fillId="0" borderId="13" xfId="0" applyFont="1" applyBorder="1" applyAlignment="1">
      <alignment horizontal="left" wrapText="1"/>
    </xf>
    <xf numFmtId="0" fontId="61" fillId="0" borderId="13" xfId="0" applyFont="1" applyBorder="1" applyAlignment="1">
      <alignment wrapText="1"/>
    </xf>
    <xf numFmtId="0" fontId="4" fillId="14" borderId="0" xfId="0" applyFont="1" applyFill="1" applyAlignment="1">
      <alignment horizontal="left" vertical="top"/>
    </xf>
    <xf numFmtId="0" fontId="4" fillId="0" borderId="0" xfId="0" applyFont="1" applyFill="1" applyAlignment="1">
      <alignment horizontal="center" vertical="top" wrapText="1"/>
    </xf>
    <xf numFmtId="0" fontId="4" fillId="7" borderId="0" xfId="0" applyFont="1" applyFill="1" applyAlignment="1">
      <alignment horizontal="center" vertical="top" wrapText="1"/>
    </xf>
    <xf numFmtId="2" fontId="4" fillId="0" borderId="0" xfId="0" applyNumberFormat="1" applyFont="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4" fillId="0" borderId="0" xfId="0" applyFont="1" applyAlignment="1">
      <alignment horizontal="center" wrapText="1"/>
    </xf>
    <xf numFmtId="0" fontId="4" fillId="3" borderId="0" xfId="0" applyFont="1" applyFill="1" applyAlignment="1">
      <alignment horizontal="center"/>
    </xf>
  </cellXfs>
  <cellStyles count="8">
    <cellStyle name="Komma" xfId="6" builtinId="3"/>
    <cellStyle name="Procent" xfId="1" builtinId="5"/>
    <cellStyle name="Procent 2" xfId="4"/>
    <cellStyle name="Standaard" xfId="0" builtinId="0"/>
    <cellStyle name="Standaard 2" xfId="2"/>
    <cellStyle name="Standaard 2 2" xfId="3"/>
    <cellStyle name="Standaard 3" xfId="5"/>
    <cellStyle name="Standaard 4" xfId="7"/>
  </cellStyles>
  <dxfs count="1">
    <dxf>
      <font>
        <strike val="0"/>
        <condense val="0"/>
        <extend val="0"/>
        <color indexed="9"/>
      </font>
    </dxf>
  </dxfs>
  <tableStyles count="0" defaultTableStyle="TableStyleMedium2" defaultPivotStyle="PivotStyleLight16"/>
  <colors>
    <mruColors>
      <color rgb="FF0070C0"/>
      <color rgb="FF8064A2"/>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0816037724686"/>
          <c:y val="6.5000079345799988E-2"/>
          <c:w val="0.85298936429517458"/>
          <c:h val="0.76250093078726899"/>
        </c:manualLayout>
      </c:layout>
      <c:scatterChart>
        <c:scatterStyle val="lineMarker"/>
        <c:varyColors val="0"/>
        <c:ser>
          <c:idx val="0"/>
          <c:order val="0"/>
          <c:spPr>
            <a:ln w="28575">
              <a:noFill/>
            </a:ln>
          </c:spPr>
          <c:marker>
            <c:symbol val="diamond"/>
            <c:size val="5"/>
            <c:spPr>
              <a:solidFill>
                <a:schemeClr val="tx1"/>
              </a:solidFill>
              <a:ln>
                <a:solidFill>
                  <a:schemeClr val="tx1"/>
                </a:solidFill>
                <a:prstDash val="solid"/>
              </a:ln>
            </c:spPr>
          </c:marker>
          <c:trendline>
            <c:spPr>
              <a:ln w="12700">
                <a:solidFill>
                  <a:srgbClr val="000000"/>
                </a:solidFill>
                <a:prstDash val="solid"/>
              </a:ln>
            </c:spPr>
            <c:trendlineType val="linear"/>
            <c:dispRSqr val="1"/>
            <c:dispEq val="1"/>
            <c:trendlineLbl>
              <c:layout>
                <c:manualLayout>
                  <c:x val="-0.47870810692939947"/>
                  <c:y val="-0.25668305561518373"/>
                </c:manualLayout>
              </c:layout>
              <c:numFmt formatCode="General" sourceLinked="0"/>
              <c:spPr>
                <a:noFill/>
                <a:ln w="25400">
                  <a:noFill/>
                </a:ln>
              </c:spPr>
            </c:trendlineLbl>
          </c:trendline>
          <c:xVal>
            <c:numRef>
              <c:f>kalkoenen!$AO$3:$AO$14</c:f>
              <c:numCache>
                <c:formatCode>General</c:formatCode>
                <c:ptCount val="12"/>
                <c:pt idx="0">
                  <c:v>54</c:v>
                </c:pt>
                <c:pt idx="1">
                  <c:v>90</c:v>
                </c:pt>
                <c:pt idx="2">
                  <c:v>64</c:v>
                </c:pt>
                <c:pt idx="3">
                  <c:v>125</c:v>
                </c:pt>
                <c:pt idx="4">
                  <c:v>61</c:v>
                </c:pt>
                <c:pt idx="5">
                  <c:v>98</c:v>
                </c:pt>
                <c:pt idx="6">
                  <c:v>69</c:v>
                </c:pt>
                <c:pt idx="7">
                  <c:v>111</c:v>
                </c:pt>
                <c:pt idx="8">
                  <c:v>91</c:v>
                </c:pt>
                <c:pt idx="9">
                  <c:v>74</c:v>
                </c:pt>
                <c:pt idx="10">
                  <c:v>118</c:v>
                </c:pt>
                <c:pt idx="11">
                  <c:v>133</c:v>
                </c:pt>
              </c:numCache>
            </c:numRef>
          </c:xVal>
          <c:yVal>
            <c:numRef>
              <c:f>kalkoenen!$AS$3:$AS$14</c:f>
              <c:numCache>
                <c:formatCode>0.00</c:formatCode>
                <c:ptCount val="12"/>
                <c:pt idx="0">
                  <c:v>8.4383948504176569</c:v>
                </c:pt>
                <c:pt idx="1">
                  <c:v>21.892514216060029</c:v>
                </c:pt>
                <c:pt idx="2">
                  <c:v>10.681309645089005</c:v>
                </c:pt>
                <c:pt idx="3">
                  <c:v>12.090430100630579</c:v>
                </c:pt>
                <c:pt idx="4">
                  <c:v>15.837036042177258</c:v>
                </c:pt>
                <c:pt idx="5">
                  <c:v>8.685005985273424</c:v>
                </c:pt>
                <c:pt idx="6">
                  <c:v>11.285299497530604</c:v>
                </c:pt>
                <c:pt idx="7">
                  <c:v>14.95978706551745</c:v>
                </c:pt>
                <c:pt idx="8">
                  <c:v>6.8277914277028628</c:v>
                </c:pt>
                <c:pt idx="9">
                  <c:v>14.506003152914928</c:v>
                </c:pt>
                <c:pt idx="10">
                  <c:v>12.573387613221627</c:v>
                </c:pt>
                <c:pt idx="11">
                  <c:v>13.579929768044039</c:v>
                </c:pt>
              </c:numCache>
            </c:numRef>
          </c:yVal>
          <c:smooth val="0"/>
          <c:extLst>
            <c:ext xmlns:c16="http://schemas.microsoft.com/office/drawing/2014/chart" uri="{C3380CC4-5D6E-409C-BE32-E72D297353CC}">
              <c16:uniqueId val="{00000000-5753-4EDA-B14A-B5BA018A3E85}"/>
            </c:ext>
          </c:extLst>
        </c:ser>
        <c:dLbls>
          <c:showLegendKey val="0"/>
          <c:showVal val="0"/>
          <c:showCatName val="0"/>
          <c:showSerName val="0"/>
          <c:showPercent val="0"/>
          <c:showBubbleSize val="0"/>
        </c:dLbls>
        <c:axId val="584271008"/>
        <c:axId val="584274536"/>
      </c:scatterChart>
      <c:valAx>
        <c:axId val="584271008"/>
        <c:scaling>
          <c:orientation val="minMax"/>
        </c:scaling>
        <c:delete val="0"/>
        <c:axPos val="b"/>
        <c:title>
          <c:tx>
            <c:rich>
              <a:bodyPr/>
              <a:lstStyle/>
              <a:p>
                <a:pPr>
                  <a:defRPr/>
                </a:pPr>
                <a:r>
                  <a:rPr lang="en-GB"/>
                  <a:t>Leeftijd (dagen)</a:t>
                </a:r>
              </a:p>
            </c:rich>
          </c:tx>
          <c:layout>
            <c:manualLayout>
              <c:xMode val="edge"/>
              <c:yMode val="edge"/>
              <c:x val="0.44749630044225086"/>
              <c:y val="0.905001049868766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nl-NL"/>
          </a:p>
        </c:txPr>
        <c:crossAx val="584274536"/>
        <c:crosses val="autoZero"/>
        <c:crossBetween val="midCat"/>
      </c:valAx>
      <c:valAx>
        <c:axId val="584274536"/>
        <c:scaling>
          <c:orientation val="minMax"/>
        </c:scaling>
        <c:delete val="0"/>
        <c:axPos val="l"/>
        <c:title>
          <c:tx>
            <c:rich>
              <a:bodyPr/>
              <a:lstStyle/>
              <a:p>
                <a:pPr>
                  <a:defRPr/>
                </a:pPr>
                <a:r>
                  <a:rPr lang="en-GB"/>
                  <a:t>Ventilatiedebiet (m3/uur/dier)</a:t>
                </a:r>
              </a:p>
            </c:rich>
          </c:tx>
          <c:layout>
            <c:manualLayout>
              <c:xMode val="edge"/>
              <c:yMode val="edge"/>
              <c:x val="1.9386106623586429E-2"/>
              <c:y val="0.179166929133858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5842710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pitchFamily="34" charset="0"/>
          <a:ea typeface="Arial"/>
          <a:cs typeface="Arial"/>
        </a:defRPr>
      </a:pPr>
      <a:endParaRPr lang="nl-NL"/>
    </a:p>
  </c:txPr>
  <c:printSettings>
    <c:headerFooter alignWithMargins="0"/>
    <c:pageMargins b="1" l="0.75" r="0.75" t="1" header="0.5" footer="0.5"/>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8734325094598"/>
          <c:y val="6.5000079345799988E-2"/>
          <c:w val="0.82391018142147543"/>
          <c:h val="0.76250093078726899"/>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 val="-0.33414154134121388"/>
                  <c:y val="-3.2350747736524493E-2"/>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nl-NL"/>
                </a:p>
              </c:txPr>
            </c:trendlineLbl>
          </c:trendline>
          <c:xVal>
            <c:numRef>
              <c:f>kalkoenen!$AO$3:$AO$14</c:f>
              <c:numCache>
                <c:formatCode>General</c:formatCode>
                <c:ptCount val="12"/>
                <c:pt idx="0">
                  <c:v>54</c:v>
                </c:pt>
                <c:pt idx="1">
                  <c:v>90</c:v>
                </c:pt>
                <c:pt idx="2">
                  <c:v>64</c:v>
                </c:pt>
                <c:pt idx="3">
                  <c:v>125</c:v>
                </c:pt>
                <c:pt idx="4">
                  <c:v>61</c:v>
                </c:pt>
                <c:pt idx="5">
                  <c:v>98</c:v>
                </c:pt>
                <c:pt idx="6">
                  <c:v>69</c:v>
                </c:pt>
                <c:pt idx="7">
                  <c:v>111</c:v>
                </c:pt>
                <c:pt idx="8">
                  <c:v>91</c:v>
                </c:pt>
                <c:pt idx="9">
                  <c:v>74</c:v>
                </c:pt>
                <c:pt idx="10">
                  <c:v>118</c:v>
                </c:pt>
                <c:pt idx="11">
                  <c:v>133</c:v>
                </c:pt>
              </c:numCache>
            </c:numRef>
          </c:xVal>
          <c:yVal>
            <c:numRef>
              <c:f>kalkoenen!$AT$3:$AT$14</c:f>
              <c:numCache>
                <c:formatCode>0.000</c:formatCode>
                <c:ptCount val="12"/>
                <c:pt idx="0">
                  <c:v>0.49257920671430411</c:v>
                </c:pt>
                <c:pt idx="1">
                  <c:v>0.65662799333915978</c:v>
                </c:pt>
                <c:pt idx="2">
                  <c:v>0.47481916571088684</c:v>
                </c:pt>
                <c:pt idx="3">
                  <c:v>2.1466313799844992</c:v>
                </c:pt>
                <c:pt idx="4">
                  <c:v>0.98729311099282568</c:v>
                </c:pt>
                <c:pt idx="5">
                  <c:v>1.4735280329055556</c:v>
                </c:pt>
                <c:pt idx="6">
                  <c:v>0.79221823796110202</c:v>
                </c:pt>
                <c:pt idx="7">
                  <c:v>2.5268562240285091</c:v>
                </c:pt>
                <c:pt idx="8">
                  <c:v>1.4158821457420949</c:v>
                </c:pt>
                <c:pt idx="9">
                  <c:v>0.74750414059319792</c:v>
                </c:pt>
                <c:pt idx="10">
                  <c:v>1.8750222195593653</c:v>
                </c:pt>
                <c:pt idx="11">
                  <c:v>1.7300458715371483</c:v>
                </c:pt>
              </c:numCache>
            </c:numRef>
          </c:yVal>
          <c:smooth val="0"/>
          <c:extLst>
            <c:ext xmlns:c16="http://schemas.microsoft.com/office/drawing/2014/chart" uri="{C3380CC4-5D6E-409C-BE32-E72D297353CC}">
              <c16:uniqueId val="{00000000-F7F9-4992-AA03-96158256B201}"/>
            </c:ext>
          </c:extLst>
        </c:ser>
        <c:dLbls>
          <c:showLegendKey val="0"/>
          <c:showVal val="0"/>
          <c:showCatName val="0"/>
          <c:showSerName val="0"/>
          <c:showPercent val="0"/>
          <c:showBubbleSize val="0"/>
        </c:dLbls>
        <c:axId val="477597360"/>
        <c:axId val="477598536"/>
      </c:scatterChart>
      <c:valAx>
        <c:axId val="4775973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Leeftijd (dagen)</a:t>
                </a:r>
              </a:p>
            </c:rich>
          </c:tx>
          <c:layout>
            <c:manualLayout>
              <c:xMode val="edge"/>
              <c:yMode val="edge"/>
              <c:x val="0.46203588040994065"/>
              <c:y val="0.905001049868766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77598536"/>
        <c:crosses val="autoZero"/>
        <c:crossBetween val="midCat"/>
      </c:valAx>
      <c:valAx>
        <c:axId val="47759853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nl-NL"/>
                  <a:t>PM10</a:t>
                </a:r>
              </a:p>
            </c:rich>
          </c:tx>
          <c:layout>
            <c:manualLayout>
              <c:xMode val="edge"/>
              <c:yMode val="edge"/>
              <c:x val="2.5848142164781908E-2"/>
              <c:y val="0.3975005249343832"/>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7759736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Spin" dx="26" fmlaLink="$D$14" inc="10" max="2480" page="10" val="0"/>
</file>

<file path=xl/ctrlProps/ctrlProp2.xml><?xml version="1.0" encoding="utf-8"?>
<formControlPr xmlns="http://schemas.microsoft.com/office/spreadsheetml/2009/9/main" objectType="Spin" dx="26" fmlaLink="$D$19" inc="10" max="2480" page="10" val="0"/>
</file>

<file path=xl/ctrlProps/ctrlProp3.xml><?xml version="1.0" encoding="utf-8"?>
<formControlPr xmlns="http://schemas.microsoft.com/office/spreadsheetml/2009/9/main" objectType="Spin" dx="26" inc="5" max="620" page="10"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293077</xdr:colOff>
      <xdr:row>20</xdr:row>
      <xdr:rowOff>279246</xdr:rowOff>
    </xdr:from>
    <xdr:to>
      <xdr:col>7</xdr:col>
      <xdr:colOff>1974512</xdr:colOff>
      <xdr:row>22</xdr:row>
      <xdr:rowOff>166082</xdr:rowOff>
    </xdr:to>
    <xdr:sp macro="" textlink="">
      <xdr:nvSpPr>
        <xdr:cNvPr id="3" name="Gebogen pijl 2">
          <a:extLst>
            <a:ext uri="{FF2B5EF4-FFF2-40B4-BE49-F238E27FC236}">
              <a16:creationId xmlns:a16="http://schemas.microsoft.com/office/drawing/2014/main" id="{00000000-0008-0000-0000-000003000000}"/>
            </a:ext>
          </a:extLst>
        </xdr:cNvPr>
        <xdr:cNvSpPr/>
      </xdr:nvSpPr>
      <xdr:spPr>
        <a:xfrm rot="5400000">
          <a:off x="4956415" y="5424215"/>
          <a:ext cx="756298" cy="1681435"/>
        </a:xfrm>
        <a:prstGeom prst="bentArrow">
          <a:avLst>
            <a:gd name="adj1" fmla="val 25000"/>
            <a:gd name="adj2" fmla="val 22210"/>
            <a:gd name="adj3" fmla="val 25000"/>
            <a:gd name="adj4" fmla="val 4375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5</xdr:col>
      <xdr:colOff>23082</xdr:colOff>
      <xdr:row>20</xdr:row>
      <xdr:rowOff>39255</xdr:rowOff>
    </xdr:from>
    <xdr:to>
      <xdr:col>11</xdr:col>
      <xdr:colOff>38589</xdr:colOff>
      <xdr:row>21</xdr:row>
      <xdr:rowOff>278861</xdr:rowOff>
    </xdr:to>
    <xdr:sp macro="" textlink="">
      <xdr:nvSpPr>
        <xdr:cNvPr id="5" name="Pijl-rechts 4">
          <a:extLst>
            <a:ext uri="{FF2B5EF4-FFF2-40B4-BE49-F238E27FC236}">
              <a16:creationId xmlns:a16="http://schemas.microsoft.com/office/drawing/2014/main" id="{00000000-0008-0000-0000-000005000000}"/>
            </a:ext>
          </a:extLst>
        </xdr:cNvPr>
        <xdr:cNvSpPr/>
      </xdr:nvSpPr>
      <xdr:spPr>
        <a:xfrm>
          <a:off x="2895236" y="5646793"/>
          <a:ext cx="5818430" cy="747606"/>
        </a:xfrm>
        <a:prstGeom prst="rightArrow">
          <a:avLst/>
        </a:prstGeom>
        <a:solidFill>
          <a:schemeClr val="tx2">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203790</xdr:colOff>
      <xdr:row>7</xdr:row>
      <xdr:rowOff>45720</xdr:rowOff>
    </xdr:from>
    <xdr:to>
      <xdr:col>5</xdr:col>
      <xdr:colOff>-1</xdr:colOff>
      <xdr:row>12</xdr:row>
      <xdr:rowOff>0</xdr:rowOff>
    </xdr:to>
    <xdr:sp macro="" textlink="">
      <xdr:nvSpPr>
        <xdr:cNvPr id="6" name="Gelijkbenige driehoek 5">
          <a:extLst>
            <a:ext uri="{FF2B5EF4-FFF2-40B4-BE49-F238E27FC236}">
              <a16:creationId xmlns:a16="http://schemas.microsoft.com/office/drawing/2014/main" id="{00000000-0008-0000-0000-000006000000}"/>
            </a:ext>
          </a:extLst>
        </xdr:cNvPr>
        <xdr:cNvSpPr/>
      </xdr:nvSpPr>
      <xdr:spPr>
        <a:xfrm>
          <a:off x="447630" y="1706880"/>
          <a:ext cx="2379389" cy="1874520"/>
        </a:xfrm>
        <a:prstGeom prst="triangle">
          <a:avLst>
            <a:gd name="adj" fmla="val 50000"/>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3447</xdr:colOff>
      <xdr:row>12</xdr:row>
      <xdr:rowOff>1</xdr:rowOff>
    </xdr:from>
    <xdr:to>
      <xdr:col>5</xdr:col>
      <xdr:colOff>0</xdr:colOff>
      <xdr:row>22</xdr:row>
      <xdr:rowOff>235858</xdr:rowOff>
    </xdr:to>
    <xdr:sp macro="" textlink="">
      <xdr:nvSpPr>
        <xdr:cNvPr id="7" name="Rechthoek 6">
          <a:extLst>
            <a:ext uri="{FF2B5EF4-FFF2-40B4-BE49-F238E27FC236}">
              <a16:creationId xmlns:a16="http://schemas.microsoft.com/office/drawing/2014/main" id="{00000000-0008-0000-0000-000007000000}"/>
            </a:ext>
          </a:extLst>
        </xdr:cNvPr>
        <xdr:cNvSpPr/>
      </xdr:nvSpPr>
      <xdr:spPr>
        <a:xfrm>
          <a:off x="466090" y="2966358"/>
          <a:ext cx="2418624" cy="32657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5715</xdr:colOff>
      <xdr:row>12</xdr:row>
      <xdr:rowOff>201084</xdr:rowOff>
    </xdr:from>
    <xdr:to>
      <xdr:col>6</xdr:col>
      <xdr:colOff>628651</xdr:colOff>
      <xdr:row>14</xdr:row>
      <xdr:rowOff>132504</xdr:rowOff>
    </xdr:to>
    <xdr:sp macro="" textlink="">
      <xdr:nvSpPr>
        <xdr:cNvPr id="8" name="Pijl-rechts 7">
          <a:extLst>
            <a:ext uri="{FF2B5EF4-FFF2-40B4-BE49-F238E27FC236}">
              <a16:creationId xmlns:a16="http://schemas.microsoft.com/office/drawing/2014/main" id="{00000000-0008-0000-0000-000008000000}"/>
            </a:ext>
          </a:extLst>
        </xdr:cNvPr>
        <xdr:cNvSpPr/>
      </xdr:nvSpPr>
      <xdr:spPr>
        <a:xfrm>
          <a:off x="2877869" y="3698469"/>
          <a:ext cx="1297013" cy="498035"/>
        </a:xfrm>
        <a:prstGeom prst="rightArrow">
          <a:avLst/>
        </a:prstGeom>
        <a:solidFill>
          <a:srgbClr val="FFFF00">
            <a:alpha val="4392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9770</xdr:colOff>
      <xdr:row>9</xdr:row>
      <xdr:rowOff>138699</xdr:rowOff>
    </xdr:from>
    <xdr:to>
      <xdr:col>15</xdr:col>
      <xdr:colOff>2171703</xdr:colOff>
      <xdr:row>11</xdr:row>
      <xdr:rowOff>91840</xdr:rowOff>
    </xdr:to>
    <xdr:sp macro="" textlink="">
      <xdr:nvSpPr>
        <xdr:cNvPr id="11" name="Pijl-omhoog 10">
          <a:extLst>
            <a:ext uri="{FF2B5EF4-FFF2-40B4-BE49-F238E27FC236}">
              <a16:creationId xmlns:a16="http://schemas.microsoft.com/office/drawing/2014/main" id="{00000000-0008-0000-0000-00000B000000}"/>
            </a:ext>
          </a:extLst>
        </xdr:cNvPr>
        <xdr:cNvSpPr/>
      </xdr:nvSpPr>
      <xdr:spPr>
        <a:xfrm rot="5400000">
          <a:off x="10739178" y="-2246809"/>
          <a:ext cx="429391" cy="9200908"/>
        </a:xfrm>
        <a:prstGeom prst="upArrow">
          <a:avLst/>
        </a:prstGeom>
        <a:solidFill>
          <a:schemeClr val="accent5">
            <a:lumMod val="20000"/>
            <a:lumOff val="80000"/>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1615996</xdr:colOff>
      <xdr:row>19</xdr:row>
      <xdr:rowOff>293077</xdr:rowOff>
    </xdr:from>
    <xdr:to>
      <xdr:col>16</xdr:col>
      <xdr:colOff>9525</xdr:colOff>
      <xdr:row>23</xdr:row>
      <xdr:rowOff>172426</xdr:rowOff>
    </xdr:to>
    <xdr:sp macro="" textlink="">
      <xdr:nvSpPr>
        <xdr:cNvPr id="12" name="Gebogen pijl 11">
          <a:extLst>
            <a:ext uri="{FF2B5EF4-FFF2-40B4-BE49-F238E27FC236}">
              <a16:creationId xmlns:a16="http://schemas.microsoft.com/office/drawing/2014/main" id="{00000000-0008-0000-0000-00000C000000}"/>
            </a:ext>
          </a:extLst>
        </xdr:cNvPr>
        <xdr:cNvSpPr/>
      </xdr:nvSpPr>
      <xdr:spPr>
        <a:xfrm rot="10800000" flipH="1">
          <a:off x="5749846" y="4941277"/>
          <a:ext cx="7347029" cy="1250949"/>
        </a:xfrm>
        <a:prstGeom prst="bentArrow">
          <a:avLst>
            <a:gd name="adj1" fmla="val 25000"/>
            <a:gd name="adj2" fmla="val 21747"/>
            <a:gd name="adj3" fmla="val 25000"/>
            <a:gd name="adj4" fmla="val 4375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11</xdr:col>
      <xdr:colOff>1127352</xdr:colOff>
      <xdr:row>26</xdr:row>
      <xdr:rowOff>86741</xdr:rowOff>
    </xdr:from>
    <xdr:to>
      <xdr:col>14</xdr:col>
      <xdr:colOff>145677</xdr:colOff>
      <xdr:row>29</xdr:row>
      <xdr:rowOff>324970</xdr:rowOff>
    </xdr:to>
    <xdr:sp macro="[0]!Macro1" textlink="">
      <xdr:nvSpPr>
        <xdr:cNvPr id="13" name="Afgeronde rechthoek 12">
          <a:extLst>
            <a:ext uri="{FF2B5EF4-FFF2-40B4-BE49-F238E27FC236}">
              <a16:creationId xmlns:a16="http://schemas.microsoft.com/office/drawing/2014/main" id="{00000000-0008-0000-0000-00000D000000}"/>
            </a:ext>
          </a:extLst>
        </xdr:cNvPr>
        <xdr:cNvSpPr/>
      </xdr:nvSpPr>
      <xdr:spPr>
        <a:xfrm>
          <a:off x="9767087" y="6765447"/>
          <a:ext cx="2178384" cy="910582"/>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Opslaan als PDF</a:t>
          </a:r>
        </a:p>
        <a:p>
          <a:pPr algn="l"/>
          <a:r>
            <a:rPr lang="en-GB" sz="1400"/>
            <a:t>(</a:t>
          </a:r>
          <a:r>
            <a:rPr lang="en-GB" sz="1200"/>
            <a:t>Sla eerst </a:t>
          </a:r>
          <a:r>
            <a:rPr lang="en-GB" sz="1200" baseline="0"/>
            <a:t>Excelfile op. PDF komt in dezelfde map.)</a:t>
          </a:r>
          <a:r>
            <a:rPr lang="en-GB" sz="1400"/>
            <a:t> </a:t>
          </a:r>
        </a:p>
      </xdr:txBody>
    </xdr:sp>
    <xdr:clientData/>
  </xdr:twoCellAnchor>
  <xdr:twoCellAnchor editAs="oneCell">
    <xdr:from>
      <xdr:col>12</xdr:col>
      <xdr:colOff>23735</xdr:colOff>
      <xdr:row>29</xdr:row>
      <xdr:rowOff>150724</xdr:rowOff>
    </xdr:from>
    <xdr:to>
      <xdr:col>13</xdr:col>
      <xdr:colOff>49384</xdr:colOff>
      <xdr:row>30</xdr:row>
      <xdr:rowOff>37200</xdr:rowOff>
    </xdr:to>
    <xdr:pic macro="[0]!Macro1">
      <xdr:nvPicPr>
        <xdr:cNvPr id="14" name="Afbeelding 13" descr="Afbeeldingsresultaat voor handje muisklik">
          <a:extLst>
            <a:ext uri="{FF2B5EF4-FFF2-40B4-BE49-F238E27FC236}">
              <a16:creationId xmlns:a16="http://schemas.microsoft.com/office/drawing/2014/main" id="{00000000-0008-0000-0000-00000E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31" t="49567"/>
        <a:stretch/>
      </xdr:blipFill>
      <xdr:spPr bwMode="auto">
        <a:xfrm>
          <a:off x="10803794" y="7501783"/>
          <a:ext cx="440266" cy="438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243354</xdr:colOff>
      <xdr:row>26</xdr:row>
      <xdr:rowOff>14645</xdr:rowOff>
    </xdr:from>
    <xdr:to>
      <xdr:col>11</xdr:col>
      <xdr:colOff>38100</xdr:colOff>
      <xdr:row>29</xdr:row>
      <xdr:rowOff>335182</xdr:rowOff>
    </xdr:to>
    <xdr:pic>
      <xdr:nvPicPr>
        <xdr:cNvPr id="15" name="Afbeelding 14">
          <a:extLst>
            <a:ext uri="{FF2B5EF4-FFF2-40B4-BE49-F238E27FC236}">
              <a16:creationId xmlns:a16="http://schemas.microsoft.com/office/drawing/2014/main" id="{00000000-0008-0000-0000-00000F000000}"/>
            </a:ext>
          </a:extLst>
        </xdr:cNvPr>
        <xdr:cNvPicPr/>
      </xdr:nvPicPr>
      <xdr:blipFill rotWithShape="1">
        <a:blip xmlns:r="http://schemas.openxmlformats.org/officeDocument/2006/relationships" r:embed="rId2"/>
        <a:srcRect l="8846" t="26044" r="79683" b="33170"/>
        <a:stretch/>
      </xdr:blipFill>
      <xdr:spPr bwMode="auto">
        <a:xfrm>
          <a:off x="8101479" y="6720245"/>
          <a:ext cx="585321" cy="996811"/>
        </a:xfrm>
        <a:prstGeom prst="rect">
          <a:avLst/>
        </a:prstGeom>
        <a:ln>
          <a:noFill/>
        </a:ln>
        <a:extLst>
          <a:ext uri="{53640926-AAD7-44D8-BBD7-CCE9431645EC}">
            <a14:shadowObscured xmlns:a14="http://schemas.microsoft.com/office/drawing/2010/main"/>
          </a:ext>
        </a:extLst>
      </xdr:spPr>
    </xdr:pic>
    <xdr:clientData/>
  </xdr:twoCellAnchor>
  <xdr:twoCellAnchor>
    <xdr:from>
      <xdr:col>11</xdr:col>
      <xdr:colOff>2145501</xdr:colOff>
      <xdr:row>17</xdr:row>
      <xdr:rowOff>120318</xdr:rowOff>
    </xdr:from>
    <xdr:to>
      <xdr:col>15</xdr:col>
      <xdr:colOff>2175711</xdr:colOff>
      <xdr:row>18</xdr:row>
      <xdr:rowOff>228091</xdr:rowOff>
    </xdr:to>
    <xdr:sp macro="" textlink="">
      <xdr:nvSpPr>
        <xdr:cNvPr id="16" name="Pijl-omhoog 15">
          <a:extLst>
            <a:ext uri="{FF2B5EF4-FFF2-40B4-BE49-F238E27FC236}">
              <a16:creationId xmlns:a16="http://schemas.microsoft.com/office/drawing/2014/main" id="{00000000-0008-0000-0000-000010000000}"/>
            </a:ext>
          </a:extLst>
        </xdr:cNvPr>
        <xdr:cNvSpPr/>
      </xdr:nvSpPr>
      <xdr:spPr>
        <a:xfrm rot="5400000">
          <a:off x="12980259" y="1968850"/>
          <a:ext cx="368457" cy="4772657"/>
        </a:xfrm>
        <a:prstGeom prst="upArrow">
          <a:avLst/>
        </a:prstGeom>
        <a:solidFill>
          <a:schemeClr val="accent5">
            <a:lumMod val="20000"/>
            <a:lumOff val="80000"/>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6</xdr:col>
          <xdr:colOff>76200</xdr:colOff>
          <xdr:row>11</xdr:row>
          <xdr:rowOff>47625</xdr:rowOff>
        </xdr:from>
        <xdr:to>
          <xdr:col>6</xdr:col>
          <xdr:colOff>361950</xdr:colOff>
          <xdr:row>13</xdr:row>
          <xdr:rowOff>19050</xdr:rowOff>
        </xdr:to>
        <xdr:sp macro="" textlink="">
          <xdr:nvSpPr>
            <xdr:cNvPr id="3077" name="Spinner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5</xdr:col>
      <xdr:colOff>19050</xdr:colOff>
      <xdr:row>18</xdr:row>
      <xdr:rowOff>284529</xdr:rowOff>
    </xdr:from>
    <xdr:to>
      <xdr:col>7</xdr:col>
      <xdr:colOff>3811</xdr:colOff>
      <xdr:row>20</xdr:row>
      <xdr:rowOff>92124</xdr:rowOff>
    </xdr:to>
    <xdr:sp macro="" textlink="">
      <xdr:nvSpPr>
        <xdr:cNvPr id="19" name="Pijl-rechts 18">
          <a:extLst>
            <a:ext uri="{FF2B5EF4-FFF2-40B4-BE49-F238E27FC236}">
              <a16:creationId xmlns:a16="http://schemas.microsoft.com/office/drawing/2014/main" id="{00000000-0008-0000-0000-000013000000}"/>
            </a:ext>
          </a:extLst>
        </xdr:cNvPr>
        <xdr:cNvSpPr/>
      </xdr:nvSpPr>
      <xdr:spPr>
        <a:xfrm>
          <a:off x="2891204" y="5276606"/>
          <a:ext cx="1313376" cy="491441"/>
        </a:xfrm>
        <a:prstGeom prst="rightArrow">
          <a:avLst/>
        </a:prstGeom>
        <a:solidFill>
          <a:srgbClr val="FFFF00">
            <a:alpha val="4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6</xdr:col>
          <xdr:colOff>19050</xdr:colOff>
          <xdr:row>17</xdr:row>
          <xdr:rowOff>209550</xdr:rowOff>
        </xdr:from>
        <xdr:to>
          <xdr:col>6</xdr:col>
          <xdr:colOff>323850</xdr:colOff>
          <xdr:row>19</xdr:row>
          <xdr:rowOff>38100</xdr:rowOff>
        </xdr:to>
        <xdr:sp macro="" textlink="">
          <xdr:nvSpPr>
            <xdr:cNvPr id="3080" name="Spinner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8</xdr:col>
      <xdr:colOff>19537</xdr:colOff>
      <xdr:row>13</xdr:row>
      <xdr:rowOff>28615</xdr:rowOff>
    </xdr:from>
    <xdr:to>
      <xdr:col>11</xdr:col>
      <xdr:colOff>1299305</xdr:colOff>
      <xdr:row>17</xdr:row>
      <xdr:rowOff>38382</xdr:rowOff>
    </xdr:to>
    <xdr:sp macro="" textlink="">
      <xdr:nvSpPr>
        <xdr:cNvPr id="22" name="Gebogen pijl 2">
          <a:extLst>
            <a:ext uri="{FF2B5EF4-FFF2-40B4-BE49-F238E27FC236}">
              <a16:creationId xmlns:a16="http://schemas.microsoft.com/office/drawing/2014/main" id="{00000000-0008-0000-0000-000016000000}"/>
            </a:ext>
          </a:extLst>
        </xdr:cNvPr>
        <xdr:cNvSpPr/>
      </xdr:nvSpPr>
      <xdr:spPr>
        <a:xfrm rot="5400000">
          <a:off x="7742115" y="1977576"/>
          <a:ext cx="1094152" cy="3624383"/>
        </a:xfrm>
        <a:prstGeom prst="bentArrow">
          <a:avLst>
            <a:gd name="adj1" fmla="val 25000"/>
            <a:gd name="adj2" fmla="val 31654"/>
            <a:gd name="adj3" fmla="val 25000"/>
            <a:gd name="adj4" fmla="val 43750"/>
          </a:avLst>
        </a:prstGeom>
        <a:solidFill>
          <a:schemeClr val="accent1">
            <a:alpha val="6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15</xdr:col>
          <xdr:colOff>1657350</xdr:colOff>
          <xdr:row>6</xdr:row>
          <xdr:rowOff>57150</xdr:rowOff>
        </xdr:from>
        <xdr:to>
          <xdr:col>15</xdr:col>
          <xdr:colOff>1924050</xdr:colOff>
          <xdr:row>8</xdr:row>
          <xdr:rowOff>171450</xdr:rowOff>
        </xdr:to>
        <xdr:sp macro="" textlink="">
          <xdr:nvSpPr>
            <xdr:cNvPr id="3093" name="Spinner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147954</xdr:colOff>
      <xdr:row>15</xdr:row>
      <xdr:rowOff>245432</xdr:rowOff>
    </xdr:from>
    <xdr:to>
      <xdr:col>6</xdr:col>
      <xdr:colOff>2221</xdr:colOff>
      <xdr:row>17</xdr:row>
      <xdr:rowOff>243208</xdr:rowOff>
    </xdr:to>
    <xdr:pic macro="[0]!ZetventilatieWWenstoffilteropnul">
      <xdr:nvPicPr>
        <xdr:cNvPr id="21" name="Afbeelding 13" descr="Afbeeldingsresultaat voor handje muisklik">
          <a:extLst>
            <a:ext uri="{FF2B5EF4-FFF2-40B4-BE49-F238E27FC236}">
              <a16:creationId xmlns:a16="http://schemas.microsoft.com/office/drawing/2014/main" id="{00000000-0008-0000-0000-00001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31" t="49567"/>
        <a:stretch/>
      </xdr:blipFill>
      <xdr:spPr bwMode="auto">
        <a:xfrm rot="10800000">
          <a:off x="2976879" y="3779207"/>
          <a:ext cx="521017" cy="493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485775</xdr:colOff>
      <xdr:row>6</xdr:row>
      <xdr:rowOff>161925</xdr:rowOff>
    </xdr:from>
    <xdr:to>
      <xdr:col>4</xdr:col>
      <xdr:colOff>1828067</xdr:colOff>
      <xdr:row>11</xdr:row>
      <xdr:rowOff>194881</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3"/>
        <a:srcRect r="35823"/>
        <a:stretch/>
      </xdr:blipFill>
      <xdr:spPr>
        <a:xfrm>
          <a:off x="2286000" y="1571625"/>
          <a:ext cx="1342292" cy="1099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266700</xdr:colOff>
      <xdr:row>15</xdr:row>
      <xdr:rowOff>28575</xdr:rowOff>
    </xdr:from>
    <xdr:to>
      <xdr:col>47</xdr:col>
      <xdr:colOff>66675</xdr:colOff>
      <xdr:row>38</xdr:row>
      <xdr:rowOff>114300</xdr:rowOff>
    </xdr:to>
    <xdr:graphicFrame macro="">
      <xdr:nvGraphicFramePr>
        <xdr:cNvPr id="2078" name="Grafiek 2">
          <a:extLst>
            <a:ext uri="{FF2B5EF4-FFF2-40B4-BE49-F238E27FC236}">
              <a16:creationId xmlns:a16="http://schemas.microsoft.com/office/drawing/2014/main" id="{00000000-0008-0000-0500-00001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47</xdr:col>
      <xdr:colOff>266700</xdr:colOff>
      <xdr:row>15</xdr:row>
      <xdr:rowOff>57150</xdr:rowOff>
    </xdr:from>
    <xdr:to>
      <xdr:col>57</xdr:col>
      <xdr:colOff>66675</xdr:colOff>
      <xdr:row>38</xdr:row>
      <xdr:rowOff>142875</xdr:rowOff>
    </xdr:to>
    <xdr:graphicFrame macro="">
      <xdr:nvGraphicFramePr>
        <xdr:cNvPr id="2079" name="Grafiek 3">
          <a:extLst>
            <a:ext uri="{FF2B5EF4-FFF2-40B4-BE49-F238E27FC236}">
              <a16:creationId xmlns:a16="http://schemas.microsoft.com/office/drawing/2014/main" id="{00000000-0008-0000-0500-00001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W69"/>
  <sheetViews>
    <sheetView showGridLines="0" tabSelected="1" zoomScale="76" zoomScaleNormal="76" zoomScaleSheetLayoutView="80" workbookViewId="0">
      <selection activeCell="L20" sqref="L20"/>
    </sheetView>
  </sheetViews>
  <sheetFormatPr defaultColWidth="8.85546875" defaultRowHeight="15.75" x14ac:dyDescent="0.25"/>
  <cols>
    <col min="1" max="1" width="1" style="37" customWidth="1"/>
    <col min="2" max="2" width="2.5703125" style="37" customWidth="1"/>
    <col min="3" max="3" width="3" style="37" customWidth="1"/>
    <col min="4" max="4" width="12.140625" style="37" hidden="1" customWidth="1"/>
    <col min="5" max="5" width="34.7109375" style="37" customWidth="1"/>
    <col min="6" max="6" width="9.7109375" style="37" customWidth="1"/>
    <col min="7" max="7" width="9.28515625" style="37" customWidth="1"/>
    <col min="8" max="8" width="32.28515625" style="37" customWidth="1"/>
    <col min="9" max="9" width="12.85546875" style="37" customWidth="1"/>
    <col min="10" max="10" width="9.140625" style="37" customWidth="1"/>
    <col min="11" max="11" width="11.5703125" style="37" customWidth="1"/>
    <col min="12" max="12" width="31.28515625" style="37" customWidth="1"/>
    <col min="13" max="13" width="6" style="37" customWidth="1"/>
    <col min="14" max="14" width="12.7109375" style="37" customWidth="1"/>
    <col min="15" max="15" width="19.140625" style="37" customWidth="1"/>
    <col min="16" max="16" width="31.85546875" style="37" customWidth="1"/>
    <col min="17" max="17" width="14.7109375" style="37" customWidth="1"/>
    <col min="18" max="18" width="4.28515625" style="37" customWidth="1"/>
    <col min="19" max="20" width="9.7109375" style="37" bestFit="1" customWidth="1"/>
    <col min="21" max="16384" width="8.85546875" style="37"/>
  </cols>
  <sheetData>
    <row r="1" spans="1:49" ht="25.15" customHeight="1" x14ac:dyDescent="0.4">
      <c r="A1" s="209"/>
      <c r="B1" s="209"/>
      <c r="C1" s="209"/>
      <c r="D1" s="209"/>
      <c r="E1" s="210" t="s">
        <v>222</v>
      </c>
      <c r="F1" s="209"/>
      <c r="G1" s="209"/>
      <c r="H1" s="209"/>
      <c r="I1" s="209"/>
      <c r="J1" s="209"/>
      <c r="K1" s="211" t="s">
        <v>144</v>
      </c>
      <c r="L1" s="209"/>
      <c r="M1" s="85"/>
      <c r="N1" s="85"/>
      <c r="O1" s="85"/>
      <c r="P1" s="85"/>
      <c r="Q1" s="85"/>
      <c r="R1" s="209"/>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row>
    <row r="2" spans="1:49" ht="6" customHeight="1" thickBot="1" x14ac:dyDescent="0.3">
      <c r="A2" s="209"/>
      <c r="B2" s="209"/>
      <c r="C2" s="209"/>
      <c r="D2" s="209"/>
      <c r="E2" s="209"/>
      <c r="F2" s="209"/>
      <c r="G2" s="209"/>
      <c r="H2" s="209"/>
      <c r="I2" s="209"/>
      <c r="J2" s="209"/>
      <c r="K2" s="209"/>
      <c r="L2" s="209"/>
      <c r="M2" s="85"/>
      <c r="N2" s="85"/>
      <c r="O2" s="85"/>
      <c r="P2" s="85"/>
      <c r="Q2" s="85"/>
      <c r="R2" s="209"/>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row>
    <row r="3" spans="1:49" ht="18" customHeight="1" thickBot="1" x14ac:dyDescent="0.35">
      <c r="F3" s="93"/>
      <c r="G3" s="93"/>
      <c r="H3" s="259" t="s">
        <v>224</v>
      </c>
      <c r="I3" s="244"/>
      <c r="J3" s="244"/>
      <c r="K3" s="244"/>
      <c r="L3" s="244"/>
      <c r="M3" s="244"/>
      <c r="N3" s="244"/>
      <c r="O3" s="244"/>
      <c r="P3" s="244"/>
      <c r="Q3" s="245"/>
      <c r="R3" s="93"/>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row>
    <row r="4" spans="1:49" ht="18" customHeight="1" x14ac:dyDescent="0.3">
      <c r="E4" s="240" t="s">
        <v>223</v>
      </c>
      <c r="F4" s="103" t="s">
        <v>139</v>
      </c>
      <c r="H4" s="248" t="s">
        <v>213</v>
      </c>
      <c r="I4" s="254"/>
      <c r="J4" s="254"/>
      <c r="K4" s="254"/>
      <c r="L4" s="254"/>
      <c r="M4" s="254"/>
      <c r="N4" s="254"/>
      <c r="O4" s="254"/>
      <c r="P4" s="254"/>
      <c r="Q4" s="257"/>
      <c r="R4" s="93"/>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row>
    <row r="5" spans="1:49" ht="18" customHeight="1" x14ac:dyDescent="0.3">
      <c r="E5" s="241" t="s">
        <v>223</v>
      </c>
      <c r="F5" s="104" t="s">
        <v>140</v>
      </c>
      <c r="H5" s="246" t="s">
        <v>214</v>
      </c>
      <c r="I5" s="255"/>
      <c r="J5" s="255"/>
      <c r="K5" s="255"/>
      <c r="L5" s="255"/>
      <c r="M5" s="255"/>
      <c r="N5" s="255"/>
      <c r="O5" s="255"/>
      <c r="P5" s="255"/>
      <c r="Q5" s="247"/>
      <c r="R5" s="93"/>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row>
    <row r="6" spans="1:49" ht="17.45" customHeight="1" thickBot="1" x14ac:dyDescent="0.35">
      <c r="D6" s="37" t="s">
        <v>221</v>
      </c>
      <c r="E6" s="105">
        <f ca="1">TODAY()</f>
        <v>44267</v>
      </c>
      <c r="F6" s="106" t="s">
        <v>3</v>
      </c>
      <c r="H6" s="248" t="s">
        <v>215</v>
      </c>
      <c r="I6" s="256"/>
      <c r="J6" s="256"/>
      <c r="K6" s="256"/>
      <c r="L6" s="256"/>
      <c r="M6" s="256"/>
      <c r="N6" s="256"/>
      <c r="O6" s="256"/>
      <c r="P6" s="256"/>
      <c r="Q6" s="249"/>
      <c r="R6" s="93"/>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row>
    <row r="7" spans="1:49" ht="18" customHeight="1" thickBot="1" x14ac:dyDescent="0.35">
      <c r="D7" s="37" t="s">
        <v>219</v>
      </c>
      <c r="E7" s="37" t="s">
        <v>33</v>
      </c>
      <c r="H7" s="250" t="s">
        <v>216</v>
      </c>
      <c r="I7" s="251"/>
      <c r="J7" s="251"/>
      <c r="K7" s="252"/>
      <c r="L7" s="251"/>
      <c r="M7" s="252"/>
      <c r="N7" s="252"/>
      <c r="O7" s="252"/>
      <c r="P7" s="252"/>
      <c r="Q7" s="253"/>
      <c r="R7" s="93"/>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row>
    <row r="8" spans="1:49" ht="13.15" customHeight="1" thickBot="1" x14ac:dyDescent="0.3">
      <c r="D8" s="37" t="s">
        <v>220</v>
      </c>
      <c r="F8" s="102"/>
      <c r="H8" s="227"/>
      <c r="I8" s="228"/>
      <c r="J8" s="229"/>
      <c r="K8" s="229"/>
      <c r="R8" s="93"/>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row>
    <row r="9" spans="1:49" ht="15" customHeight="1" thickBot="1" x14ac:dyDescent="0.4">
      <c r="E9" s="56"/>
      <c r="F9" s="236"/>
      <c r="H9" s="230"/>
      <c r="I9" s="229"/>
      <c r="J9" s="229"/>
      <c r="K9" s="229"/>
      <c r="L9" s="277"/>
      <c r="M9" s="278"/>
      <c r="N9" s="278"/>
      <c r="O9" s="91"/>
      <c r="Q9" s="267" t="s">
        <v>141</v>
      </c>
      <c r="R9" s="93"/>
      <c r="S9" s="85"/>
      <c r="T9" s="186"/>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row>
    <row r="10" spans="1:49" ht="19.899999999999999" customHeight="1" x14ac:dyDescent="0.3">
      <c r="C10" s="83" t="s">
        <v>127</v>
      </c>
      <c r="E10" s="56"/>
      <c r="H10" s="216" t="str">
        <f>IF(F14+H16=0,"Geen warmtewisselaar","Warmtewisselaar")</f>
        <v>Geen warmtewisselaar</v>
      </c>
      <c r="I10" s="78"/>
      <c r="J10" s="76"/>
      <c r="L10" s="82"/>
      <c r="Q10" s="268"/>
      <c r="R10" s="93"/>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row>
    <row r="11" spans="1:49" ht="18" customHeight="1" thickBot="1" x14ac:dyDescent="0.3">
      <c r="F11" s="58"/>
      <c r="H11" s="215" t="str">
        <f>IF(H10="warmtewisselaar","Reductiepercentage WW 80%","   ")</f>
        <v xml:space="preserve">   </v>
      </c>
      <c r="I11" s="54"/>
      <c r="J11" s="53">
        <f>IF(L20="geen techniek",F14+H16,IF(J13="ja",0,F14+H16))</f>
        <v>0</v>
      </c>
      <c r="K11" s="166" t="s">
        <v>209</v>
      </c>
      <c r="L11" s="270" t="str">
        <f>IF(L20="Biofilter",IF(F11+J14&gt;0,"Combinatie met warmtewisselaar is niet zinvol","     "),IF(L20="bio wasser 60%",IF(F11+J14&gt;0,"Combinatie met warmtewisselaar is niet zinvol","   "),IF(L20="bio wasser 75%",IF(F11+J14&gt;0,"Combinatie met warmtewisselaar is niet zinvol","   "),"   ")))</f>
        <v xml:space="preserve">   </v>
      </c>
      <c r="M11" s="271"/>
      <c r="N11" s="271"/>
      <c r="O11" s="271"/>
      <c r="Q11" s="268"/>
      <c r="R11" s="93"/>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row>
    <row r="12" spans="1:49" ht="19.149999999999999" customHeight="1" thickBot="1" x14ac:dyDescent="0.3">
      <c r="H12" s="185">
        <f>(IF(H15="nee",IF(E14="hennen",'wisselend debiet &amp; reductie_hen'!$O$8*(1-E23),'wisselend debiet &amp;reductie_haan'!$O$8*(1-E23)),IF(H15="ja",IF(E14="hennen",('wisselend debiet &amp; reductie_hen'!$Q$8*(1-E23)),('wisselend debiet &amp;reductie_haan'!$Q$8*(1-E23))))))</f>
        <v>0</v>
      </c>
      <c r="I12" s="196" t="str">
        <f>"Lucht WW door overige techniek?"</f>
        <v>Lucht WW door overige techniek?</v>
      </c>
      <c r="J12" s="197"/>
      <c r="K12" s="198"/>
      <c r="L12" s="271"/>
      <c r="M12" s="271"/>
      <c r="N12" s="271"/>
      <c r="O12" s="271"/>
      <c r="Q12" s="268"/>
      <c r="R12" s="93"/>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row>
    <row r="13" spans="1:49" ht="19.149999999999999" customHeight="1" x14ac:dyDescent="0.35">
      <c r="E13" s="161" t="s">
        <v>217</v>
      </c>
      <c r="H13" s="214" t="s">
        <v>199</v>
      </c>
      <c r="I13" s="194"/>
      <c r="J13" s="195" t="s">
        <v>112</v>
      </c>
      <c r="L13" s="271"/>
      <c r="M13" s="271"/>
      <c r="N13" s="271"/>
      <c r="O13" s="271"/>
      <c r="Q13" s="268"/>
      <c r="R13" s="93"/>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row>
    <row r="14" spans="1:49" ht="21" customHeight="1" x14ac:dyDescent="0.25">
      <c r="D14" s="182">
        <v>0</v>
      </c>
      <c r="E14" s="260" t="s">
        <v>221</v>
      </c>
      <c r="F14" s="180">
        <f>MAX(0,IF(D14+D19&gt;J25*100,(J25-F20),D14/100))</f>
        <v>0</v>
      </c>
      <c r="G14" s="37" t="s">
        <v>209</v>
      </c>
      <c r="H14" s="215" t="str">
        <f>IF(F14=0,"    ","Reductie% stoffilter 99%")</f>
        <v xml:space="preserve">    </v>
      </c>
      <c r="J14" s="184">
        <f>IF(L20="geen techniek",0,IF(J13="ja",F14+H16,0))</f>
        <v>0</v>
      </c>
      <c r="K14" s="183" t="s">
        <v>209</v>
      </c>
      <c r="Q14" s="268"/>
      <c r="R14" s="93"/>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row>
    <row r="15" spans="1:49" ht="34.15" customHeight="1" thickBot="1" x14ac:dyDescent="0.35">
      <c r="D15" s="182">
        <v>75</v>
      </c>
      <c r="E15" s="260" t="s">
        <v>112</v>
      </c>
      <c r="F15" s="37" t="s">
        <v>197</v>
      </c>
      <c r="H15" s="79" t="s">
        <v>112</v>
      </c>
      <c r="I15" s="279" t="str">
        <f>IF(J13="nee","     ",IF(L20="geen techniek",IF(J13="ja","Indien 'geen techniek', dan is er geen luchtstroom"),"   "))</f>
        <v xml:space="preserve">     </v>
      </c>
      <c r="J15" s="280"/>
      <c r="K15" s="280"/>
      <c r="M15" s="275" t="str">
        <f>IF(J11=0,"   ",IF(L20="chemische wasser 35%","Alle lucht moet door overige techniek vanwege ammoniak en/of geur",IF(L20="chemische wasser 70%","Alle lucht moet door overige techniek vanwege ammoniak en/of geur",IF(L20="Bio wasser 60%","Alle lucht moet door overige techniek vanwege ammoniak en/of geur",IF(L20="Bio wasser 75%","Alle lucht moet door overige techniek vanwege ammoniak en/of geur",IF(L20="Biofilter","Alle lucht moet door overige techniek vanwege ammoniak en/of geur","   "))))))</f>
        <v xml:space="preserve">   </v>
      </c>
      <c r="N15" s="276"/>
      <c r="O15" s="276"/>
      <c r="P15" s="289"/>
      <c r="Q15" s="268"/>
      <c r="R15" s="93"/>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row>
    <row r="16" spans="1:49" ht="19.5" customHeight="1" thickBot="1" x14ac:dyDescent="0.3">
      <c r="E16" s="261" t="s">
        <v>112</v>
      </c>
      <c r="F16" s="239" t="e">
        <f>F14/J25</f>
        <v>#DIV/0!</v>
      </c>
      <c r="G16" s="281" t="str">
        <f>IF(F14&gt;0,"Zet ventilatie door WW en/of stoffilter in 1 klik op 0 m3",IF(F20&gt;0,"Zet ventilatie door WW en/of stoffilter in 1 klik op 0 m3","  "))</f>
        <v xml:space="preserve">  </v>
      </c>
      <c r="H16" s="282"/>
      <c r="I16" s="280"/>
      <c r="J16" s="280"/>
      <c r="K16" s="280"/>
      <c r="M16" s="275" t="str">
        <f>IF(F14&gt;0,IF(L20="Luchtconditioneringsunit","Twee keer eenzelfde type techniek in de uitgaande luchtstroom is niet logisch","    "),"   ")</f>
        <v xml:space="preserve">   </v>
      </c>
      <c r="N16" s="276"/>
      <c r="O16" s="276"/>
      <c r="P16" s="289"/>
      <c r="Q16" s="268"/>
      <c r="R16" s="93"/>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row>
    <row r="17" spans="3:49" ht="19.899999999999999" customHeight="1" thickBot="1" x14ac:dyDescent="0.3">
      <c r="E17" s="207"/>
      <c r="F17" s="206"/>
      <c r="G17" s="282"/>
      <c r="H17" s="282"/>
      <c r="I17" s="275"/>
      <c r="J17" s="276"/>
      <c r="K17" s="276"/>
      <c r="M17" s="276"/>
      <c r="N17" s="276"/>
      <c r="O17" s="276"/>
      <c r="P17" s="289"/>
      <c r="Q17" s="268"/>
      <c r="R17" s="93"/>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row>
    <row r="18" spans="3:49" ht="20.45" customHeight="1" x14ac:dyDescent="0.3">
      <c r="E18" s="77" t="s">
        <v>106</v>
      </c>
      <c r="H18" s="216" t="str">
        <f>IF(F20=0,"Geen stoffilter","Droog stoffilter")</f>
        <v>Geen stoffilter</v>
      </c>
      <c r="I18" s="276"/>
      <c r="J18" s="276"/>
      <c r="K18" s="276"/>
      <c r="L18" s="219" t="s">
        <v>137</v>
      </c>
      <c r="M18" s="75"/>
      <c r="N18" s="75"/>
      <c r="Q18" s="268"/>
      <c r="R18" s="93"/>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row>
    <row r="19" spans="3:49" ht="24.6" customHeight="1" x14ac:dyDescent="0.3">
      <c r="D19" s="181">
        <v>0</v>
      </c>
      <c r="E19" s="89" t="s">
        <v>124</v>
      </c>
      <c r="H19" s="215" t="str">
        <f>IF(F20=0,"    ","Reductie% stoffilter 99%")</f>
        <v xml:space="preserve">    </v>
      </c>
      <c r="I19" s="272"/>
      <c r="J19" s="273"/>
      <c r="K19" s="274"/>
      <c r="L19" s="220" t="str">
        <f>IF(L20="chemische wasser 35%","potentieelel reductie: 35%",IF(L20="chemische wasser 70%","potentieel reductie: 70%",IF(L20="bio wasser 60%","potentieel reductie: 60%",IF(L20="bio wasser 75%","potentieel reductie: 75%",IF(L20="biofilter","potentieel reductie: 80%",IF(L20="waterluchtwassysteem","potentieel reductie: 33%",IF(L20="droogfilterwand","potentieel reductie: 40%",IF(L20="ionisatiefilter","potentieel reductie: 57%",IF(L20="luchtconditioneringsunit","potentieel reductie: 80%","  ")))))))))</f>
        <v xml:space="preserve">  </v>
      </c>
      <c r="M19" s="286" t="str">
        <f>IF(F20&gt;0,IF(L20="chemische wasser 35%","Alle lucht moet door de luchtwasser of biofilter. De combinatie met een stoffilter is daarom niet mogelijk.",IF(L20="chemische wasser 70%","Alle lucht moet door de luchtwasser of biofilter. De combinatie met een stoffilter is daarom niet mogelijk.",IF(L20="bio wasser 60%","Alle lucht moet door de luchtwasser of biofilter. De combinatie met een stoffilter is daarom niet mogelijk.",IF(L20="bio wasser 75%","Alle lucht moet door de luchtwasser of biofilter. De combinatie met een stoffilter is daarom niet mogelijk.",IF(L20="biofilter","Alle lucht moet door de luchtwasser of biofilter. De combinatie met een stoffilter is daarom niet mogelijk.","  "))))),"   ")</f>
        <v xml:space="preserve">   </v>
      </c>
      <c r="N19" s="287"/>
      <c r="O19" s="287"/>
      <c r="P19" s="288"/>
      <c r="Q19" s="269"/>
      <c r="R19" s="93"/>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row>
    <row r="20" spans="3:49" ht="22.15" customHeight="1" thickBot="1" x14ac:dyDescent="0.3">
      <c r="E20" s="262" t="str">
        <f>IF(E19="geen staltechniek","    ",IF(E19="negatieve ionisatie",IF(E14="vleeskuikens","   ","Deze techniek kan alleen bij vleeskuikens"),IF(E19="strooiselschuif",IF(E14="leghennen voliere","   ","Deze techniek kan alleen bij leghennen voliere"),IF(E19="oliefilm bij voliere dmv leidingen",IF(E14="leghennen voliere","   ",IF(E14="opfok leghennen voliere","     ",IF(E14="Vleeskuikenouderdieren voliere","    ","Deze techniek kan alleen bij (opfok)leghennen en vleeskuikenouderdieren voliere"))),IF(E19="strooiselschuif icm oliefilm bij voliere dmv leidingen",IF(E14="leghennen voliere","   ","Deze techniek kan alleen bij leghennen voliere"),IF(E19="oliefilm dmv olierobot",IF(E14="opfok leghennen grondhuisvesting","    ",IF(E14="leghennen grondhuisvesting","    ",IF(E14="vleeskuikenouderdieren grondhuisvesting","    ","Deze techniek kan alleen bij (opfok)leghennen en vleeskuikenouderdieren grondhuisvesting"))),"   "))))))</f>
        <v xml:space="preserve">    </v>
      </c>
      <c r="F20" s="258">
        <f>MAX(0,IF(D14+D19&gt;J25*100,(J25*100-D14)/100,D19/100))</f>
        <v>0</v>
      </c>
      <c r="G20" s="37" t="s">
        <v>209</v>
      </c>
      <c r="H20" s="238">
        <f>ROUND(IF(F14=0,IF(E14="hennen",'wisselend debiet &amp; reductie_hen'!$M$8*(1-E23),'wisselend debiet &amp;reductie_haan'!$M$8*(1-E23)),IF(F14&gt;0,IF(E14="hennen",'wisselend debiet &amp; reductie_hen'!$P$8*(1-E23),'wisselend debiet &amp;reductie_haan'!$P$8*(1-E23)))),3)</f>
        <v>0</v>
      </c>
      <c r="J20" s="225"/>
      <c r="K20" s="226"/>
      <c r="L20" s="79" t="s">
        <v>126</v>
      </c>
      <c r="M20" s="287"/>
      <c r="N20" s="287"/>
      <c r="O20" s="287"/>
      <c r="P20" s="288"/>
      <c r="Q20" s="269"/>
      <c r="R20" s="93"/>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row>
    <row r="21" spans="3:49" ht="40.15" customHeight="1" x14ac:dyDescent="0.3">
      <c r="E21" s="263"/>
      <c r="F21" s="58">
        <f>J25-F14-F20</f>
        <v>0</v>
      </c>
      <c r="G21" s="37" t="s">
        <v>209</v>
      </c>
      <c r="H21" s="80"/>
      <c r="J21" s="53">
        <f>IF(L20="geen techniek",0,F21)</f>
        <v>0</v>
      </c>
      <c r="K21" s="74" t="s">
        <v>209</v>
      </c>
      <c r="L21" s="96" t="s">
        <v>143</v>
      </c>
      <c r="M21" s="283" t="str">
        <f>IF(L20="luchtconditioneringsunit","   ",IF(L20="geen techniek","    ",IF(L20="chemische wasser","    ",IF(L20="bio wasser 60%","    ",IF(L20="bio wasser 75%","    ",IF(L20="waterluchtwassysteem","   ",IF(L25="biofilter","    ",IF(L20="Droogfilterwand","   ",IF(L20="ionisatiefilter",IF(E19="ionisatie d.m.v. koolstofborsteltjes","Combinatie van ionisatietechnieken is niet zinvol",IF(E19="ionisatie d.m.v. koolstof-borsteltjes icm strooiselschuif","Combinatie van ionisatietechnieken is niet zinvol","   ")),"  ")))))))))</f>
        <v xml:space="preserve">    </v>
      </c>
      <c r="N21" s="284"/>
      <c r="O21" s="284"/>
      <c r="P21" s="285"/>
      <c r="Q21" s="269"/>
      <c r="R21" s="93"/>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row>
    <row r="22" spans="3:49" ht="24.4" customHeight="1" x14ac:dyDescent="0.45">
      <c r="C22" s="55"/>
      <c r="D22" s="55"/>
      <c r="E22" s="60" t="s">
        <v>142</v>
      </c>
      <c r="F22" s="80" t="s">
        <v>125</v>
      </c>
      <c r="G22" s="80"/>
      <c r="H22" s="80" t="s">
        <v>33</v>
      </c>
      <c r="J22" s="53"/>
      <c r="L22" s="237">
        <f>IF(M16="Twee keer eenzelfde type techniek in de uitgaande luchtstroom is niet logisch","error",(IF(F24="Alle lucht moet door luchtconditioneringsunit, dus niet combineren met droog stoffilter","error",IF(M15="Alle lucht moet door overige techniek vanwege ammoniak en/of geur","error",IF(L11="Combinatie met warmtewisselaar is niet toegestaan","error",IF(F20=0,IF(J13="ja",'wisselend debiet &amp; reductie_hen'!$U$8*(1-E23),'wisselend debiet &amp; reductie_hen'!$S$8*(1-E23)),IF(F14=0,'wisselend debiet &amp; reductie_hen'!$T$8*(1-E23),IF(F14&gt;0,IF(F20&gt;0,IF(J14=0,'wisselend debiet &amp; reductie_hen'!$V$8*(1-E23),IF(J14&gt;0,'wisselend debiet &amp; reductie_hen'!$U$8*(1-E23),'wisselend debiet &amp; reductie_hen'!$W$8*(1-E23))))))))))))</f>
        <v>0</v>
      </c>
      <c r="N22" s="163"/>
      <c r="O22" s="92"/>
      <c r="Q22" s="100">
        <f>ROUNDDOWN(100%-(1-E23)+(H20+H12)+L22,3)</f>
        <v>0</v>
      </c>
      <c r="R22" s="93"/>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row>
    <row r="23" spans="3:49" ht="19.899999999999999" customHeight="1" x14ac:dyDescent="0.25">
      <c r="C23" s="55"/>
      <c r="D23" s="55"/>
      <c r="E23" s="170">
        <f>IF(E19="ionisatieSYSTEEM MET NEGATIEVE CORONADRADEN",49%,IF(E19="ionisatie d.m.v. koolstofborsteltjes",31%,IF(E19="ionisatie d.m.v. coronadraden",52%,IF(E19="ionisatie d.m.v. ionisatie-units",16%,0))))</f>
        <v>0</v>
      </c>
      <c r="F23" s="53"/>
      <c r="G23" s="81">
        <f>J11+J14+J21+J23</f>
        <v>0</v>
      </c>
      <c r="H23" s="80"/>
      <c r="J23" s="53">
        <f>F20+F21-H16-J21</f>
        <v>0</v>
      </c>
      <c r="K23" s="37" t="s">
        <v>209</v>
      </c>
      <c r="L23" s="163"/>
      <c r="Q23" s="178"/>
      <c r="R23" s="93"/>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row>
    <row r="24" spans="3:49" ht="19.149999999999999" customHeight="1" thickBot="1" x14ac:dyDescent="0.35">
      <c r="C24" s="55"/>
      <c r="D24" s="55"/>
      <c r="E24" s="221"/>
      <c r="F24" s="223" t="str">
        <f>IF(L20="Luchtconditioneringsunit",IF(H20&gt;0,"Niet alle lucht gaat door luchtconditioneringsunit, dus niet combineren met droog stoffilter","    "),"   ")</f>
        <v xml:space="preserve">   </v>
      </c>
      <c r="Q24" s="101"/>
      <c r="R24" s="93"/>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row>
    <row r="25" spans="3:49" ht="21" x14ac:dyDescent="0.3">
      <c r="C25" s="55"/>
      <c r="D25" s="55" t="s">
        <v>124</v>
      </c>
      <c r="F25" s="94"/>
      <c r="G25" s="95"/>
      <c r="H25" s="97" t="s">
        <v>138</v>
      </c>
      <c r="J25" s="98">
        <f>IF(E14="hennen",kalkoenen!$C$115,IF(E14="hanen",kalkoenen!$D$150,0))</f>
        <v>0</v>
      </c>
      <c r="K25" s="99" t="s">
        <v>210</v>
      </c>
      <c r="L25" s="222"/>
      <c r="R25" s="93"/>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row>
    <row r="26" spans="3:49" ht="15.6" customHeight="1" x14ac:dyDescent="0.3">
      <c r="C26" s="55"/>
      <c r="D26" s="224" t="s">
        <v>212</v>
      </c>
      <c r="E26" s="55"/>
      <c r="F26" s="55"/>
      <c r="G26" s="55"/>
      <c r="H26" s="55"/>
      <c r="I26" s="55"/>
      <c r="J26" s="61" t="str">
        <f>IF(G23&lt;&gt;J25,"Optelsom debiet klopt niet","   ")</f>
        <v xml:space="preserve">   </v>
      </c>
      <c r="K26" s="55"/>
      <c r="L26" s="55"/>
      <c r="M26" s="55"/>
      <c r="N26" s="55"/>
      <c r="O26" s="55"/>
      <c r="P26" s="55"/>
      <c r="Q26" s="55"/>
      <c r="R26" s="93"/>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row>
    <row r="27" spans="3:49" ht="16.5" x14ac:dyDescent="0.3">
      <c r="C27" s="55"/>
      <c r="D27" s="224"/>
      <c r="E27" s="264" t="s">
        <v>207</v>
      </c>
      <c r="F27" s="265"/>
      <c r="G27" s="265"/>
      <c r="H27" s="265"/>
      <c r="I27" s="266"/>
      <c r="J27" s="85"/>
      <c r="K27" s="85"/>
      <c r="L27" s="85"/>
      <c r="M27" s="85"/>
      <c r="N27" s="85"/>
      <c r="O27" s="86"/>
      <c r="P27" s="85"/>
      <c r="Q27" s="85"/>
      <c r="R27" s="93"/>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row>
    <row r="28" spans="3:49" ht="18.75" x14ac:dyDescent="0.25">
      <c r="C28" s="55"/>
      <c r="D28" s="224"/>
      <c r="E28" s="231"/>
      <c r="F28" s="231"/>
      <c r="G28" s="231"/>
      <c r="H28" s="231"/>
      <c r="I28" s="85"/>
      <c r="J28" s="85"/>
      <c r="K28" s="85"/>
      <c r="L28" s="85"/>
      <c r="M28" s="85"/>
      <c r="N28" s="85"/>
      <c r="O28" s="86"/>
      <c r="P28" s="85"/>
      <c r="Q28" s="85"/>
      <c r="R28" s="93"/>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row>
    <row r="29" spans="3:49" ht="18.75" x14ac:dyDescent="0.3">
      <c r="C29" s="212"/>
      <c r="D29" s="224"/>
      <c r="E29" s="84"/>
      <c r="F29" s="84"/>
      <c r="G29" s="87"/>
      <c r="H29" s="88"/>
      <c r="I29" s="85"/>
      <c r="J29" s="85"/>
      <c r="K29" s="85"/>
      <c r="L29" s="85"/>
      <c r="M29" s="85"/>
      <c r="N29" s="85"/>
      <c r="O29" s="85"/>
      <c r="P29" s="85"/>
      <c r="Q29" s="85"/>
      <c r="R29" s="93"/>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row>
    <row r="30" spans="3:49" ht="43.9" customHeight="1" x14ac:dyDescent="0.45">
      <c r="C30" s="55"/>
      <c r="E30" s="90"/>
      <c r="F30" s="84"/>
      <c r="G30" s="85"/>
      <c r="H30" s="85" t="s">
        <v>33</v>
      </c>
      <c r="I30" s="85"/>
      <c r="J30" s="85"/>
      <c r="K30" s="85"/>
      <c r="L30" s="85"/>
      <c r="M30" s="85"/>
      <c r="N30" s="85"/>
      <c r="O30" s="85"/>
      <c r="P30" s="85"/>
      <c r="Q30" s="85"/>
      <c r="R30" s="93"/>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row>
    <row r="31" spans="3:49" x14ac:dyDescent="0.25">
      <c r="C31" s="213"/>
      <c r="D31" s="55"/>
      <c r="E31" s="59"/>
      <c r="F31" s="59"/>
      <c r="G31" s="213"/>
      <c r="H31" s="55"/>
      <c r="I31" s="55"/>
      <c r="J31" s="55"/>
      <c r="K31" s="55"/>
      <c r="L31" s="55"/>
      <c r="M31" s="55"/>
      <c r="N31" s="55"/>
      <c r="O31" s="55"/>
      <c r="P31" s="55"/>
      <c r="Q31" s="55"/>
      <c r="R31" s="93"/>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row>
    <row r="32" spans="3:49" x14ac:dyDescent="0.25">
      <c r="C32" s="93"/>
      <c r="D32" s="208">
        <f>IF(H19="zonder stoffilter",IF(D33="opfok leghennen",IF(H12="warmtewisselaar 13%",0.2,IF(H12="warmtewisselaar 31%",0.43,IF(H12="warmtewisselaar 37%",0.55,IF(H12="warmtewisselaar 50%",0.78)))),IF(D33="leghennen",IF(H12="warmtewisselaar 13%",0.4,IF(H12="warmtewisselaar 31%",1,IF(H12="warmtewisselaar 37%",1.25,IF(H12="warmtewisselaar 50%",1.8)))),IF(E14="opfok vleeskuikenouderdieren",IF(H12="warmtewisselaar 13%",0.4,IF(H12="warmtewisselaar 31%",1,IF(H12="warmtewisselaar 37%",1.3,IF(H12="warmtewisselaar 50%",1.9)))),IF(D33="vleeskuikenouderdieren",IF(H12="warmtewisselaar 13%",0.6,IF(H12="warmtewisselaar 31%",1.5,IF(H12="warmtewisselaar 37%",1.85,IF(H12="warmtewisselaar 50%",2.9))))))+IF(E14="vleeskuikens",IF(H12="warmtewisselaar 13%",0.35,IF(H12="warmtewisselaar 31%",1,IF(H12="warmtewisselaar 37%",1.3,IF(H12="warmtewisselaar 50%",2,0)))))+IF(E14="vleeseenden",IF(H12="warmtewisselaar 13%",0.8,IF(H12="warmtewisselaar 31%",2.3,IF(H12="warmtewisselaar 37%",3.15,IF(H12="warmtewisselaar 50%",4.8)))))))+IF(E14="kalkoen hennen",IF(H12="warmtewisselaar 13%",1.1,IF(H12="warmtewisselaar 31%",3,IF(H12="warmtewisselaar 37%",3.85,IF(H12="warmtewisselaar 50%",5.6)))))+IF(E14="kalkoen hanen",IF(H12="warmtewisselaar 13%",2.5,IF(H12="warmtewisselaar 31%",6.2,IF(H12="warmtewisselaar 37%",8.2,IF(H12="warmtewisselaar 50%",11.7))))),0)+IF(H19="met stoffilter",IF(D33="opfok leghennen",IF(H12="warmtewisselaar 13%",0.15,IF(H12="warmtewisselaar 31%",0.35,IF(H12="warmtewisselaar 37%",0.4,IF(H12="warmtewisselaar 50%",0.6)))),IF(D33="leghennen",IF(H12="warmtewisselaar 13%",0.35,IF(H12="warmtewisselaar 31%",0.85,IF(H12="warmtewisselaar 37%",1,IF(H12="warmtewisselaar 50%",1.4)))),IF(E14="leghennen grondhuisvesting",IF(H12="warmtewisselaar 13%",0.35,IF(H12="warmtewisselaar 31%",0.85,IF(H12="warmtewisselaar 37%",1,IF(H12="warmtewisselaar 50%",1.4)))),IF(E14="opfok vleeskuikenouderdieren",IF(H12="warmtewisselaar 13%",0.35,IF(H12="warmtewisselaar 31%",0.85,IF(H12="warmtewisselaar 37%",1.1,IF(H12="warmtewisselaar 50%",1.45)))),IF(D33="vleeskuikenouderdieren",IF(H12="warmtewisselaar 13%",0.5,IF(H12="warmtewisselaar 31%",1.2,IF(H12="warmtewisselaar 37%",1.5,IF(H12="warmtewisselaar 50%",2.1))))))+IF(E14="vleeskuikens",IF(H12="warmtewisselaar 13%",0.3,IF(H12="warmtewisselaar 31%",0.75,IF(H12="warmtewisselaar 37%",1,IF(H12="warmtewisselaar 50%",1.45,0)))))+IF(E14="vleeseenden",IF(H12="warmtewisselaar 13%",0.7,IF(H12="warmtewisselaar 31%",1.9,IF(H12="warmtewisselaar 37%",2.3,IF(H12="warmtewisselaar 50%",3.6)))))))+IF(E14="kalkoen hennen",IF(H12="warmtewisselaar 13%",0.9,IF(H12="warmtewisselaar 31%",2.5,IF(H12="warmtewisselaar 37%",3,IF(H12="warmtewisselaar 50%",4.3)))))+IF(E14="kalkoen hanen",IF(H12="warmtewisselaar 13%",2.2,IF(H12="warmtewisselaar 31%",5.3,IF(H12="warmtewisselaar 37%",6.2,IF(H12="warmtewisselaar 50%",9)))))),0)</f>
        <v>0</v>
      </c>
      <c r="E32" s="93"/>
      <c r="F32" s="94"/>
      <c r="G32" s="93"/>
      <c r="H32" s="93"/>
      <c r="I32" s="93"/>
      <c r="J32" s="93"/>
      <c r="K32" s="93" t="s">
        <v>33</v>
      </c>
      <c r="L32" s="93"/>
      <c r="M32" s="93"/>
      <c r="N32" s="93"/>
      <c r="O32" s="93"/>
      <c r="P32" s="93"/>
      <c r="Q32" s="93"/>
      <c r="R32" s="93"/>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row>
    <row r="33" spans="3:49" x14ac:dyDescent="0.25">
      <c r="C33" s="93"/>
      <c r="D33" s="93">
        <f>IF(E14="OPFOK LEGHENNEN KOOI/KOLONIE","opfok leghennen",IF(E14="opfok leghennen grondhuisvesting","opfok leghennen",IF(E14="opfok leghennen voliere","opfok leghennen",IF(E14="leghennen verrijkte kooi/kolonie","leghennen",IF(E14="leghennen grondhuisvesting","leghennen",IF(E14="leghennen voliere","leghennen",IF(E14="vleeskuikenouderdieren groepskooi","vleeskuikenouderdieren",IF(E14="vleeskuikenouderdieren grondhuisvesting","vleeskuikenouderdieren",IF(E14="vleeskuikenouderdieren voliere","vleeskuikenouderdieren",0)))))))))</f>
        <v>0</v>
      </c>
      <c r="E33" s="93"/>
      <c r="F33" s="93"/>
      <c r="G33" s="93"/>
      <c r="H33" s="93"/>
      <c r="I33" s="93"/>
      <c r="J33" s="93"/>
      <c r="K33" s="93"/>
      <c r="L33" s="93"/>
      <c r="M33" s="93"/>
      <c r="N33" s="93"/>
      <c r="O33" s="93"/>
      <c r="P33" s="93"/>
      <c r="Q33" s="93"/>
      <c r="R33" s="93"/>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row>
    <row r="34" spans="3:49" x14ac:dyDescent="0.25">
      <c r="C34" s="93"/>
      <c r="D34" s="93"/>
      <c r="E34" s="93"/>
      <c r="F34" s="93"/>
      <c r="G34" s="93"/>
      <c r="H34" s="93"/>
      <c r="I34" s="93"/>
      <c r="J34" s="93"/>
      <c r="K34" s="93"/>
      <c r="L34" s="93"/>
      <c r="M34" s="93"/>
      <c r="N34" s="93"/>
      <c r="O34" s="93"/>
      <c r="P34" s="93"/>
      <c r="Q34" s="93"/>
      <c r="R34" s="93"/>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row>
    <row r="35" spans="3:49" x14ac:dyDescent="0.25">
      <c r="R35" s="93"/>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row>
    <row r="36" spans="3:49" x14ac:dyDescent="0.25">
      <c r="R36" s="93"/>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row>
    <row r="37" spans="3:49" x14ac:dyDescent="0.25">
      <c r="R37" s="93"/>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row>
    <row r="38" spans="3:49" x14ac:dyDescent="0.25">
      <c r="R38" s="93"/>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row>
    <row r="39" spans="3:49" x14ac:dyDescent="0.25">
      <c r="R39" s="93"/>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row>
    <row r="40" spans="3:49" x14ac:dyDescent="0.25">
      <c r="R40" s="93"/>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row>
    <row r="41" spans="3:49" x14ac:dyDescent="0.25">
      <c r="R41" s="93"/>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row>
    <row r="42" spans="3:49" ht="18.75" x14ac:dyDescent="0.35">
      <c r="L42" s="80" t="s">
        <v>131</v>
      </c>
      <c r="R42" s="93"/>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row>
    <row r="43" spans="3:49" x14ac:dyDescent="0.25">
      <c r="R43" s="93"/>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row>
    <row r="44" spans="3:49" x14ac:dyDescent="0.25">
      <c r="R44" s="93"/>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row>
    <row r="45" spans="3:49" x14ac:dyDescent="0.25">
      <c r="R45" s="93"/>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row>
    <row r="46" spans="3:49" x14ac:dyDescent="0.25">
      <c r="R46" s="93"/>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row>
    <row r="47" spans="3:49" x14ac:dyDescent="0.25">
      <c r="R47" s="93"/>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row>
    <row r="48" spans="3:49" x14ac:dyDescent="0.25">
      <c r="R48" s="93"/>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row>
    <row r="49" spans="18:49" x14ac:dyDescent="0.25">
      <c r="R49" s="93"/>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row>
    <row r="50" spans="18:49" x14ac:dyDescent="0.25">
      <c r="R50" s="93"/>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row>
    <row r="51" spans="18:49" x14ac:dyDescent="0.25">
      <c r="R51" s="93"/>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row>
    <row r="52" spans="18:49" x14ac:dyDescent="0.25">
      <c r="R52" s="93"/>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row>
    <row r="53" spans="18:49" x14ac:dyDescent="0.25">
      <c r="R53" s="93"/>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row>
    <row r="54" spans="18:49" x14ac:dyDescent="0.25">
      <c r="R54" s="93"/>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row>
    <row r="55" spans="18:49" x14ac:dyDescent="0.25">
      <c r="R55" s="93"/>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row>
    <row r="56" spans="18:49" x14ac:dyDescent="0.25">
      <c r="R56" s="93"/>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row>
    <row r="57" spans="18:49" x14ac:dyDescent="0.25">
      <c r="R57" s="93"/>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row>
    <row r="58" spans="18:49" x14ac:dyDescent="0.25">
      <c r="R58" s="93"/>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row>
    <row r="59" spans="18:49" x14ac:dyDescent="0.25">
      <c r="R59" s="93"/>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row>
    <row r="60" spans="18:49" x14ac:dyDescent="0.25">
      <c r="R60" s="93"/>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row>
    <row r="61" spans="18:49" x14ac:dyDescent="0.25">
      <c r="R61" s="93"/>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row>
    <row r="62" spans="18:49" x14ac:dyDescent="0.25">
      <c r="R62" s="93"/>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row>
    <row r="63" spans="18:49" x14ac:dyDescent="0.25">
      <c r="R63" s="93"/>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row>
    <row r="64" spans="18:49" x14ac:dyDescent="0.25">
      <c r="R64" s="93"/>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row>
    <row r="65" spans="18:49" x14ac:dyDescent="0.25">
      <c r="R65" s="93"/>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row>
    <row r="66" spans="18:49" x14ac:dyDescent="0.25">
      <c r="R66" s="93"/>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row>
    <row r="67" spans="18:49" x14ac:dyDescent="0.25">
      <c r="R67" s="93"/>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row>
    <row r="68" spans="18:49" x14ac:dyDescent="0.25">
      <c r="R68" s="93"/>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row>
    <row r="69" spans="18:49" x14ac:dyDescent="0.2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row>
  </sheetData>
  <sheetProtection algorithmName="SHA-512" hashValue="chmyo+sVZnjvRrFkPGhK8EJBw9zIBQFz6mwJKOOeXjJSMs97ioocTM6KUtxIlZKvxwELu2BmdH4yCb04dsUx6w==" saltValue="R5DLW80bnPnMme64ANskjg==" spinCount="100000" sheet="1" objects="1" scenarios="1"/>
  <mergeCells count="14">
    <mergeCell ref="E14:E16"/>
    <mergeCell ref="E20:E21"/>
    <mergeCell ref="E27:I27"/>
    <mergeCell ref="Q9:Q21"/>
    <mergeCell ref="L11:O13"/>
    <mergeCell ref="I19:K19"/>
    <mergeCell ref="I17:K18"/>
    <mergeCell ref="L9:N9"/>
    <mergeCell ref="I15:K16"/>
    <mergeCell ref="G16:H17"/>
    <mergeCell ref="M21:P21"/>
    <mergeCell ref="M19:P20"/>
    <mergeCell ref="M16:P17"/>
    <mergeCell ref="M15:P15"/>
  </mergeCells>
  <dataValidations count="2">
    <dataValidation type="list" allowBlank="1" showInputMessage="1" showErrorMessage="1" errorTitle="Keuze onjuist" error="Vul dit in met ja of nee." sqref="E19">
      <formula1>$D$25:$D$26</formula1>
    </dataValidation>
    <dataValidation type="list" allowBlank="1" showInputMessage="1" showErrorMessage="1" sqref="E14:E16">
      <formula1>$D$6:$D$8</formula1>
    </dataValidation>
  </dataValidations>
  <pageMargins left="0.7" right="0.7" top="0.75" bottom="0.75" header="0.3" footer="0.3"/>
  <pageSetup paperSize="9" scale="55" orientation="landscape" r:id="rId1"/>
  <rowBreaks count="1" manualBreakCount="1">
    <brk id="34" max="16383" man="1"/>
  </rowBreaks>
  <ignoredErrors>
    <ignoredError sqref="F20 F14 H12" unlockedFormula="1"/>
    <ignoredError sqref="Q2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77" r:id="rId4" name="Spinner 5">
              <controlPr defaultSize="0" autoPict="0">
                <anchor moveWithCells="1" sizeWithCells="1">
                  <from>
                    <xdr:col>6</xdr:col>
                    <xdr:colOff>76200</xdr:colOff>
                    <xdr:row>11</xdr:row>
                    <xdr:rowOff>47625</xdr:rowOff>
                  </from>
                  <to>
                    <xdr:col>6</xdr:col>
                    <xdr:colOff>361950</xdr:colOff>
                    <xdr:row>13</xdr:row>
                    <xdr:rowOff>19050</xdr:rowOff>
                  </to>
                </anchor>
              </controlPr>
            </control>
          </mc:Choice>
        </mc:AlternateContent>
        <mc:AlternateContent xmlns:mc="http://schemas.openxmlformats.org/markup-compatibility/2006">
          <mc:Choice Requires="x14">
            <control shapeId="3080" r:id="rId5" name="Spinner 8">
              <controlPr defaultSize="0" autoPict="0">
                <anchor moveWithCells="1" sizeWithCells="1">
                  <from>
                    <xdr:col>6</xdr:col>
                    <xdr:colOff>19050</xdr:colOff>
                    <xdr:row>17</xdr:row>
                    <xdr:rowOff>209550</xdr:rowOff>
                  </from>
                  <to>
                    <xdr:col>6</xdr:col>
                    <xdr:colOff>323850</xdr:colOff>
                    <xdr:row>19</xdr:row>
                    <xdr:rowOff>38100</xdr:rowOff>
                  </to>
                </anchor>
              </controlPr>
            </control>
          </mc:Choice>
        </mc:AlternateContent>
        <mc:AlternateContent xmlns:mc="http://schemas.openxmlformats.org/markup-compatibility/2006">
          <mc:Choice Requires="x14">
            <control shapeId="3093" r:id="rId6" name="Spinner 21">
              <controlPr defaultSize="0" autoPict="0">
                <anchor moveWithCells="1" sizeWithCells="1">
                  <from>
                    <xdr:col>15</xdr:col>
                    <xdr:colOff>1657350</xdr:colOff>
                    <xdr:row>6</xdr:row>
                    <xdr:rowOff>57150</xdr:rowOff>
                  </from>
                  <to>
                    <xdr:col>15</xdr:col>
                    <xdr:colOff>1924050</xdr:colOff>
                    <xdr:row>8</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errorTitle="Keuze onjuist" error="Vul dit in met ja of nee.">
          <x14:formula1>
            <xm:f>Reductietechnieken!$B$32:$B$41</xm:f>
          </x14:formula1>
          <xm:sqref>L20</xm:sqref>
        </x14:dataValidation>
        <x14:dataValidation type="list" allowBlank="1" showInputMessage="1" showErrorMessage="1" errorTitle="Keuze onjuist" error="Vul dit in met ja of nee.">
          <x14:formula1>
            <xm:f>Reductietechnieken!$B$52:$B$53</xm:f>
          </x14:formula1>
          <xm:sqref>H15</xm:sqref>
        </x14:dataValidation>
        <x14:dataValidation type="list" allowBlank="1" showInputMessage="1" showErrorMessage="1" errorTitle="Keuze onjuist" error="Vul dit in met ja of nee.">
          <x14:formula1>
            <xm:f>Reductietechnieken!$C$52:$C$53</xm:f>
          </x14:formula1>
          <xm:sqref>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142"/>
  <sheetViews>
    <sheetView zoomScale="80" zoomScaleNormal="80" workbookViewId="0">
      <pane xSplit="1" ySplit="8" topLeftCell="M9" activePane="bottomRight" state="frozen"/>
      <selection pane="topRight" activeCell="B1" sqref="B1"/>
      <selection pane="bottomLeft" activeCell="A9" sqref="A9"/>
      <selection pane="bottomRight" sqref="A1:AG1048576"/>
    </sheetView>
  </sheetViews>
  <sheetFormatPr defaultColWidth="10.7109375" defaultRowHeight="12.75" x14ac:dyDescent="0.2"/>
  <cols>
    <col min="1" max="2" width="10.85546875" style="1" hidden="1" customWidth="1"/>
    <col min="3" max="3" width="10.85546875" style="6" hidden="1" customWidth="1"/>
    <col min="4" max="22" width="10.85546875" style="1" hidden="1" customWidth="1"/>
    <col min="23" max="23" width="10.85546875" hidden="1" customWidth="1"/>
    <col min="24" max="33" width="10.85546875" style="1" hidden="1" customWidth="1"/>
    <col min="34" max="16384" width="10.7109375" style="1"/>
  </cols>
  <sheetData>
    <row r="1" spans="1:32" s="10" customFormat="1" ht="73.150000000000006" customHeight="1" x14ac:dyDescent="0.2">
      <c r="A1" s="10" t="s">
        <v>145</v>
      </c>
      <c r="B1" s="10" t="s">
        <v>218</v>
      </c>
      <c r="C1" s="110" t="s">
        <v>146</v>
      </c>
      <c r="D1" s="10" t="s">
        <v>147</v>
      </c>
      <c r="E1" s="10" t="s">
        <v>148</v>
      </c>
      <c r="F1" s="10" t="s">
        <v>149</v>
      </c>
      <c r="G1" s="10" t="s">
        <v>150</v>
      </c>
      <c r="H1" s="10" t="s">
        <v>203</v>
      </c>
      <c r="I1" s="10" t="s">
        <v>204</v>
      </c>
      <c r="J1" s="10" t="s">
        <v>151</v>
      </c>
      <c r="K1" s="10" t="s">
        <v>152</v>
      </c>
      <c r="L1" s="10" t="s">
        <v>153</v>
      </c>
      <c r="M1" s="19" t="s">
        <v>192</v>
      </c>
      <c r="N1" s="111" t="s">
        <v>154</v>
      </c>
      <c r="O1" s="19" t="s">
        <v>193</v>
      </c>
      <c r="P1" s="19" t="s">
        <v>202</v>
      </c>
      <c r="Q1" s="167" t="s">
        <v>205</v>
      </c>
      <c r="R1" s="15" t="s">
        <v>195</v>
      </c>
      <c r="X1" s="112"/>
      <c r="Y1" s="112"/>
      <c r="Z1" s="112"/>
      <c r="AA1" s="112"/>
      <c r="AB1" s="290" t="s">
        <v>155</v>
      </c>
      <c r="AC1" s="290"/>
      <c r="AD1" s="290"/>
      <c r="AE1" s="290"/>
      <c r="AF1" s="290"/>
    </row>
    <row r="2" spans="1:32" s="10" customFormat="1" ht="16.899999999999999" customHeight="1" x14ac:dyDescent="0.2">
      <c r="C2" s="110"/>
      <c r="J2" s="1" t="s">
        <v>156</v>
      </c>
      <c r="M2" s="19"/>
      <c r="O2" s="19"/>
      <c r="P2" s="19"/>
      <c r="R2" s="113">
        <v>0</v>
      </c>
      <c r="S2" s="114" t="s">
        <v>157</v>
      </c>
      <c r="T2" s="114"/>
      <c r="X2" s="112"/>
      <c r="Y2" s="112"/>
      <c r="Z2" s="112"/>
      <c r="AA2" s="112"/>
      <c r="AB2" s="115"/>
      <c r="AC2" s="115"/>
      <c r="AD2" s="115"/>
      <c r="AE2" s="115"/>
      <c r="AF2" s="115"/>
    </row>
    <row r="3" spans="1:32" s="10" customFormat="1" ht="17.45" customHeight="1" x14ac:dyDescent="0.2">
      <c r="C3" s="110"/>
      <c r="J3" s="1">
        <f>+J4</f>
        <v>0</v>
      </c>
      <c r="M3" s="19"/>
      <c r="O3" s="19"/>
      <c r="P3" s="19"/>
      <c r="R3" s="113">
        <v>0.8</v>
      </c>
      <c r="S3" s="114" t="s">
        <v>189</v>
      </c>
      <c r="T3" s="114"/>
    </row>
    <row r="4" spans="1:32" s="10" customFormat="1" ht="17.45" customHeight="1" x14ac:dyDescent="0.2">
      <c r="C4" s="110"/>
      <c r="M4" s="19"/>
      <c r="O4" s="19"/>
      <c r="P4" s="19"/>
      <c r="R4" s="160">
        <f>IF(VLEESKALKOENEN!$H$16=0,VLEESKALKOENEN!F14,VLEESKALKOENEN!$H$16)</f>
        <v>0</v>
      </c>
      <c r="S4" s="114" t="s">
        <v>158</v>
      </c>
      <c r="T4" s="114"/>
      <c r="AC4" s="291" t="s">
        <v>159</v>
      </c>
      <c r="AD4" s="291"/>
      <c r="AE4" s="292" t="s">
        <v>160</v>
      </c>
      <c r="AF4" s="292"/>
    </row>
    <row r="5" spans="1:32" s="10" customFormat="1" ht="17.45" customHeight="1" x14ac:dyDescent="0.2">
      <c r="C5" s="110"/>
      <c r="M5" s="19"/>
      <c r="O5" s="19"/>
      <c r="P5" s="19"/>
      <c r="R5" s="160">
        <f>VLEESKALKOENEN!$F$20</f>
        <v>0</v>
      </c>
      <c r="S5" s="114" t="s">
        <v>201</v>
      </c>
      <c r="T5" s="114"/>
      <c r="Y5" s="117"/>
      <c r="Z5" s="117"/>
      <c r="AB5" t="s">
        <v>161</v>
      </c>
      <c r="AC5" s="118" t="s">
        <v>162</v>
      </c>
      <c r="AD5" s="119" t="s">
        <v>163</v>
      </c>
      <c r="AE5" s="118" t="s">
        <v>162</v>
      </c>
      <c r="AF5" s="119" t="s">
        <v>163</v>
      </c>
    </row>
    <row r="6" spans="1:32" s="33" customFormat="1" x14ac:dyDescent="0.2">
      <c r="A6" s="10"/>
      <c r="B6" s="10"/>
      <c r="C6" s="110"/>
      <c r="D6" s="10"/>
      <c r="E6" s="10"/>
      <c r="F6" s="10"/>
      <c r="G6" s="10"/>
      <c r="H6" s="10"/>
      <c r="I6" s="10"/>
      <c r="J6" s="10"/>
      <c r="K6" s="10"/>
      <c r="L6" s="10"/>
      <c r="M6" s="19"/>
      <c r="N6" s="10"/>
      <c r="O6" s="19"/>
      <c r="P6" s="201"/>
      <c r="Q6" s="10"/>
      <c r="R6" s="116">
        <f>IF(VLEESKALKOENEN!$L$20="chemische wasser 35%",35%,IF(VLEESKALKOENEN!$L$20="chemische wasser 70%",70%,IF(VLEESKALKOENEN!$L$20="bio wasser 60%",60%,IF(VLEESKALKOENEN!$L$20="bio wasser 75%",75%,IF(VLEESKALKOENEN!$L$20="biofilter",80%,IF(VLEESKALKOENEN!$L$20="waterluchtwassysteem",33%,IF(VLEESKALKOENEN!$L$20="droogfilterwand",40%,IF(VLEESKALKOENEN!$L$20="ionisatiefilter",57%,IF(VLEESKALKOENEN!$L$20="LUCHTCONDITIONERINGSUNIT",IF(VLEESKALKOENEN!$F$24="Niet alle lucht gaat door luchtconditioneringsunit, dus niet combineren met droog stoffilter","error",80%),0)))))))))</f>
        <v>0</v>
      </c>
      <c r="S6" s="114" t="s">
        <v>191</v>
      </c>
      <c r="T6" s="114"/>
      <c r="X6" s="10"/>
      <c r="AB6"/>
      <c r="AC6" s="120"/>
      <c r="AD6" s="121"/>
      <c r="AE6" s="120"/>
      <c r="AF6" s="121"/>
    </row>
    <row r="7" spans="1:32" ht="38.25" x14ac:dyDescent="0.2">
      <c r="A7" s="10"/>
      <c r="B7" s="10"/>
      <c r="C7" s="110"/>
      <c r="D7" s="10"/>
      <c r="E7" s="10"/>
      <c r="F7" s="10"/>
      <c r="G7" s="10"/>
      <c r="H7" s="10"/>
      <c r="I7" s="10"/>
      <c r="J7" s="10"/>
      <c r="K7" s="10"/>
      <c r="L7" s="10"/>
      <c r="M7" s="19"/>
      <c r="N7" s="10"/>
      <c r="O7" s="19"/>
      <c r="P7" s="204">
        <f>Q8+P8</f>
        <v>0</v>
      </c>
      <c r="Q7" s="10"/>
      <c r="R7" s="203">
        <f>VLEESKALKOENEN!$F$14</f>
        <v>0</v>
      </c>
      <c r="S7" s="114" t="s">
        <v>206</v>
      </c>
      <c r="T7" s="114"/>
      <c r="V7" s="242" t="str">
        <f>VLEESKALKOENEN!$E$14</f>
        <v>KIES HENNEN of HANEN</v>
      </c>
      <c r="W7" s="36"/>
      <c r="X7" s="10"/>
      <c r="AA7" s="10" t="s">
        <v>164</v>
      </c>
      <c r="AB7" s="122" t="s">
        <v>165</v>
      </c>
      <c r="AC7" s="123"/>
      <c r="AD7" s="124"/>
      <c r="AE7" s="123"/>
      <c r="AF7" s="124"/>
    </row>
    <row r="8" spans="1:32" x14ac:dyDescent="0.2">
      <c r="A8" s="10"/>
      <c r="B8" s="10"/>
      <c r="C8" s="110"/>
      <c r="D8" s="10"/>
      <c r="E8" s="10"/>
      <c r="F8" s="10"/>
      <c r="G8" s="10"/>
      <c r="H8" s="10"/>
      <c r="I8" s="10"/>
      <c r="J8" s="10"/>
      <c r="L8" s="168">
        <f>$L$130+1</f>
        <v>1</v>
      </c>
      <c r="M8" s="189">
        <f>MIN(95%,$M$130)</f>
        <v>0</v>
      </c>
      <c r="N8" s="116">
        <f>$N$130</f>
        <v>0</v>
      </c>
      <c r="O8" s="189">
        <f>IF(O130&lt;22%,O130/90%,IF(O130&lt;35%,$O$130/94%,O130/100.5%))</f>
        <v>0</v>
      </c>
      <c r="P8" s="189">
        <f>$P$130</f>
        <v>0</v>
      </c>
      <c r="Q8" s="168">
        <f>MIN(IF(Q130&lt;22%,Q130/90%,IF(Q130&lt;35%,$Q$130/95%,IF(Q130&lt;40%,$Q$130/95%,Q130/97%))),Q130)</f>
        <v>0</v>
      </c>
      <c r="R8" s="168">
        <f>ROUND($R$130,3)</f>
        <v>0</v>
      </c>
      <c r="S8" s="168">
        <f>ROUND(IF(VLEESKALKOENEN!$E$14="hennen",$S$130,'wisselend debiet &amp;reductie_haan'!$S$8),3)</f>
        <v>0</v>
      </c>
      <c r="T8" s="168">
        <f>ROUND(IF(VLEESKALKOENEN!$E$14="hennen",$T$130,'wisselend debiet &amp;reductie_haan'!$T$8),3)</f>
        <v>0</v>
      </c>
      <c r="U8" s="168">
        <f>ROUND(IF(VLEESKALKOENEN!$E$14="hennen",$U$130,'wisselend debiet &amp;reductie_haan'!$U$8),3)</f>
        <v>0</v>
      </c>
      <c r="V8" s="168">
        <f>ROUND(IF(VLEESKALKOENEN!$E$14="hennen",$V$130,'wisselend debiet &amp;reductie_haan'!$V$8),3)</f>
        <v>0</v>
      </c>
      <c r="W8" s="168">
        <f>ROUND(IF(VLEESKALKOENEN!$E$14="hennen",$W$130,'wisselend debiet &amp;reductie_haan'!$W$8),3)</f>
        <v>0</v>
      </c>
      <c r="X8" s="125" t="s">
        <v>166</v>
      </c>
      <c r="AB8" s="126" t="s">
        <v>167</v>
      </c>
      <c r="AC8" s="127">
        <v>13</v>
      </c>
      <c r="AD8" s="128">
        <v>19</v>
      </c>
      <c r="AE8" s="127">
        <v>13</v>
      </c>
      <c r="AF8" s="128">
        <v>19</v>
      </c>
    </row>
    <row r="9" spans="1:32" ht="57" customHeight="1" x14ac:dyDescent="0.2">
      <c r="A9" s="33">
        <v>0</v>
      </c>
      <c r="B9" s="33"/>
      <c r="C9" s="108"/>
      <c r="D9" s="33"/>
      <c r="E9" s="33"/>
      <c r="F9" s="33"/>
      <c r="G9" s="33"/>
      <c r="H9" s="33"/>
      <c r="I9" s="33"/>
      <c r="J9" s="33"/>
      <c r="K9" s="129">
        <v>1</v>
      </c>
      <c r="L9" s="33" t="s">
        <v>33</v>
      </c>
      <c r="M9" s="190"/>
      <c r="N9" s="33"/>
      <c r="O9" s="190" t="s">
        <v>33</v>
      </c>
      <c r="P9" s="202">
        <f>O8+P8</f>
        <v>0</v>
      </c>
      <c r="Q9" s="33" t="s">
        <v>33</v>
      </c>
      <c r="R9" s="169" t="s">
        <v>200</v>
      </c>
      <c r="S9" s="164" t="s">
        <v>194</v>
      </c>
      <c r="T9" s="164" t="s">
        <v>196</v>
      </c>
      <c r="U9" s="171" t="s">
        <v>208</v>
      </c>
      <c r="V9" s="165" t="s">
        <v>190</v>
      </c>
      <c r="W9" s="187" t="s">
        <v>198</v>
      </c>
      <c r="X9" s="33"/>
      <c r="AB9" s="130" t="s">
        <v>168</v>
      </c>
      <c r="AC9" s="127">
        <v>3</v>
      </c>
      <c r="AD9" s="128">
        <v>3</v>
      </c>
      <c r="AE9" s="127">
        <v>3</v>
      </c>
      <c r="AF9" s="128">
        <v>3</v>
      </c>
    </row>
    <row r="10" spans="1:32" x14ac:dyDescent="0.2">
      <c r="A10" s="1">
        <v>1</v>
      </c>
      <c r="B10" s="1">
        <v>0.06</v>
      </c>
      <c r="E10" s="7">
        <f>B10*1.15</f>
        <v>6.8999999999999992E-2</v>
      </c>
      <c r="F10" s="7">
        <f>E10-G10</f>
        <v>6.8999999999999992E-2</v>
      </c>
      <c r="G10" s="179">
        <f t="shared" ref="G10:G35" si="0">IF($R$4&gt;0&lt;E10,E10,IF($R$4&gt;E10,E10,$R$4))</f>
        <v>0</v>
      </c>
      <c r="H10" s="179">
        <f t="shared" ref="H10:H34" si="1">IF(E10&lt;$R$5,E10-G10,$R$5)</f>
        <v>0</v>
      </c>
      <c r="I10" s="179">
        <f t="shared" ref="I10:I41" si="2">MIN(R$5,E10-G10)</f>
        <v>0</v>
      </c>
      <c r="J10" s="6">
        <f>0.2082*EXP(0.0184*A10)</f>
        <v>0.21206634125781271</v>
      </c>
      <c r="K10" s="129">
        <v>1</v>
      </c>
      <c r="L10" s="6">
        <f>J10/1000*E10*24*365</f>
        <v>0.12818137930987231</v>
      </c>
      <c r="M10" s="191">
        <f>IF(E10&gt;$R$5,L10-(R$5)/E10*L10*99%,L10-(E10)/E10*L10*99%)</f>
        <v>0.12818137930987231</v>
      </c>
      <c r="N10" s="131">
        <f t="shared" ref="N10:N37" si="3">(((($J10*(1-$R$2))-$J$3)/1000*$F10*24*365*$K10)*(1-R$5))+(((($J10*(1-$R$2))-$J$3)/1000*$G10*24*365*$K10)*(1-R$3))</f>
        <v>0.12818137930987231</v>
      </c>
      <c r="O10" s="191">
        <f>(((($J10)-$J$3)/1000*$F10*24*365*$K10))+(((($J10)-$J$3)/1000*$G10*24*365*$K10)*(1-R$3))</f>
        <v>0.12818137930987231</v>
      </c>
      <c r="P10" s="191">
        <f t="shared" ref="P10:P50" si="4">IF(I10=0,L10,IF(I10&gt;$R$5,L10-(R$5)/E10*L10*99%,L10-(I10)/E10*L10*99%))</f>
        <v>0.12818137930987231</v>
      </c>
      <c r="Q10" s="6">
        <f>(((($J10)-$J$3)/1000*$F10*24*365*$K10))+(((($J10)-$J$3)/1000*$G10*24*365*$K10)*(1-95%))</f>
        <v>0.12818137930987231</v>
      </c>
      <c r="R10" s="177">
        <f>IF(E10-G10-H10&gt;=0,L10-((E10-G10*80%-H10*95%)/E10*L10)*$R$6,IF(G10&gt;H10,L10-((E10-G10)/E10*L10)*$R$6,L10-((E10-H10)/E10*L10)*$R$6))</f>
        <v>0.12818137930987231</v>
      </c>
      <c r="S10" s="177">
        <f>IF(E10-G10-H10&gt;=0,L10-((E10-G10-H10)/E10*L10)*$R$6,IF(G10&gt;H10,L10-((E10-G10)/E10*L10)*$R$6,L10-((E10-H10)/E10*L10)*$R$6))</f>
        <v>0.12818137930987231</v>
      </c>
      <c r="T10" s="177">
        <f>L10-(E10-H10)/E10*L10*$R$6</f>
        <v>0.12818137930987231</v>
      </c>
      <c r="U10" s="172">
        <f>IF(VLEESKALKOENEN!$H$15="ja",L10-((E10-G10*95%-I10)/E10*L10)*$R$6,L10-((E10-G10*80%-I10)/E10*L10)*$R$6)</f>
        <v>0.12818137930987231</v>
      </c>
      <c r="V10" s="109">
        <f t="shared" ref="V10:V33" si="5">L10-((E10-G10-I10)/E10*L10)*$R$6</f>
        <v>0.12818137930987231</v>
      </c>
      <c r="W10" s="188">
        <f>L10-(E10-H10)/E10*L10*$R$6</f>
        <v>0.12818137930987231</v>
      </c>
      <c r="X10" s="217">
        <f>M10/L10</f>
        <v>1</v>
      </c>
      <c r="AB10" s="130" t="s">
        <v>169</v>
      </c>
      <c r="AC10" s="127">
        <f t="shared" ref="AC10:AD10" si="6">AC11-AC8-AC9</f>
        <v>3</v>
      </c>
      <c r="AD10" s="128">
        <f t="shared" si="6"/>
        <v>11</v>
      </c>
      <c r="AE10" s="127">
        <f>AE11-AE8-AE9</f>
        <v>3</v>
      </c>
      <c r="AF10" s="128">
        <f t="shared" ref="AF10" si="7">AF11-AF8-AF9</f>
        <v>11</v>
      </c>
    </row>
    <row r="11" spans="1:32" x14ac:dyDescent="0.2">
      <c r="A11" s="1">
        <v>2</v>
      </c>
      <c r="B11" s="1">
        <v>7.0000000000000007E-2</v>
      </c>
      <c r="E11" s="7">
        <f t="shared" ref="E11:E74" si="8">B11*1.15</f>
        <v>8.0500000000000002E-2</v>
      </c>
      <c r="F11" s="7">
        <f t="shared" ref="F11:F51" si="9">E11-G11</f>
        <v>8.0500000000000002E-2</v>
      </c>
      <c r="G11" s="179">
        <f t="shared" si="0"/>
        <v>0</v>
      </c>
      <c r="H11" s="179">
        <f t="shared" si="1"/>
        <v>0</v>
      </c>
      <c r="I11" s="179">
        <f t="shared" si="2"/>
        <v>0</v>
      </c>
      <c r="J11" s="6">
        <f t="shared" ref="J11:J74" si="10">0.2082*EXP(0.0184*A11)</f>
        <v>0.21600448172178227</v>
      </c>
      <c r="K11" s="129">
        <v>1</v>
      </c>
      <c r="L11" s="6">
        <f t="shared" ref="L11:L74" si="11">J11/1000*E11*24*365</f>
        <v>0.15232204042056643</v>
      </c>
      <c r="M11" s="191">
        <f t="shared" ref="M11:M51" si="12">IF(E11&gt;$R$5,L11-(R$5)/E11*L11*99%,L11-(E11)/E11*L11*99%)</f>
        <v>0.15232204042056643</v>
      </c>
      <c r="N11" s="131">
        <f t="shared" si="3"/>
        <v>0.15232204042056643</v>
      </c>
      <c r="O11" s="191">
        <f t="shared" ref="O11:O51" si="13">(((($J11)-$J$3)/1000*$F11*24*365*$K11))+(((($J11*(1-$R$2))-$J$3)/1000*$G11*24*365*$K11)*(1-R$3))</f>
        <v>0.15232204042056643</v>
      </c>
      <c r="P11" s="191">
        <f t="shared" si="4"/>
        <v>0.15232204042056643</v>
      </c>
      <c r="Q11" s="6">
        <f t="shared" ref="Q11:Q74" si="14">(((($J11)-$J$3)/1000*$F11*24*365*$K11))+(((($J11)-$J$3)/1000*$G11*24*365*$K11)*(1-95%))</f>
        <v>0.15232204042056643</v>
      </c>
      <c r="R11" s="177">
        <f t="shared" ref="R11:R50" si="15">IF(E11-G11-H11&gt;=0,L11-((E11-G11*80%-H11*95%)/E11*L11)*$R$6,IF(G11&gt;H11,L11-((E11-G11)/E11*L11)*$R$6,L11-((E11-H11)/E11*L11)*$R$6))</f>
        <v>0.15232204042056643</v>
      </c>
      <c r="S11" s="177">
        <f t="shared" ref="S11:S51" si="16">IF(E11-G11-H11&gt;=0,L11-((E11-G11-H11)/E11*L11)*$R$6,IF(G11&gt;H11,L11-((E11-G11)/E11*L11)*$R$6,L11-((E11-H11)/E11*L11)*$R$6))</f>
        <v>0.15232204042056643</v>
      </c>
      <c r="T11" s="177">
        <f t="shared" ref="T11:T51" si="17">L11-(E11-H11)/E11*L11*$R$6</f>
        <v>0.15232204042056643</v>
      </c>
      <c r="U11" s="172">
        <f>IF(VLEESKALKOENEN!$H$15="ja",L11-((E11-G11*95%-I11)/E11*L11)*$R$6,L11-((E11-G11*80%-I11)/E11*L11)*$R$6)</f>
        <v>0.15232204042056643</v>
      </c>
      <c r="V11" s="109">
        <f t="shared" si="5"/>
        <v>0.15232204042056643</v>
      </c>
      <c r="W11" s="188">
        <f t="shared" ref="W11:W51" si="18">L11-(E11-H11)/E11*L11*$R$6</f>
        <v>0.15232204042056643</v>
      </c>
      <c r="X11" s="217">
        <f t="shared" ref="X11:X51" si="19">M11/L11</f>
        <v>1</v>
      </c>
      <c r="AB11" s="130" t="s">
        <v>170</v>
      </c>
      <c r="AC11" s="120">
        <v>19</v>
      </c>
      <c r="AD11" s="121">
        <v>33</v>
      </c>
      <c r="AE11" s="120">
        <v>19</v>
      </c>
      <c r="AF11" s="121">
        <v>33</v>
      </c>
    </row>
    <row r="12" spans="1:32" x14ac:dyDescent="0.2">
      <c r="A12" s="1">
        <v>3</v>
      </c>
      <c r="B12" s="1">
        <v>0.09</v>
      </c>
      <c r="E12" s="7">
        <f t="shared" si="8"/>
        <v>0.10349999999999999</v>
      </c>
      <c r="F12" s="7">
        <f t="shared" si="9"/>
        <v>0.10349999999999999</v>
      </c>
      <c r="G12" s="179">
        <f t="shared" si="0"/>
        <v>0</v>
      </c>
      <c r="H12" s="179">
        <f t="shared" si="1"/>
        <v>0</v>
      </c>
      <c r="I12" s="179">
        <f t="shared" si="2"/>
        <v>0</v>
      </c>
      <c r="J12" s="6">
        <f t="shared" si="10"/>
        <v>0.22001575472636142</v>
      </c>
      <c r="K12" s="129">
        <v>1</v>
      </c>
      <c r="L12" s="6">
        <f t="shared" si="11"/>
        <v>0.19947948418020284</v>
      </c>
      <c r="M12" s="191">
        <f t="shared" si="12"/>
        <v>0.19947948418020284</v>
      </c>
      <c r="N12" s="131">
        <f t="shared" si="3"/>
        <v>0.19947948418020284</v>
      </c>
      <c r="O12" s="191">
        <f t="shared" si="13"/>
        <v>0.19947948418020284</v>
      </c>
      <c r="P12" s="191">
        <f t="shared" si="4"/>
        <v>0.19947948418020284</v>
      </c>
      <c r="Q12" s="6">
        <f t="shared" si="14"/>
        <v>0.19947948418020284</v>
      </c>
      <c r="R12" s="177">
        <f t="shared" si="15"/>
        <v>0.19947948418020284</v>
      </c>
      <c r="S12" s="177">
        <f t="shared" si="16"/>
        <v>0.19947948418020284</v>
      </c>
      <c r="T12" s="177">
        <f t="shared" si="17"/>
        <v>0.19947948418020284</v>
      </c>
      <c r="U12" s="172">
        <f>IF(VLEESKALKOENEN!$H$15="ja",L12-((E12-G12*95%-I12)/E12*L12)*$R$6,L12-((E12-G12*80%-I12)/E12*L12)*$R$6)</f>
        <v>0.19947948418020284</v>
      </c>
      <c r="V12" s="109">
        <f t="shared" si="5"/>
        <v>0.19947948418020284</v>
      </c>
      <c r="W12" s="188">
        <f t="shared" si="18"/>
        <v>0.19947948418020284</v>
      </c>
      <c r="X12" s="217">
        <f t="shared" si="19"/>
        <v>1</v>
      </c>
      <c r="AB12" s="130" t="s">
        <v>171</v>
      </c>
      <c r="AC12" s="133">
        <f t="shared" ref="AC12:AD12" si="20">365/AC11</f>
        <v>19.210526315789473</v>
      </c>
      <c r="AD12" s="134">
        <f t="shared" si="20"/>
        <v>11.060606060606061</v>
      </c>
      <c r="AE12" s="133">
        <f>365/AE11</f>
        <v>19.210526315789473</v>
      </c>
      <c r="AF12" s="134">
        <f t="shared" ref="AF12" si="21">365/AF11</f>
        <v>11.060606060606061</v>
      </c>
    </row>
    <row r="13" spans="1:32" x14ac:dyDescent="0.2">
      <c r="A13" s="1">
        <v>4</v>
      </c>
      <c r="B13" s="1">
        <v>0.1</v>
      </c>
      <c r="E13" s="7">
        <f t="shared" si="8"/>
        <v>0.11499999999999999</v>
      </c>
      <c r="F13" s="7">
        <f t="shared" si="9"/>
        <v>0.11499999999999999</v>
      </c>
      <c r="G13" s="179">
        <f t="shared" si="0"/>
        <v>0</v>
      </c>
      <c r="H13" s="179">
        <f t="shared" si="1"/>
        <v>0</v>
      </c>
      <c r="I13" s="179">
        <f t="shared" si="2"/>
        <v>0</v>
      </c>
      <c r="J13" s="6">
        <f t="shared" si="10"/>
        <v>0.22410151836645426</v>
      </c>
      <c r="K13" s="129">
        <v>1</v>
      </c>
      <c r="L13" s="6">
        <f t="shared" si="11"/>
        <v>0.22575986960236602</v>
      </c>
      <c r="M13" s="191">
        <f t="shared" si="12"/>
        <v>0.22575986960236602</v>
      </c>
      <c r="N13" s="131">
        <f t="shared" si="3"/>
        <v>0.22575986960236602</v>
      </c>
      <c r="O13" s="191">
        <f t="shared" si="13"/>
        <v>0.22575986960236602</v>
      </c>
      <c r="P13" s="191">
        <f t="shared" si="4"/>
        <v>0.22575986960236602</v>
      </c>
      <c r="Q13" s="6">
        <f t="shared" si="14"/>
        <v>0.22575986960236602</v>
      </c>
      <c r="R13" s="177">
        <f t="shared" si="15"/>
        <v>0.22575986960236602</v>
      </c>
      <c r="S13" s="177">
        <f t="shared" si="16"/>
        <v>0.22575986960236602</v>
      </c>
      <c r="T13" s="177">
        <f t="shared" si="17"/>
        <v>0.22575986960236602</v>
      </c>
      <c r="U13" s="172">
        <f>IF(VLEESKALKOENEN!$H$15="ja",L13-((E13-G13*95%-I13)/E13*L13)*$R$6,L13-((E13-G13*80%-I13)/E13*L13)*$R$6)</f>
        <v>0.22575986960236602</v>
      </c>
      <c r="V13" s="109">
        <f t="shared" si="5"/>
        <v>0.22575986960236602</v>
      </c>
      <c r="W13" s="188">
        <f t="shared" si="18"/>
        <v>0.22575986960236602</v>
      </c>
      <c r="X13" s="217">
        <f t="shared" si="19"/>
        <v>1</v>
      </c>
      <c r="AB13" s="126" t="s">
        <v>172</v>
      </c>
      <c r="AC13" s="133">
        <f>AVERAGE(L10:L22)/$AA$23</f>
        <v>5.8944120002523817E-2</v>
      </c>
      <c r="AD13" s="134">
        <f>AVERAGE(L10:L28)/$AA$23</f>
        <v>9.6452798516556471E-2</v>
      </c>
      <c r="AE13" s="133">
        <f>AVERAGE(N10:N22)/$AA$23</f>
        <v>5.8944120002523817E-2</v>
      </c>
      <c r="AF13" s="134">
        <f>AVERAGE(N10:N28)/$AA$23</f>
        <v>9.6452798516556471E-2</v>
      </c>
    </row>
    <row r="14" spans="1:32" x14ac:dyDescent="0.2">
      <c r="A14" s="1">
        <v>5</v>
      </c>
      <c r="B14" s="1">
        <v>0.12</v>
      </c>
      <c r="E14" s="7">
        <f t="shared" si="8"/>
        <v>0.13799999999999998</v>
      </c>
      <c r="F14" s="7">
        <f t="shared" si="9"/>
        <v>0.13799999999999998</v>
      </c>
      <c r="G14" s="179">
        <f t="shared" si="0"/>
        <v>0</v>
      </c>
      <c r="H14" s="179">
        <f t="shared" si="1"/>
        <v>0</v>
      </c>
      <c r="I14" s="179">
        <f t="shared" si="2"/>
        <v>0</v>
      </c>
      <c r="J14" s="6">
        <f t="shared" si="10"/>
        <v>0.22826315595722607</v>
      </c>
      <c r="K14" s="129">
        <v>1</v>
      </c>
      <c r="L14" s="6">
        <f t="shared" si="11"/>
        <v>0.27594276397357137</v>
      </c>
      <c r="M14" s="191">
        <f t="shared" si="12"/>
        <v>0.27594276397357137</v>
      </c>
      <c r="N14" s="131">
        <f t="shared" si="3"/>
        <v>0.27594276397357137</v>
      </c>
      <c r="O14" s="191">
        <f t="shared" si="13"/>
        <v>0.27594276397357137</v>
      </c>
      <c r="P14" s="191">
        <f t="shared" si="4"/>
        <v>0.27594276397357137</v>
      </c>
      <c r="Q14" s="6">
        <f t="shared" si="14"/>
        <v>0.27594276397357137</v>
      </c>
      <c r="R14" s="177">
        <f t="shared" si="15"/>
        <v>0.27594276397357137</v>
      </c>
      <c r="S14" s="177">
        <f t="shared" si="16"/>
        <v>0.27594276397357137</v>
      </c>
      <c r="T14" s="177">
        <f t="shared" si="17"/>
        <v>0.27594276397357137</v>
      </c>
      <c r="U14" s="172">
        <f>IF(VLEESKALKOENEN!$H$15="ja",L14-((E14-G14*95%-I14)/E14*L14)*$R$6,L14-((E14-G14*80%-I14)/E14*L14)*$R$6)</f>
        <v>0.27594276397357137</v>
      </c>
      <c r="V14" s="109">
        <f t="shared" si="5"/>
        <v>0.27594276397357137</v>
      </c>
      <c r="W14" s="188">
        <f t="shared" si="18"/>
        <v>0.27594276397357137</v>
      </c>
      <c r="X14" s="217">
        <f t="shared" si="19"/>
        <v>1</v>
      </c>
      <c r="AB14" s="135" t="s">
        <v>173</v>
      </c>
      <c r="AC14" s="136">
        <f>AC13*AC12</f>
        <v>1.1323475684695363</v>
      </c>
      <c r="AD14" s="137">
        <f>AD13*AD12</f>
        <v>1.0668264078346397</v>
      </c>
      <c r="AE14" s="136">
        <f>AE13*AE12</f>
        <v>1.1323475684695363</v>
      </c>
      <c r="AF14" s="137">
        <f>AF13*AF12</f>
        <v>1.0668264078346397</v>
      </c>
    </row>
    <row r="15" spans="1:32" x14ac:dyDescent="0.2">
      <c r="A15" s="1">
        <v>6</v>
      </c>
      <c r="B15" s="1">
        <v>0.14000000000000001</v>
      </c>
      <c r="E15" s="7">
        <f t="shared" si="8"/>
        <v>0.161</v>
      </c>
      <c r="F15" s="7">
        <f t="shared" si="9"/>
        <v>0.161</v>
      </c>
      <c r="G15" s="179">
        <f t="shared" si="0"/>
        <v>0</v>
      </c>
      <c r="H15" s="179">
        <f t="shared" si="1"/>
        <v>0</v>
      </c>
      <c r="I15" s="179">
        <f t="shared" si="2"/>
        <v>0</v>
      </c>
      <c r="J15" s="6">
        <f t="shared" si="10"/>
        <v>0.23250207650245164</v>
      </c>
      <c r="K15" s="129">
        <v>1</v>
      </c>
      <c r="L15" s="6">
        <f t="shared" si="11"/>
        <v>0.32791162861599771</v>
      </c>
      <c r="M15" s="191">
        <f t="shared" si="12"/>
        <v>0.32791162861599771</v>
      </c>
      <c r="N15" s="131">
        <f t="shared" si="3"/>
        <v>0.32791162861599771</v>
      </c>
      <c r="O15" s="191">
        <f t="shared" si="13"/>
        <v>0.32791162861599771</v>
      </c>
      <c r="P15" s="191">
        <f t="shared" si="4"/>
        <v>0.32791162861599771</v>
      </c>
      <c r="Q15" s="6">
        <f t="shared" si="14"/>
        <v>0.32791162861599771</v>
      </c>
      <c r="R15" s="177">
        <f t="shared" si="15"/>
        <v>0.32791162861599771</v>
      </c>
      <c r="S15" s="177">
        <f t="shared" si="16"/>
        <v>0.32791162861599771</v>
      </c>
      <c r="T15" s="177">
        <f t="shared" si="17"/>
        <v>0.32791162861599771</v>
      </c>
      <c r="U15" s="172">
        <f>IF(VLEESKALKOENEN!$H$15="ja",L15-((E15-G15*95%-I15)/E15*L15)*$R$6,L15-((E15-G15*80%-I15)/E15*L15)*$R$6)</f>
        <v>0.32791162861599771</v>
      </c>
      <c r="V15" s="109">
        <f t="shared" si="5"/>
        <v>0.32791162861599771</v>
      </c>
      <c r="W15" s="188">
        <f t="shared" si="18"/>
        <v>0.32791162861599771</v>
      </c>
      <c r="X15" s="217">
        <f t="shared" si="19"/>
        <v>1</v>
      </c>
      <c r="AB15" s="122" t="s">
        <v>174</v>
      </c>
      <c r="AC15" s="138"/>
      <c r="AD15" s="139"/>
      <c r="AE15" s="138"/>
      <c r="AF15" s="139"/>
    </row>
    <row r="16" spans="1:32" x14ac:dyDescent="0.2">
      <c r="A16" s="1">
        <v>7</v>
      </c>
      <c r="B16" s="1">
        <v>0.16</v>
      </c>
      <c r="E16" s="7">
        <f t="shared" si="8"/>
        <v>0.184</v>
      </c>
      <c r="F16" s="7">
        <f t="shared" si="9"/>
        <v>0.184</v>
      </c>
      <c r="G16" s="179">
        <f t="shared" si="0"/>
        <v>0</v>
      </c>
      <c r="H16" s="179">
        <f t="shared" si="1"/>
        <v>0</v>
      </c>
      <c r="I16" s="179">
        <f t="shared" si="2"/>
        <v>0</v>
      </c>
      <c r="J16" s="6">
        <f t="shared" si="10"/>
        <v>0.23681971517156092</v>
      </c>
      <c r="K16" s="129">
        <v>1</v>
      </c>
      <c r="L16" s="6">
        <f t="shared" si="11"/>
        <v>0.38171548970212871</v>
      </c>
      <c r="M16" s="191">
        <f t="shared" si="12"/>
        <v>0.38171548970212871</v>
      </c>
      <c r="N16" s="131">
        <f t="shared" si="3"/>
        <v>0.38171548970212871</v>
      </c>
      <c r="O16" s="191">
        <f t="shared" si="13"/>
        <v>0.38171548970212871</v>
      </c>
      <c r="P16" s="191">
        <f t="shared" si="4"/>
        <v>0.38171548970212871</v>
      </c>
      <c r="Q16" s="6">
        <f t="shared" si="14"/>
        <v>0.38171548970212871</v>
      </c>
      <c r="R16" s="177">
        <f t="shared" si="15"/>
        <v>0.38171548970212871</v>
      </c>
      <c r="S16" s="177">
        <f t="shared" si="16"/>
        <v>0.38171548970212871</v>
      </c>
      <c r="T16" s="177">
        <f t="shared" si="17"/>
        <v>0.38171548970212871</v>
      </c>
      <c r="U16" s="172">
        <f>IF(VLEESKALKOENEN!$H$15="ja",L16-((E16-G16*95%-I16)/E16*L16)*$R$6,L16-((E16-G16*80%-I16)/E16*L16)*$R$6)</f>
        <v>0.38171548970212871</v>
      </c>
      <c r="V16" s="109">
        <f t="shared" si="5"/>
        <v>0.38171548970212871</v>
      </c>
      <c r="W16" s="188">
        <f t="shared" si="18"/>
        <v>0.38171548970212871</v>
      </c>
      <c r="X16" s="217">
        <f t="shared" si="19"/>
        <v>1</v>
      </c>
      <c r="AB16" s="130" t="s">
        <v>175</v>
      </c>
      <c r="AC16" s="120"/>
      <c r="AD16" s="121"/>
      <c r="AE16" s="120"/>
      <c r="AF16" s="121"/>
    </row>
    <row r="17" spans="1:32" x14ac:dyDescent="0.2">
      <c r="A17" s="1">
        <v>8</v>
      </c>
      <c r="B17" s="1">
        <v>0.18</v>
      </c>
      <c r="E17" s="7">
        <f t="shared" si="8"/>
        <v>0.20699999999999999</v>
      </c>
      <c r="F17" s="7">
        <f t="shared" si="9"/>
        <v>0.20699999999999999</v>
      </c>
      <c r="G17" s="179">
        <f t="shared" si="0"/>
        <v>0</v>
      </c>
      <c r="H17" s="179">
        <f t="shared" si="1"/>
        <v>0</v>
      </c>
      <c r="I17" s="179">
        <f t="shared" si="2"/>
        <v>0</v>
      </c>
      <c r="J17" s="6">
        <f t="shared" si="10"/>
        <v>0.24121753378554392</v>
      </c>
      <c r="K17" s="129">
        <v>1</v>
      </c>
      <c r="L17" s="6">
        <f t="shared" si="11"/>
        <v>0.43740457836400248</v>
      </c>
      <c r="M17" s="191">
        <f t="shared" si="12"/>
        <v>0.43740457836400248</v>
      </c>
      <c r="N17" s="131">
        <f t="shared" si="3"/>
        <v>0.43740457836400248</v>
      </c>
      <c r="O17" s="191">
        <f t="shared" si="13"/>
        <v>0.43740457836400248</v>
      </c>
      <c r="P17" s="191">
        <f t="shared" si="4"/>
        <v>0.43740457836400248</v>
      </c>
      <c r="Q17" s="6">
        <f t="shared" si="14"/>
        <v>0.43740457836400248</v>
      </c>
      <c r="R17" s="177">
        <f t="shared" si="15"/>
        <v>0.43740457836400248</v>
      </c>
      <c r="S17" s="177">
        <f t="shared" si="16"/>
        <v>0.43740457836400248</v>
      </c>
      <c r="T17" s="177">
        <f t="shared" si="17"/>
        <v>0.43740457836400248</v>
      </c>
      <c r="U17" s="172">
        <f>IF(VLEESKALKOENEN!$H$15="ja",L17-((E17-G17*95%-I17)/E17*L17)*$R$6,L17-((E17-G17*80%-I17)/E17*L17)*$R$6)</f>
        <v>0.43740457836400248</v>
      </c>
      <c r="V17" s="109">
        <f t="shared" si="5"/>
        <v>0.43740457836400248</v>
      </c>
      <c r="W17" s="188">
        <f t="shared" si="18"/>
        <v>0.43740457836400248</v>
      </c>
      <c r="X17" s="217">
        <f t="shared" si="19"/>
        <v>1</v>
      </c>
      <c r="AB17" s="130" t="s">
        <v>176</v>
      </c>
      <c r="AC17" s="120">
        <v>42</v>
      </c>
      <c r="AD17" s="121">
        <v>42</v>
      </c>
      <c r="AE17" s="120">
        <v>42</v>
      </c>
      <c r="AF17" s="121">
        <v>42</v>
      </c>
    </row>
    <row r="18" spans="1:32" x14ac:dyDescent="0.2">
      <c r="A18" s="1">
        <v>9</v>
      </c>
      <c r="B18" s="1">
        <v>0.2</v>
      </c>
      <c r="E18" s="7">
        <f t="shared" si="8"/>
        <v>0.22999999999999998</v>
      </c>
      <c r="F18" s="7">
        <f t="shared" si="9"/>
        <v>0.22999999999999998</v>
      </c>
      <c r="G18" s="179">
        <f t="shared" si="0"/>
        <v>0</v>
      </c>
      <c r="H18" s="179">
        <f t="shared" si="1"/>
        <v>0</v>
      </c>
      <c r="I18" s="179">
        <f t="shared" si="2"/>
        <v>0</v>
      </c>
      <c r="J18" s="6">
        <f t="shared" si="10"/>
        <v>0.24569702131187857</v>
      </c>
      <c r="K18" s="129">
        <v>1</v>
      </c>
      <c r="L18" s="6">
        <f t="shared" si="11"/>
        <v>0.49503035853917288</v>
      </c>
      <c r="M18" s="191">
        <f t="shared" si="12"/>
        <v>0.49503035853917288</v>
      </c>
      <c r="N18" s="131">
        <f t="shared" si="3"/>
        <v>0.49503035853917288</v>
      </c>
      <c r="O18" s="191">
        <f t="shared" si="13"/>
        <v>0.49503035853917288</v>
      </c>
      <c r="P18" s="191">
        <f t="shared" si="4"/>
        <v>0.49503035853917288</v>
      </c>
      <c r="Q18" s="6">
        <f t="shared" si="14"/>
        <v>0.49503035853917288</v>
      </c>
      <c r="R18" s="177">
        <f t="shared" si="15"/>
        <v>0.49503035853917288</v>
      </c>
      <c r="S18" s="177">
        <f t="shared" si="16"/>
        <v>0.49503035853917288</v>
      </c>
      <c r="T18" s="177">
        <f t="shared" si="17"/>
        <v>0.49503035853917288</v>
      </c>
      <c r="U18" s="172">
        <f>IF(VLEESKALKOENEN!$H$15="ja",L18-((E18-G18*95%-I18)/E18*L18)*$R$6,L18-((E18-G18*80%-I18)/E18*L18)*$R$6)</f>
        <v>0.49503035853917288</v>
      </c>
      <c r="V18" s="109">
        <f t="shared" si="5"/>
        <v>0.49503035853917288</v>
      </c>
      <c r="W18" s="188">
        <f t="shared" si="18"/>
        <v>0.49503035853917288</v>
      </c>
      <c r="X18" s="217">
        <f t="shared" si="19"/>
        <v>1</v>
      </c>
      <c r="AB18" s="130" t="s">
        <v>177</v>
      </c>
      <c r="AC18" s="120">
        <f>+AC8</f>
        <v>13</v>
      </c>
      <c r="AD18" s="121">
        <f>+AD8</f>
        <v>19</v>
      </c>
      <c r="AE18" s="120">
        <f>+AE8</f>
        <v>13</v>
      </c>
      <c r="AF18" s="121">
        <f>+AF8</f>
        <v>19</v>
      </c>
    </row>
    <row r="19" spans="1:32" x14ac:dyDescent="0.2">
      <c r="A19" s="1">
        <v>10</v>
      </c>
      <c r="B19" s="1">
        <v>0.22</v>
      </c>
      <c r="E19" s="7">
        <f t="shared" si="8"/>
        <v>0.253</v>
      </c>
      <c r="F19" s="7">
        <f t="shared" si="9"/>
        <v>0.253</v>
      </c>
      <c r="G19" s="179">
        <f t="shared" si="0"/>
        <v>0</v>
      </c>
      <c r="H19" s="179">
        <f t="shared" si="1"/>
        <v>0</v>
      </c>
      <c r="I19" s="179">
        <f t="shared" si="2"/>
        <v>0</v>
      </c>
      <c r="J19" s="6">
        <f t="shared" si="10"/>
        <v>0.25025969436864992</v>
      </c>
      <c r="K19" s="129">
        <v>1</v>
      </c>
      <c r="L19" s="6">
        <f t="shared" si="11"/>
        <v>0.55464555543535143</v>
      </c>
      <c r="M19" s="191">
        <f t="shared" si="12"/>
        <v>0.55464555543535143</v>
      </c>
      <c r="N19" s="131">
        <f t="shared" si="3"/>
        <v>0.55464555543535143</v>
      </c>
      <c r="O19" s="191">
        <f t="shared" si="13"/>
        <v>0.55464555543535143</v>
      </c>
      <c r="P19" s="191">
        <f t="shared" si="4"/>
        <v>0.55464555543535143</v>
      </c>
      <c r="Q19" s="6">
        <f t="shared" si="14"/>
        <v>0.55464555543535143</v>
      </c>
      <c r="R19" s="177">
        <f t="shared" si="15"/>
        <v>0.55464555543535143</v>
      </c>
      <c r="S19" s="177">
        <f t="shared" si="16"/>
        <v>0.55464555543535143</v>
      </c>
      <c r="T19" s="177">
        <f t="shared" si="17"/>
        <v>0.55464555543535143</v>
      </c>
      <c r="U19" s="172">
        <f>IF(VLEESKALKOENEN!$H$15="ja",L19-((E19-G19*95%-I19)/E19*L19)*$R$6,L19-((E19-G19*80%-I19)/E19*L19)*$R$6)</f>
        <v>0.55464555543535143</v>
      </c>
      <c r="V19" s="109">
        <f t="shared" si="5"/>
        <v>0.55464555543535143</v>
      </c>
      <c r="W19" s="188">
        <f t="shared" si="18"/>
        <v>0.55464555543535143</v>
      </c>
      <c r="X19" s="217">
        <f t="shared" si="19"/>
        <v>1</v>
      </c>
      <c r="AA19" s="1">
        <v>42</v>
      </c>
      <c r="AB19" s="130" t="s">
        <v>178</v>
      </c>
      <c r="AC19" s="140">
        <f t="shared" ref="AC19:AD19" si="22">AC17-AC18</f>
        <v>29</v>
      </c>
      <c r="AD19" s="141">
        <f t="shared" si="22"/>
        <v>23</v>
      </c>
      <c r="AE19" s="140">
        <f>AE17-AE18</f>
        <v>29</v>
      </c>
      <c r="AF19" s="141">
        <f t="shared" ref="AF19" si="23">AF17-AF18</f>
        <v>23</v>
      </c>
    </row>
    <row r="20" spans="1:32" x14ac:dyDescent="0.2">
      <c r="A20" s="1">
        <v>11</v>
      </c>
      <c r="B20" s="1">
        <v>0.25</v>
      </c>
      <c r="E20" s="7">
        <f t="shared" si="8"/>
        <v>0.28749999999999998</v>
      </c>
      <c r="F20" s="7">
        <f t="shared" si="9"/>
        <v>0.28749999999999998</v>
      </c>
      <c r="G20" s="179">
        <f t="shared" si="0"/>
        <v>0</v>
      </c>
      <c r="H20" s="179">
        <f t="shared" si="1"/>
        <v>0</v>
      </c>
      <c r="I20" s="179">
        <f t="shared" si="2"/>
        <v>0</v>
      </c>
      <c r="J20" s="6">
        <f t="shared" si="10"/>
        <v>0.25490709773803089</v>
      </c>
      <c r="K20" s="129">
        <v>1</v>
      </c>
      <c r="L20" s="6">
        <f t="shared" si="11"/>
        <v>0.64198352565323069</v>
      </c>
      <c r="M20" s="191">
        <f t="shared" si="12"/>
        <v>0.64198352565323069</v>
      </c>
      <c r="N20" s="131">
        <f t="shared" si="3"/>
        <v>0.64198352565323069</v>
      </c>
      <c r="O20" s="191">
        <f t="shared" si="13"/>
        <v>0.64198352565323069</v>
      </c>
      <c r="P20" s="191">
        <f t="shared" si="4"/>
        <v>0.64198352565323069</v>
      </c>
      <c r="Q20" s="6">
        <f t="shared" si="14"/>
        <v>0.64198352565323069</v>
      </c>
      <c r="R20" s="177">
        <f t="shared" si="15"/>
        <v>0.64198352565323069</v>
      </c>
      <c r="S20" s="177">
        <f t="shared" si="16"/>
        <v>0.64198352565323069</v>
      </c>
      <c r="T20" s="177">
        <f t="shared" si="17"/>
        <v>0.64198352565323069</v>
      </c>
      <c r="U20" s="172">
        <f>IF(VLEESKALKOENEN!$H$15="ja",L20-((E20-G20*95%-I20)/E20*L20)*$R$6,L20-((E20-G20*80%-I20)/E20*L20)*$R$6)</f>
        <v>0.64198352565323069</v>
      </c>
      <c r="V20" s="109">
        <f t="shared" si="5"/>
        <v>0.64198352565323069</v>
      </c>
      <c r="W20" s="188">
        <f t="shared" si="18"/>
        <v>0.64198352565323069</v>
      </c>
      <c r="X20" s="217">
        <f t="shared" si="19"/>
        <v>1</v>
      </c>
      <c r="AA20" s="1">
        <v>0</v>
      </c>
      <c r="AB20" s="130" t="s">
        <v>179</v>
      </c>
      <c r="AC20" s="142">
        <v>10</v>
      </c>
      <c r="AD20" s="143">
        <v>10</v>
      </c>
      <c r="AE20" s="142">
        <v>10</v>
      </c>
      <c r="AF20" s="143">
        <v>10</v>
      </c>
    </row>
    <row r="21" spans="1:32" x14ac:dyDescent="0.2">
      <c r="A21" s="1">
        <v>12</v>
      </c>
      <c r="B21" s="1">
        <v>0.28000000000000003</v>
      </c>
      <c r="E21" s="7">
        <f t="shared" si="8"/>
        <v>0.32200000000000001</v>
      </c>
      <c r="F21" s="7">
        <f t="shared" si="9"/>
        <v>0.32200000000000001</v>
      </c>
      <c r="G21" s="179">
        <f t="shared" si="0"/>
        <v>0</v>
      </c>
      <c r="H21" s="179">
        <f t="shared" si="1"/>
        <v>0</v>
      </c>
      <c r="I21" s="179">
        <f t="shared" si="2"/>
        <v>0</v>
      </c>
      <c r="J21" s="6">
        <f t="shared" si="10"/>
        <v>0.25964080488929814</v>
      </c>
      <c r="K21" s="129">
        <v>1</v>
      </c>
      <c r="L21" s="6">
        <f t="shared" si="11"/>
        <v>0.73237401116734102</v>
      </c>
      <c r="M21" s="191">
        <f t="shared" si="12"/>
        <v>0.73237401116734102</v>
      </c>
      <c r="N21" s="131">
        <f t="shared" si="3"/>
        <v>0.73237401116734102</v>
      </c>
      <c r="O21" s="191">
        <f t="shared" si="13"/>
        <v>0.73237401116734102</v>
      </c>
      <c r="P21" s="191">
        <f t="shared" si="4"/>
        <v>0.73237401116734102</v>
      </c>
      <c r="Q21" s="6">
        <f t="shared" si="14"/>
        <v>0.73237401116734102</v>
      </c>
      <c r="R21" s="177">
        <f t="shared" si="15"/>
        <v>0.73237401116734102</v>
      </c>
      <c r="S21" s="177">
        <f t="shared" si="16"/>
        <v>0.73237401116734102</v>
      </c>
      <c r="T21" s="177">
        <f t="shared" si="17"/>
        <v>0.73237401116734102</v>
      </c>
      <c r="U21" s="172">
        <f>IF(VLEESKALKOENEN!$H$15="ja",L21-((E21-G21*95%-I21)/E21*L21)*$R$6,L21-((E21-G21*80%-I21)/E21*L21)*$R$6)</f>
        <v>0.73237401116734102</v>
      </c>
      <c r="V21" s="109">
        <f t="shared" si="5"/>
        <v>0.73237401116734102</v>
      </c>
      <c r="W21" s="188">
        <f t="shared" si="18"/>
        <v>0.73237401116734102</v>
      </c>
      <c r="X21" s="217">
        <f t="shared" si="19"/>
        <v>1</v>
      </c>
      <c r="AA21" s="1">
        <v>42</v>
      </c>
      <c r="AB21" s="130" t="s">
        <v>180</v>
      </c>
      <c r="AC21" s="144">
        <f>365/(AC19+AC20)</f>
        <v>9.3589743589743595</v>
      </c>
      <c r="AD21" s="145">
        <f>365/(AD19+AD20)</f>
        <v>11.060606060606061</v>
      </c>
      <c r="AE21" s="144">
        <f>365/(AE19+AE20)</f>
        <v>9.3589743589743595</v>
      </c>
      <c r="AF21" s="145">
        <f>365/(AF19+AF20)</f>
        <v>11.060606060606061</v>
      </c>
    </row>
    <row r="22" spans="1:32" x14ac:dyDescent="0.2">
      <c r="A22" s="146">
        <v>13</v>
      </c>
      <c r="B22" s="147">
        <v>0.31</v>
      </c>
      <c r="C22" s="148"/>
      <c r="D22" s="147"/>
      <c r="E22" s="7">
        <f t="shared" si="8"/>
        <v>0.35649999999999998</v>
      </c>
      <c r="F22" s="149">
        <f t="shared" si="9"/>
        <v>0.35649999999999998</v>
      </c>
      <c r="G22" s="179">
        <f t="shared" si="0"/>
        <v>0</v>
      </c>
      <c r="H22" s="179">
        <f t="shared" si="1"/>
        <v>0</v>
      </c>
      <c r="I22" s="179">
        <f t="shared" si="2"/>
        <v>0</v>
      </c>
      <c r="J22" s="6">
        <f t="shared" si="10"/>
        <v>0.26446241851156127</v>
      </c>
      <c r="K22" s="129">
        <v>1</v>
      </c>
      <c r="L22" s="6">
        <f t="shared" si="11"/>
        <v>0.82590026526649507</v>
      </c>
      <c r="M22" s="191">
        <f t="shared" si="12"/>
        <v>0.82590026526649507</v>
      </c>
      <c r="N22" s="131">
        <f t="shared" si="3"/>
        <v>0.82590026526649507</v>
      </c>
      <c r="O22" s="191">
        <f t="shared" si="13"/>
        <v>0.82590026526649507</v>
      </c>
      <c r="P22" s="191">
        <f t="shared" si="4"/>
        <v>0.82590026526649507</v>
      </c>
      <c r="Q22" s="6">
        <f t="shared" si="14"/>
        <v>0.82590026526649507</v>
      </c>
      <c r="R22" s="177">
        <f t="shared" si="15"/>
        <v>0.82590026526649507</v>
      </c>
      <c r="S22" s="177">
        <f t="shared" si="16"/>
        <v>0.82590026526649507</v>
      </c>
      <c r="T22" s="177">
        <f t="shared" si="17"/>
        <v>0.82590026526649507</v>
      </c>
      <c r="U22" s="172">
        <f>IF(VLEESKALKOENEN!$H$15="ja",L22-((E22-G22*95%-I22)/E22*L22)*$R$6,L22-((E22-G22*80%-I22)/E22*L22)*$R$6)</f>
        <v>0.82590026526649507</v>
      </c>
      <c r="V22" s="109">
        <f t="shared" si="5"/>
        <v>0.82590026526649507</v>
      </c>
      <c r="W22" s="188">
        <f t="shared" si="18"/>
        <v>0.82590026526649507</v>
      </c>
      <c r="X22" s="217">
        <f t="shared" si="19"/>
        <v>1</v>
      </c>
      <c r="AA22" s="1">
        <v>10</v>
      </c>
      <c r="AB22" s="126" t="s">
        <v>181</v>
      </c>
      <c r="AC22" s="133">
        <f>AVERAGE(L23:L51)/$AA$23</f>
        <v>0.61913712629155815</v>
      </c>
      <c r="AD22" s="134">
        <f>AVERAGE(L29:L51)/$AA$23</f>
        <v>0.73428900220319249</v>
      </c>
      <c r="AE22" s="133">
        <f>AVERAGE(N23:N51)/$AA$23</f>
        <v>0.61913712629155815</v>
      </c>
      <c r="AF22" s="134">
        <f>AVERAGE(N29:N51)/$AA$23</f>
        <v>0.73428900220319249</v>
      </c>
    </row>
    <row r="23" spans="1:32" x14ac:dyDescent="0.2">
      <c r="A23" s="1">
        <v>14</v>
      </c>
      <c r="B23" s="1">
        <v>0.34</v>
      </c>
      <c r="E23" s="7">
        <f t="shared" si="8"/>
        <v>0.39100000000000001</v>
      </c>
      <c r="F23" s="7">
        <f t="shared" si="9"/>
        <v>0.39100000000000001</v>
      </c>
      <c r="G23" s="179">
        <f t="shared" si="0"/>
        <v>0</v>
      </c>
      <c r="H23" s="179">
        <f t="shared" si="1"/>
        <v>0</v>
      </c>
      <c r="I23" s="179">
        <f t="shared" si="2"/>
        <v>0</v>
      </c>
      <c r="J23" s="6">
        <f t="shared" si="10"/>
        <v>0.26937357105638443</v>
      </c>
      <c r="K23" s="129">
        <v>1</v>
      </c>
      <c r="L23" s="6">
        <f t="shared" si="11"/>
        <v>0.92264758063948571</v>
      </c>
      <c r="M23" s="191">
        <f t="shared" si="12"/>
        <v>0.92264758063948571</v>
      </c>
      <c r="N23" s="131">
        <f t="shared" si="3"/>
        <v>0.92264758063948571</v>
      </c>
      <c r="O23" s="191">
        <f t="shared" si="13"/>
        <v>0.92264758063948571</v>
      </c>
      <c r="P23" s="191">
        <f t="shared" si="4"/>
        <v>0.92264758063948571</v>
      </c>
      <c r="Q23" s="6">
        <f t="shared" si="14"/>
        <v>0.92264758063948571</v>
      </c>
      <c r="R23" s="177">
        <f t="shared" si="15"/>
        <v>0.92264758063948571</v>
      </c>
      <c r="S23" s="177">
        <f t="shared" si="16"/>
        <v>0.92264758063948571</v>
      </c>
      <c r="T23" s="177">
        <f t="shared" si="17"/>
        <v>0.92264758063948571</v>
      </c>
      <c r="U23" s="172">
        <f>IF(VLEESKALKOENEN!$H$15="ja",L23-((E23-G23*95%-I23)/E23*L23)*$R$6,L23-((E23-G23*80%-I23)/E23*L23)*$R$6)</f>
        <v>0.92264758063948571</v>
      </c>
      <c r="V23" s="109">
        <f t="shared" si="5"/>
        <v>0.92264758063948571</v>
      </c>
      <c r="W23" s="188">
        <f t="shared" si="18"/>
        <v>0.92264758063948571</v>
      </c>
      <c r="X23" s="217">
        <f t="shared" si="19"/>
        <v>1</v>
      </c>
      <c r="AA23" s="5">
        <f>365/(AA21+AA22)</f>
        <v>7.0192307692307692</v>
      </c>
      <c r="AB23" s="135" t="s">
        <v>173</v>
      </c>
      <c r="AC23" s="136">
        <f>AC22*AC21</f>
        <v>5.7944884896517621</v>
      </c>
      <c r="AD23" s="137">
        <f>AD22*AD21</f>
        <v>8.1216813880050083</v>
      </c>
      <c r="AE23" s="136">
        <f>AE22*AE21</f>
        <v>5.7944884896517621</v>
      </c>
      <c r="AF23" s="137">
        <f>AF22*AF21</f>
        <v>8.1216813880050083</v>
      </c>
    </row>
    <row r="24" spans="1:32" x14ac:dyDescent="0.2">
      <c r="A24" s="1">
        <v>15</v>
      </c>
      <c r="B24" s="1">
        <v>0.38</v>
      </c>
      <c r="E24" s="7">
        <f t="shared" si="8"/>
        <v>0.43699999999999994</v>
      </c>
      <c r="F24" s="7">
        <f t="shared" si="9"/>
        <v>0.43699999999999994</v>
      </c>
      <c r="G24" s="179">
        <f t="shared" si="0"/>
        <v>0</v>
      </c>
      <c r="H24" s="179">
        <f t="shared" si="1"/>
        <v>0</v>
      </c>
      <c r="I24" s="179">
        <f t="shared" si="2"/>
        <v>0</v>
      </c>
      <c r="J24" s="6">
        <f t="shared" si="10"/>
        <v>0.27437592529048455</v>
      </c>
      <c r="K24" s="129">
        <v>1</v>
      </c>
      <c r="L24" s="6">
        <f t="shared" si="11"/>
        <v>1.0503439671230095</v>
      </c>
      <c r="M24" s="191">
        <f t="shared" si="12"/>
        <v>1.0503439671230095</v>
      </c>
      <c r="N24" s="131">
        <f t="shared" si="3"/>
        <v>1.0503439671230095</v>
      </c>
      <c r="O24" s="191">
        <f t="shared" si="13"/>
        <v>1.0503439671230095</v>
      </c>
      <c r="P24" s="191">
        <f t="shared" si="4"/>
        <v>1.0503439671230095</v>
      </c>
      <c r="Q24" s="6">
        <f t="shared" si="14"/>
        <v>1.0503439671230095</v>
      </c>
      <c r="R24" s="177">
        <f t="shared" si="15"/>
        <v>1.0503439671230095</v>
      </c>
      <c r="S24" s="177">
        <f t="shared" si="16"/>
        <v>1.0503439671230095</v>
      </c>
      <c r="T24" s="177">
        <f t="shared" si="17"/>
        <v>1.0503439671230095</v>
      </c>
      <c r="U24" s="172">
        <f>IF(VLEESKALKOENEN!$H$15="ja",L24-((E24-G24*95%-I24)/E24*L24)*$R$6,L24-((E24-G24*80%-I24)/E24*L24)*$R$6)</f>
        <v>1.0503439671230095</v>
      </c>
      <c r="V24" s="109">
        <f t="shared" si="5"/>
        <v>1.0503439671230095</v>
      </c>
      <c r="W24" s="188">
        <f t="shared" si="18"/>
        <v>1.0503439671230095</v>
      </c>
      <c r="X24" s="217">
        <f t="shared" si="19"/>
        <v>1</v>
      </c>
      <c r="AA24" s="132">
        <f>AA22/(AA21+AA22)</f>
        <v>0.19230769230769232</v>
      </c>
      <c r="AB24" s="150" t="s">
        <v>182</v>
      </c>
      <c r="AC24" s="151">
        <f>(AC14+(AC23*2))/3</f>
        <v>4.2404415159243536</v>
      </c>
      <c r="AD24" s="152">
        <f>(AD14+AD23)/2</f>
        <v>4.594253897919824</v>
      </c>
      <c r="AE24" s="151">
        <f>(AE14+(AE23*2))/3</f>
        <v>4.2404415159243536</v>
      </c>
      <c r="AF24" s="152">
        <f>(AF14+AF23)/2</f>
        <v>4.594253897919824</v>
      </c>
    </row>
    <row r="25" spans="1:32" x14ac:dyDescent="0.2">
      <c r="A25" s="1">
        <v>16</v>
      </c>
      <c r="B25" s="1">
        <v>0.41</v>
      </c>
      <c r="E25" s="7">
        <f t="shared" si="8"/>
        <v>0.47149999999999992</v>
      </c>
      <c r="F25" s="7">
        <f t="shared" si="9"/>
        <v>0.47149999999999992</v>
      </c>
      <c r="G25" s="179">
        <f t="shared" si="0"/>
        <v>0</v>
      </c>
      <c r="H25" s="179">
        <f t="shared" si="1"/>
        <v>0</v>
      </c>
      <c r="I25" s="179">
        <f t="shared" si="2"/>
        <v>0</v>
      </c>
      <c r="J25" s="6">
        <f t="shared" si="10"/>
        <v>0.27947117485869366</v>
      </c>
      <c r="K25" s="129">
        <v>1</v>
      </c>
      <c r="L25" s="6">
        <f t="shared" si="11"/>
        <v>1.1543109723658567</v>
      </c>
      <c r="M25" s="191">
        <f t="shared" si="12"/>
        <v>1.1543109723658567</v>
      </c>
      <c r="N25" s="131">
        <f t="shared" si="3"/>
        <v>1.1543109723658567</v>
      </c>
      <c r="O25" s="191">
        <f t="shared" si="13"/>
        <v>1.1543109723658567</v>
      </c>
      <c r="P25" s="191">
        <f t="shared" si="4"/>
        <v>1.1543109723658567</v>
      </c>
      <c r="Q25" s="6">
        <f t="shared" si="14"/>
        <v>1.1543109723658567</v>
      </c>
      <c r="R25" s="177">
        <f t="shared" si="15"/>
        <v>1.1543109723658567</v>
      </c>
      <c r="S25" s="177">
        <f t="shared" si="16"/>
        <v>1.1543109723658567</v>
      </c>
      <c r="T25" s="177">
        <f t="shared" si="17"/>
        <v>1.1543109723658567</v>
      </c>
      <c r="U25" s="172">
        <f>IF(VLEESKALKOENEN!$H$15="ja",L25-((E25-G25*95%-I25)/E25*L25)*$R$6,L25-((E25-G25*80%-I25)/E25*L25)*$R$6)</f>
        <v>1.1543109723658567</v>
      </c>
      <c r="V25" s="109">
        <f t="shared" si="5"/>
        <v>1.1543109723658567</v>
      </c>
      <c r="W25" s="188">
        <f t="shared" si="18"/>
        <v>1.1543109723658567</v>
      </c>
      <c r="X25" s="217">
        <f t="shared" si="19"/>
        <v>1</v>
      </c>
      <c r="AB25" s="153" t="s">
        <v>183</v>
      </c>
      <c r="AC25" s="154">
        <f>(AC24/$L$129)</f>
        <v>0.11779240135670759</v>
      </c>
      <c r="AD25" s="154">
        <f>(AD24/$L$129)</f>
        <v>0.12762071992883589</v>
      </c>
    </row>
    <row r="26" spans="1:32" x14ac:dyDescent="0.2">
      <c r="A26" s="1">
        <v>17</v>
      </c>
      <c r="B26" s="1">
        <v>0.45</v>
      </c>
      <c r="E26" s="7">
        <f t="shared" si="8"/>
        <v>0.51749999999999996</v>
      </c>
      <c r="F26" s="7">
        <f t="shared" si="9"/>
        <v>0.51749999999999996</v>
      </c>
      <c r="G26" s="179">
        <f t="shared" si="0"/>
        <v>0</v>
      </c>
      <c r="H26" s="179">
        <f t="shared" si="1"/>
        <v>0</v>
      </c>
      <c r="I26" s="179">
        <f t="shared" si="2"/>
        <v>0</v>
      </c>
      <c r="J26" s="6">
        <f t="shared" si="10"/>
        <v>0.28466104485737542</v>
      </c>
      <c r="K26" s="129">
        <v>1</v>
      </c>
      <c r="L26" s="6">
        <f t="shared" si="11"/>
        <v>1.2904539146519398</v>
      </c>
      <c r="M26" s="191">
        <f t="shared" si="12"/>
        <v>1.2904539146519398</v>
      </c>
      <c r="N26" s="131">
        <f t="shared" si="3"/>
        <v>1.2904539146519398</v>
      </c>
      <c r="O26" s="191">
        <f t="shared" si="13"/>
        <v>1.2904539146519398</v>
      </c>
      <c r="P26" s="191">
        <f t="shared" si="4"/>
        <v>1.2904539146519398</v>
      </c>
      <c r="Q26" s="6">
        <f t="shared" si="14"/>
        <v>1.2904539146519398</v>
      </c>
      <c r="R26" s="177">
        <f t="shared" si="15"/>
        <v>1.2904539146519398</v>
      </c>
      <c r="S26" s="177">
        <f t="shared" si="16"/>
        <v>1.2904539146519398</v>
      </c>
      <c r="T26" s="177">
        <f t="shared" si="17"/>
        <v>1.2904539146519398</v>
      </c>
      <c r="U26" s="172">
        <f>IF(VLEESKALKOENEN!$H$15="ja",L26-((E26-G26*95%-I26)/E26*L26)*$R$6,L26-((E26-G26*80%-I26)/E26*L26)*$R$6)</f>
        <v>1.2904539146519398</v>
      </c>
      <c r="V26" s="109">
        <f t="shared" si="5"/>
        <v>1.2904539146519398</v>
      </c>
      <c r="W26" s="188">
        <f t="shared" si="18"/>
        <v>1.2904539146519398</v>
      </c>
      <c r="X26" s="217">
        <f t="shared" si="19"/>
        <v>1</v>
      </c>
      <c r="AB26" s="155" t="s">
        <v>184</v>
      </c>
      <c r="AE26" s="156">
        <f>(AC24-AE24)/AC24</f>
        <v>0</v>
      </c>
      <c r="AF26" s="156">
        <f>(AD24-AF24)/AD24</f>
        <v>0</v>
      </c>
    </row>
    <row r="27" spans="1:32" x14ac:dyDescent="0.2">
      <c r="A27" s="1">
        <v>18</v>
      </c>
      <c r="B27" s="1">
        <v>0.5</v>
      </c>
      <c r="E27" s="7">
        <f t="shared" si="8"/>
        <v>0.57499999999999996</v>
      </c>
      <c r="F27" s="7">
        <f t="shared" si="9"/>
        <v>0.57499999999999996</v>
      </c>
      <c r="G27" s="179">
        <f t="shared" si="0"/>
        <v>0</v>
      </c>
      <c r="H27" s="179">
        <f t="shared" si="1"/>
        <v>0</v>
      </c>
      <c r="I27" s="179">
        <f t="shared" si="2"/>
        <v>0</v>
      </c>
      <c r="J27" s="6">
        <f t="shared" si="10"/>
        <v>0.28994729241849049</v>
      </c>
      <c r="K27" s="129">
        <v>1</v>
      </c>
      <c r="L27" s="6">
        <f t="shared" si="11"/>
        <v>1.4604645119119368</v>
      </c>
      <c r="M27" s="191">
        <f t="shared" si="12"/>
        <v>1.4604645119119368</v>
      </c>
      <c r="N27" s="131">
        <f t="shared" si="3"/>
        <v>1.4604645119119368</v>
      </c>
      <c r="O27" s="191">
        <f t="shared" si="13"/>
        <v>1.4604645119119368</v>
      </c>
      <c r="P27" s="191">
        <f t="shared" si="4"/>
        <v>1.4604645119119368</v>
      </c>
      <c r="Q27" s="6">
        <f t="shared" si="14"/>
        <v>1.4604645119119368</v>
      </c>
      <c r="R27" s="177">
        <f t="shared" si="15"/>
        <v>1.4604645119119368</v>
      </c>
      <c r="S27" s="177">
        <f t="shared" si="16"/>
        <v>1.4604645119119368</v>
      </c>
      <c r="T27" s="177">
        <f t="shared" si="17"/>
        <v>1.4604645119119368</v>
      </c>
      <c r="U27" s="172">
        <f>IF(VLEESKALKOENEN!$H$15="ja",L27-((E27-G27*95%-I27)/E27*L27)*$R$6,L27-((E27-G27*80%-I27)/E27*L27)*$R$6)</f>
        <v>1.4604645119119368</v>
      </c>
      <c r="V27" s="109">
        <f t="shared" si="5"/>
        <v>1.4604645119119368</v>
      </c>
      <c r="W27" s="188">
        <f t="shared" si="18"/>
        <v>1.4604645119119368</v>
      </c>
      <c r="X27" s="217">
        <f t="shared" si="19"/>
        <v>1</v>
      </c>
    </row>
    <row r="28" spans="1:32" x14ac:dyDescent="0.2">
      <c r="A28" s="146">
        <v>19</v>
      </c>
      <c r="B28" s="147">
        <v>0.54</v>
      </c>
      <c r="C28" s="148"/>
      <c r="D28" s="147"/>
      <c r="E28" s="7">
        <f t="shared" si="8"/>
        <v>0.621</v>
      </c>
      <c r="F28" s="149">
        <f t="shared" si="9"/>
        <v>0.621</v>
      </c>
      <c r="G28" s="179">
        <f t="shared" si="0"/>
        <v>0</v>
      </c>
      <c r="H28" s="179">
        <f t="shared" si="1"/>
        <v>0</v>
      </c>
      <c r="I28" s="179">
        <f t="shared" si="2"/>
        <v>0</v>
      </c>
      <c r="J28" s="6">
        <f t="shared" si="10"/>
        <v>0.29533170730450725</v>
      </c>
      <c r="K28" s="129">
        <v>1</v>
      </c>
      <c r="L28" s="6">
        <f t="shared" si="11"/>
        <v>1.6065926744682273</v>
      </c>
      <c r="M28" s="191">
        <f t="shared" si="12"/>
        <v>1.6065926744682273</v>
      </c>
      <c r="N28" s="131">
        <f t="shared" si="3"/>
        <v>1.6065926744682273</v>
      </c>
      <c r="O28" s="191">
        <f t="shared" si="13"/>
        <v>1.6065926744682273</v>
      </c>
      <c r="P28" s="191">
        <f t="shared" si="4"/>
        <v>1.6065926744682273</v>
      </c>
      <c r="Q28" s="6">
        <f t="shared" si="14"/>
        <v>1.6065926744682273</v>
      </c>
      <c r="R28" s="177">
        <f t="shared" si="15"/>
        <v>1.6065926744682273</v>
      </c>
      <c r="S28" s="177">
        <f t="shared" si="16"/>
        <v>1.6065926744682273</v>
      </c>
      <c r="T28" s="177">
        <f t="shared" si="17"/>
        <v>1.6065926744682273</v>
      </c>
      <c r="U28" s="172">
        <f>IF(VLEESKALKOENEN!$H$15="ja",L28-((E28-G28*95%-I28)/E28*L28)*$R$6,L28-((E28-G28*80%-I28)/E28*L28)*$R$6)</f>
        <v>1.6065926744682273</v>
      </c>
      <c r="V28" s="109">
        <f t="shared" si="5"/>
        <v>1.6065926744682273</v>
      </c>
      <c r="W28" s="188">
        <f t="shared" si="18"/>
        <v>1.6065926744682273</v>
      </c>
      <c r="X28" s="217">
        <f t="shared" si="19"/>
        <v>1</v>
      </c>
    </row>
    <row r="29" spans="1:32" x14ac:dyDescent="0.2">
      <c r="A29" s="1">
        <v>20</v>
      </c>
      <c r="B29" s="1">
        <v>0.59</v>
      </c>
      <c r="E29" s="7">
        <f t="shared" si="8"/>
        <v>0.67849999999999988</v>
      </c>
      <c r="F29" s="7">
        <f t="shared" si="9"/>
        <v>0.67849999999999988</v>
      </c>
      <c r="G29" s="179">
        <f t="shared" si="0"/>
        <v>0</v>
      </c>
      <c r="H29" s="179">
        <f t="shared" si="1"/>
        <v>0</v>
      </c>
      <c r="I29" s="179">
        <f t="shared" si="2"/>
        <v>0</v>
      </c>
      <c r="J29" s="6">
        <f t="shared" si="10"/>
        <v>0.30081611251436158</v>
      </c>
      <c r="K29" s="129">
        <v>1</v>
      </c>
      <c r="L29" s="6">
        <f t="shared" si="11"/>
        <v>1.7879486953071102</v>
      </c>
      <c r="M29" s="191">
        <f t="shared" si="12"/>
        <v>1.7879486953071102</v>
      </c>
      <c r="N29" s="131">
        <f t="shared" si="3"/>
        <v>1.7879486953071102</v>
      </c>
      <c r="O29" s="191">
        <f t="shared" si="13"/>
        <v>1.7879486953071102</v>
      </c>
      <c r="P29" s="191">
        <f t="shared" si="4"/>
        <v>1.7879486953071102</v>
      </c>
      <c r="Q29" s="6">
        <f t="shared" si="14"/>
        <v>1.7879486953071102</v>
      </c>
      <c r="R29" s="177">
        <f t="shared" si="15"/>
        <v>1.7879486953071102</v>
      </c>
      <c r="S29" s="177">
        <f t="shared" si="16"/>
        <v>1.7879486953071102</v>
      </c>
      <c r="T29" s="177">
        <f t="shared" si="17"/>
        <v>1.7879486953071102</v>
      </c>
      <c r="U29" s="172">
        <f>IF(VLEESKALKOENEN!$H$15="ja",L29-((E29-G29*95%-I29)/E29*L29)*$R$6,L29-((E29-G29*80%-I29)/E29*L29)*$R$6)</f>
        <v>1.7879486953071102</v>
      </c>
      <c r="V29" s="109">
        <f t="shared" si="5"/>
        <v>1.7879486953071102</v>
      </c>
      <c r="W29" s="188">
        <f t="shared" si="18"/>
        <v>1.7879486953071102</v>
      </c>
      <c r="X29" s="217">
        <f t="shared" si="19"/>
        <v>1</v>
      </c>
    </row>
    <row r="30" spans="1:32" x14ac:dyDescent="0.2">
      <c r="A30" s="1">
        <v>21</v>
      </c>
      <c r="B30" s="1">
        <v>0.64</v>
      </c>
      <c r="E30" s="7">
        <f t="shared" si="8"/>
        <v>0.73599999999999999</v>
      </c>
      <c r="F30" s="7">
        <f t="shared" si="9"/>
        <v>0.73599999999999999</v>
      </c>
      <c r="G30" s="179">
        <f t="shared" si="0"/>
        <v>0</v>
      </c>
      <c r="H30" s="179">
        <f t="shared" si="1"/>
        <v>0</v>
      </c>
      <c r="I30" s="179">
        <f t="shared" si="2"/>
        <v>0</v>
      </c>
      <c r="J30" s="6">
        <f t="shared" si="10"/>
        <v>0.30640236490066852</v>
      </c>
      <c r="K30" s="129">
        <v>1</v>
      </c>
      <c r="L30" s="6">
        <f t="shared" si="11"/>
        <v>1.9754863513659742</v>
      </c>
      <c r="M30" s="191">
        <f t="shared" si="12"/>
        <v>1.9754863513659742</v>
      </c>
      <c r="N30" s="131">
        <f t="shared" si="3"/>
        <v>1.9754863513659742</v>
      </c>
      <c r="O30" s="191">
        <f t="shared" si="13"/>
        <v>1.9754863513659742</v>
      </c>
      <c r="P30" s="191">
        <f t="shared" si="4"/>
        <v>1.9754863513659742</v>
      </c>
      <c r="Q30" s="6">
        <f t="shared" si="14"/>
        <v>1.9754863513659742</v>
      </c>
      <c r="R30" s="177">
        <f t="shared" si="15"/>
        <v>1.9754863513659742</v>
      </c>
      <c r="S30" s="177">
        <f t="shared" si="16"/>
        <v>1.9754863513659742</v>
      </c>
      <c r="T30" s="177">
        <f t="shared" si="17"/>
        <v>1.9754863513659742</v>
      </c>
      <c r="U30" s="172">
        <f>IF(VLEESKALKOENEN!$H$15="ja",L30-((E30-G30*95%-I30)/E30*L30)*$R$6,L30-((E30-G30*80%-I30)/E30*L30)*$R$6)</f>
        <v>1.9754863513659742</v>
      </c>
      <c r="V30" s="109">
        <f t="shared" si="5"/>
        <v>1.9754863513659742</v>
      </c>
      <c r="W30" s="188">
        <f t="shared" si="18"/>
        <v>1.9754863513659742</v>
      </c>
      <c r="X30" s="217">
        <f t="shared" si="19"/>
        <v>1</v>
      </c>
    </row>
    <row r="31" spans="1:32" x14ac:dyDescent="0.2">
      <c r="A31" s="1">
        <v>22</v>
      </c>
      <c r="B31" s="1">
        <v>0.69</v>
      </c>
      <c r="E31" s="7">
        <f t="shared" si="8"/>
        <v>0.79349999999999987</v>
      </c>
      <c r="F31" s="7">
        <f t="shared" si="9"/>
        <v>0.79349999999999987</v>
      </c>
      <c r="G31" s="179">
        <f t="shared" si="0"/>
        <v>0</v>
      </c>
      <c r="H31" s="179">
        <f t="shared" si="1"/>
        <v>0</v>
      </c>
      <c r="I31" s="179">
        <f t="shared" si="2"/>
        <v>0</v>
      </c>
      <c r="J31" s="6">
        <f t="shared" si="10"/>
        <v>0.31209235579839589</v>
      </c>
      <c r="K31" s="129">
        <v>1</v>
      </c>
      <c r="L31" s="6">
        <f t="shared" si="11"/>
        <v>2.1693726906959974</v>
      </c>
      <c r="M31" s="191">
        <f t="shared" si="12"/>
        <v>2.1693726906959974</v>
      </c>
      <c r="N31" s="131">
        <f t="shared" si="3"/>
        <v>2.1693726906959974</v>
      </c>
      <c r="O31" s="191">
        <f t="shared" si="13"/>
        <v>2.1693726906959974</v>
      </c>
      <c r="P31" s="191">
        <f t="shared" si="4"/>
        <v>2.1693726906959974</v>
      </c>
      <c r="Q31" s="6">
        <f t="shared" si="14"/>
        <v>2.1693726906959974</v>
      </c>
      <c r="R31" s="177">
        <f t="shared" si="15"/>
        <v>2.1693726906959974</v>
      </c>
      <c r="S31" s="177">
        <f t="shared" si="16"/>
        <v>2.1693726906959974</v>
      </c>
      <c r="T31" s="177">
        <f t="shared" si="17"/>
        <v>2.1693726906959974</v>
      </c>
      <c r="U31" s="172">
        <f>IF(VLEESKALKOENEN!$H$15="ja",L31-((E31-G31*95%-I31)/E31*L31)*$R$6,L31-((E31-G31*80%-I31)/E31*L31)*$R$6)</f>
        <v>2.1693726906959974</v>
      </c>
      <c r="V31" s="109">
        <f t="shared" si="5"/>
        <v>2.1693726906959974</v>
      </c>
      <c r="W31" s="188">
        <f t="shared" si="18"/>
        <v>2.1693726906959974</v>
      </c>
      <c r="X31" s="217">
        <f t="shared" si="19"/>
        <v>1</v>
      </c>
    </row>
    <row r="32" spans="1:32" x14ac:dyDescent="0.2">
      <c r="A32" s="1">
        <v>23</v>
      </c>
      <c r="B32" s="1">
        <v>0.74</v>
      </c>
      <c r="E32" s="7">
        <f t="shared" si="8"/>
        <v>0.85099999999999998</v>
      </c>
      <c r="F32" s="7">
        <f t="shared" si="9"/>
        <v>0.85099999999999998</v>
      </c>
      <c r="G32" s="179">
        <f t="shared" si="0"/>
        <v>0</v>
      </c>
      <c r="H32" s="179">
        <f t="shared" si="1"/>
        <v>0</v>
      </c>
      <c r="I32" s="179">
        <f t="shared" si="2"/>
        <v>0</v>
      </c>
      <c r="J32" s="6">
        <f t="shared" si="10"/>
        <v>0.31788801166521291</v>
      </c>
      <c r="K32" s="129">
        <v>1</v>
      </c>
      <c r="L32" s="6">
        <f t="shared" si="11"/>
        <v>2.3697788338413628</v>
      </c>
      <c r="M32" s="191">
        <f t="shared" si="12"/>
        <v>2.3697788338413628</v>
      </c>
      <c r="N32" s="131">
        <f t="shared" si="3"/>
        <v>2.3697788338413628</v>
      </c>
      <c r="O32" s="191">
        <f t="shared" si="13"/>
        <v>2.3697788338413628</v>
      </c>
      <c r="P32" s="191">
        <f t="shared" si="4"/>
        <v>2.3697788338413628</v>
      </c>
      <c r="Q32" s="6">
        <f t="shared" si="14"/>
        <v>2.3697788338413628</v>
      </c>
      <c r="R32" s="177">
        <f t="shared" si="15"/>
        <v>2.3697788338413628</v>
      </c>
      <c r="S32" s="177">
        <f t="shared" si="16"/>
        <v>2.3697788338413628</v>
      </c>
      <c r="T32" s="177">
        <f t="shared" si="17"/>
        <v>2.3697788338413628</v>
      </c>
      <c r="U32" s="172">
        <f>IF(VLEESKALKOENEN!$H$15="ja",L32-((E32-G32*95%-I32)/E32*L32)*$R$6,L32-((E32-G32*80%-I32)/E32*L32)*$R$6)</f>
        <v>2.3697788338413628</v>
      </c>
      <c r="V32" s="109">
        <f t="shared" si="5"/>
        <v>2.3697788338413628</v>
      </c>
      <c r="W32" s="188">
        <f t="shared" si="18"/>
        <v>2.3697788338413628</v>
      </c>
      <c r="X32" s="217">
        <f t="shared" si="19"/>
        <v>1</v>
      </c>
    </row>
    <row r="33" spans="1:24" x14ac:dyDescent="0.2">
      <c r="A33" s="1">
        <v>24</v>
      </c>
      <c r="B33" s="1">
        <v>0.8</v>
      </c>
      <c r="E33" s="7">
        <f t="shared" si="8"/>
        <v>0.91999999999999993</v>
      </c>
      <c r="F33" s="7">
        <f t="shared" si="9"/>
        <v>0.91999999999999993</v>
      </c>
      <c r="G33" s="179">
        <f t="shared" si="0"/>
        <v>0</v>
      </c>
      <c r="H33" s="179">
        <f t="shared" si="1"/>
        <v>0</v>
      </c>
      <c r="I33" s="205">
        <f t="shared" si="2"/>
        <v>0</v>
      </c>
      <c r="J33" s="6">
        <f t="shared" si="10"/>
        <v>0.32379129473372997</v>
      </c>
      <c r="K33" s="129">
        <v>1</v>
      </c>
      <c r="L33" s="6">
        <f t="shared" si="11"/>
        <v>2.6094988025180763</v>
      </c>
      <c r="M33" s="191">
        <f t="shared" si="12"/>
        <v>2.6094988025180763</v>
      </c>
      <c r="N33" s="131">
        <f t="shared" si="3"/>
        <v>2.6094988025180763</v>
      </c>
      <c r="O33" s="191">
        <f t="shared" si="13"/>
        <v>2.6094988025180763</v>
      </c>
      <c r="P33" s="191">
        <f t="shared" si="4"/>
        <v>2.6094988025180763</v>
      </c>
      <c r="Q33" s="6">
        <f t="shared" si="14"/>
        <v>2.6094988025180763</v>
      </c>
      <c r="R33" s="177">
        <f t="shared" si="15"/>
        <v>2.6094988025180763</v>
      </c>
      <c r="S33" s="177">
        <f t="shared" si="16"/>
        <v>2.6094988025180763</v>
      </c>
      <c r="T33" s="177">
        <f t="shared" si="17"/>
        <v>2.6094988025180763</v>
      </c>
      <c r="U33" s="172">
        <f>IF(VLEESKALKOENEN!$H$15="ja",L33-((E33-G33*95%-I33)/E33*L33)*$R$6,L33-((E33-G33*80%-I33)/E33*L33)*$R$6)</f>
        <v>2.6094988025180763</v>
      </c>
      <c r="V33" s="109">
        <f t="shared" si="5"/>
        <v>2.6094988025180763</v>
      </c>
      <c r="W33" s="188">
        <f t="shared" si="18"/>
        <v>2.6094988025180763</v>
      </c>
      <c r="X33" s="217">
        <f t="shared" si="19"/>
        <v>1</v>
      </c>
    </row>
    <row r="34" spans="1:24" x14ac:dyDescent="0.2">
      <c r="A34" s="1">
        <v>25</v>
      </c>
      <c r="B34" s="1">
        <v>0.86</v>
      </c>
      <c r="E34" s="7">
        <f t="shared" si="8"/>
        <v>0.98899999999999988</v>
      </c>
      <c r="F34" s="7">
        <f t="shared" si="9"/>
        <v>0.98899999999999988</v>
      </c>
      <c r="G34" s="179">
        <f t="shared" si="0"/>
        <v>0</v>
      </c>
      <c r="H34" s="179">
        <f t="shared" si="1"/>
        <v>0</v>
      </c>
      <c r="I34" s="179">
        <f t="shared" si="2"/>
        <v>0</v>
      </c>
      <c r="J34" s="6">
        <f t="shared" si="10"/>
        <v>0.32980420367585112</v>
      </c>
      <c r="K34" s="129">
        <v>1</v>
      </c>
      <c r="L34" s="6">
        <f t="shared" si="11"/>
        <v>2.85730489113425</v>
      </c>
      <c r="M34" s="191">
        <f t="shared" si="12"/>
        <v>2.85730489113425</v>
      </c>
      <c r="N34" s="131">
        <f t="shared" si="3"/>
        <v>2.85730489113425</v>
      </c>
      <c r="O34" s="191">
        <f t="shared" si="13"/>
        <v>2.85730489113425</v>
      </c>
      <c r="P34" s="191">
        <f t="shared" si="4"/>
        <v>2.85730489113425</v>
      </c>
      <c r="Q34" s="6">
        <f t="shared" si="14"/>
        <v>2.85730489113425</v>
      </c>
      <c r="R34" s="177">
        <f t="shared" si="15"/>
        <v>2.85730489113425</v>
      </c>
      <c r="S34" s="177">
        <f t="shared" si="16"/>
        <v>2.85730489113425</v>
      </c>
      <c r="T34" s="177">
        <f t="shared" si="17"/>
        <v>2.85730489113425</v>
      </c>
      <c r="U34" s="172">
        <f>IF(VLEESKALKOENEN!$H$15="ja",L34-((E34-G34*95%-I34)/E34*L34)*$R$6,L34-((E34-G34*80%-I34)/E34*L34)*$R$6)</f>
        <v>2.85730489113425</v>
      </c>
      <c r="V34" s="109">
        <f>L34-((E34-G34-I34)/E34*L34)*$R$6</f>
        <v>2.85730489113425</v>
      </c>
      <c r="W34" s="188">
        <f t="shared" si="18"/>
        <v>2.85730489113425</v>
      </c>
      <c r="X34" s="217">
        <f t="shared" si="19"/>
        <v>1</v>
      </c>
    </row>
    <row r="35" spans="1:24" x14ac:dyDescent="0.2">
      <c r="A35" s="1">
        <v>26</v>
      </c>
      <c r="B35" s="1">
        <v>0.92</v>
      </c>
      <c r="E35" s="7">
        <f t="shared" si="8"/>
        <v>1.0580000000000001</v>
      </c>
      <c r="F35" s="7">
        <f t="shared" si="9"/>
        <v>1.0580000000000001</v>
      </c>
      <c r="G35" s="179">
        <f t="shared" si="0"/>
        <v>0</v>
      </c>
      <c r="H35" s="179">
        <f>IF(E35&lt;$R$5,E35-G35,$R$5)</f>
        <v>0</v>
      </c>
      <c r="I35" s="179">
        <f t="shared" si="2"/>
        <v>0</v>
      </c>
      <c r="J35" s="6">
        <f t="shared" si="10"/>
        <v>0.33592877427946305</v>
      </c>
      <c r="K35" s="129">
        <v>1</v>
      </c>
      <c r="L35" s="6">
        <f t="shared" si="11"/>
        <v>3.1134147543240061</v>
      </c>
      <c r="M35" s="191">
        <f t="shared" si="12"/>
        <v>3.1134147543240061</v>
      </c>
      <c r="N35" s="131">
        <f t="shared" si="3"/>
        <v>3.1134147543240061</v>
      </c>
      <c r="O35" s="191">
        <f t="shared" si="13"/>
        <v>3.1134147543240061</v>
      </c>
      <c r="P35" s="191">
        <f t="shared" si="4"/>
        <v>3.1134147543240061</v>
      </c>
      <c r="Q35" s="6">
        <f t="shared" si="14"/>
        <v>3.1134147543240061</v>
      </c>
      <c r="R35" s="177">
        <f t="shared" si="15"/>
        <v>3.1134147543240061</v>
      </c>
      <c r="S35" s="177">
        <f t="shared" si="16"/>
        <v>3.1134147543240061</v>
      </c>
      <c r="T35" s="177">
        <f t="shared" si="17"/>
        <v>3.1134147543240061</v>
      </c>
      <c r="U35" s="172">
        <f>IF(VLEESKALKOENEN!$H$15="ja",L35-((E35-G35*95%-I35)/E35*L35)*$R$6,L35-((E35-G35*80%-I35)/E35*L35)*$R$6)</f>
        <v>3.1134147543240061</v>
      </c>
      <c r="V35" s="109">
        <f t="shared" ref="V35:V51" si="24">L35-((E35-G35-I35)/E35*L35)*$R$6</f>
        <v>3.1134147543240061</v>
      </c>
      <c r="W35" s="188">
        <f t="shared" si="18"/>
        <v>3.1134147543240061</v>
      </c>
      <c r="X35" s="217">
        <f t="shared" si="19"/>
        <v>1</v>
      </c>
    </row>
    <row r="36" spans="1:24" x14ac:dyDescent="0.2">
      <c r="A36" s="1">
        <v>27</v>
      </c>
      <c r="B36" s="1">
        <v>0.99</v>
      </c>
      <c r="E36" s="7">
        <f t="shared" si="8"/>
        <v>1.1384999999999998</v>
      </c>
      <c r="F36" s="7">
        <f t="shared" si="9"/>
        <v>1.1384999999999998</v>
      </c>
      <c r="G36" s="179">
        <f>IF($R$4&gt;0&lt;E36,E36,IF($R$4&gt;E36,E36,$R$4))</f>
        <v>0</v>
      </c>
      <c r="H36" s="179">
        <f t="shared" ref="H36:H51" si="25">IF(E36&lt;$R$5,E36-G36,$R$5)</f>
        <v>0</v>
      </c>
      <c r="I36" s="179">
        <f t="shared" si="2"/>
        <v>0</v>
      </c>
      <c r="J36" s="6">
        <f t="shared" si="10"/>
        <v>0.34216708013769137</v>
      </c>
      <c r="K36" s="129">
        <v>1</v>
      </c>
      <c r="L36" s="6">
        <f t="shared" si="11"/>
        <v>3.4125212536540319</v>
      </c>
      <c r="M36" s="191">
        <f t="shared" si="12"/>
        <v>3.4125212536540319</v>
      </c>
      <c r="N36" s="131">
        <f t="shared" si="3"/>
        <v>3.4125212536540319</v>
      </c>
      <c r="O36" s="191">
        <f t="shared" si="13"/>
        <v>3.4125212536540319</v>
      </c>
      <c r="P36" s="191">
        <f t="shared" si="4"/>
        <v>3.4125212536540319</v>
      </c>
      <c r="Q36" s="6">
        <f t="shared" si="14"/>
        <v>3.4125212536540319</v>
      </c>
      <c r="R36" s="177">
        <f t="shared" si="15"/>
        <v>3.4125212536540319</v>
      </c>
      <c r="S36" s="177">
        <f t="shared" si="16"/>
        <v>3.4125212536540319</v>
      </c>
      <c r="T36" s="177">
        <f t="shared" si="17"/>
        <v>3.4125212536540319</v>
      </c>
      <c r="U36" s="172">
        <f>IF(VLEESKALKOENEN!$H$15="ja",L36-((E36-G36*95%-I36)/E36*L36)*$R$6,L36-((E36-G36*80%-I36)/E36*L36)*$R$6)</f>
        <v>3.4125212536540319</v>
      </c>
      <c r="V36" s="109">
        <f t="shared" si="24"/>
        <v>3.4125212536540319</v>
      </c>
      <c r="W36" s="188">
        <f t="shared" si="18"/>
        <v>3.4125212536540319</v>
      </c>
      <c r="X36" s="217">
        <f t="shared" si="19"/>
        <v>1</v>
      </c>
    </row>
    <row r="37" spans="1:24" x14ac:dyDescent="0.2">
      <c r="A37" s="1">
        <v>28</v>
      </c>
      <c r="B37" s="1">
        <v>1.05</v>
      </c>
      <c r="E37" s="7">
        <f t="shared" si="8"/>
        <v>1.2075</v>
      </c>
      <c r="F37" s="7">
        <f t="shared" si="9"/>
        <v>1.2075</v>
      </c>
      <c r="G37" s="179">
        <f t="shared" ref="G37:G51" si="26">IF($R$4&gt;0&lt;E37,E37,IF($R$4&gt;E37,E37,$R$4))</f>
        <v>0</v>
      </c>
      <c r="H37" s="179">
        <f t="shared" si="25"/>
        <v>0</v>
      </c>
      <c r="I37" s="179">
        <f t="shared" si="2"/>
        <v>0</v>
      </c>
      <c r="J37" s="6">
        <f t="shared" si="10"/>
        <v>0.34852123335095586</v>
      </c>
      <c r="K37" s="129">
        <v>1</v>
      </c>
      <c r="L37" s="6">
        <f t="shared" si="11"/>
        <v>3.6865530500164061</v>
      </c>
      <c r="M37" s="191">
        <f t="shared" si="12"/>
        <v>3.6865530500164061</v>
      </c>
      <c r="N37" s="131">
        <f t="shared" si="3"/>
        <v>3.6865530500164061</v>
      </c>
      <c r="O37" s="191">
        <f t="shared" si="13"/>
        <v>3.6865530500164061</v>
      </c>
      <c r="P37" s="191">
        <f t="shared" si="4"/>
        <v>3.6865530500164061</v>
      </c>
      <c r="Q37" s="6">
        <f t="shared" si="14"/>
        <v>3.6865530500164061</v>
      </c>
      <c r="R37" s="177">
        <f t="shared" si="15"/>
        <v>3.6865530500164061</v>
      </c>
      <c r="S37" s="177">
        <f t="shared" si="16"/>
        <v>3.6865530500164061</v>
      </c>
      <c r="T37" s="177">
        <f t="shared" si="17"/>
        <v>3.6865530500164061</v>
      </c>
      <c r="U37" s="172">
        <f>IF(VLEESKALKOENEN!$H$15="ja",L37-((E37-G37*95%-I37)/E37*L37)*$R$6,L37-((E37-G37*80%-I37)/E37*L37)*$R$6)</f>
        <v>3.6865530500164061</v>
      </c>
      <c r="V37" s="109">
        <f t="shared" si="24"/>
        <v>3.6865530500164061</v>
      </c>
      <c r="W37" s="188">
        <f t="shared" si="18"/>
        <v>3.6865530500164061</v>
      </c>
      <c r="X37" s="217">
        <f t="shared" si="19"/>
        <v>1</v>
      </c>
    </row>
    <row r="38" spans="1:24" x14ac:dyDescent="0.2">
      <c r="A38" s="1">
        <v>29</v>
      </c>
      <c r="B38" s="1">
        <v>1.1200000000000001</v>
      </c>
      <c r="E38" s="7">
        <f t="shared" si="8"/>
        <v>1.288</v>
      </c>
      <c r="F38" s="7">
        <f t="shared" si="9"/>
        <v>1.288</v>
      </c>
      <c r="G38" s="179">
        <f t="shared" si="26"/>
        <v>0</v>
      </c>
      <c r="H38" s="179">
        <f t="shared" si="25"/>
        <v>0</v>
      </c>
      <c r="I38" s="179">
        <f t="shared" si="2"/>
        <v>0</v>
      </c>
      <c r="J38" s="6">
        <f t="shared" si="10"/>
        <v>0.35499338524206325</v>
      </c>
      <c r="K38" s="129">
        <v>1</v>
      </c>
      <c r="L38" s="6">
        <f t="shared" si="11"/>
        <v>4.0053477664799706</v>
      </c>
      <c r="M38" s="191">
        <f t="shared" si="12"/>
        <v>4.0053477664799706</v>
      </c>
      <c r="N38" s="131">
        <f>(((($J38*(1-$R$2))-$J$3)/1000*$F38*24*365*$K38)*(1-R$4))+(((($J38*(1-$R$2))-$J$3)/1000*$G38*24*365*$K38)*(1-R$3))</f>
        <v>4.0053477664799706</v>
      </c>
      <c r="O38" s="191">
        <f t="shared" si="13"/>
        <v>4.0053477664799706</v>
      </c>
      <c r="P38" s="191">
        <f t="shared" si="4"/>
        <v>4.0053477664799706</v>
      </c>
      <c r="Q38" s="6">
        <f t="shared" si="14"/>
        <v>4.0053477664799706</v>
      </c>
      <c r="R38" s="177">
        <f t="shared" si="15"/>
        <v>4.0053477664799706</v>
      </c>
      <c r="S38" s="177">
        <f t="shared" si="16"/>
        <v>4.0053477664799706</v>
      </c>
      <c r="T38" s="177">
        <f t="shared" si="17"/>
        <v>4.0053477664799706</v>
      </c>
      <c r="U38" s="172">
        <f>IF(VLEESKALKOENEN!$H$15="ja",L38-((E38-G38*95%-I38)/E38*L38)*$R$6,L38-((E38-G38*80%-I38)/E38*L38)*$R$6)</f>
        <v>4.0053477664799706</v>
      </c>
      <c r="V38" s="109">
        <f t="shared" si="24"/>
        <v>4.0053477664799706</v>
      </c>
      <c r="W38" s="188">
        <f t="shared" si="18"/>
        <v>4.0053477664799706</v>
      </c>
      <c r="X38" s="217">
        <f t="shared" si="19"/>
        <v>1</v>
      </c>
    </row>
    <row r="39" spans="1:24" x14ac:dyDescent="0.2">
      <c r="A39" s="1">
        <v>30</v>
      </c>
      <c r="B39" s="1">
        <v>1.19</v>
      </c>
      <c r="E39" s="7">
        <f t="shared" si="8"/>
        <v>1.3684999999999998</v>
      </c>
      <c r="F39" s="7">
        <f t="shared" si="9"/>
        <v>1.3684999999999998</v>
      </c>
      <c r="G39" s="179">
        <f t="shared" si="26"/>
        <v>0</v>
      </c>
      <c r="H39" s="179">
        <f t="shared" si="25"/>
        <v>0</v>
      </c>
      <c r="I39" s="179">
        <f t="shared" si="2"/>
        <v>0</v>
      </c>
      <c r="J39" s="6">
        <f t="shared" si="10"/>
        <v>0.36158572708458003</v>
      </c>
      <c r="K39" s="129">
        <v>1</v>
      </c>
      <c r="L39" s="6">
        <f t="shared" si="11"/>
        <v>4.3347113914335704</v>
      </c>
      <c r="M39" s="191">
        <f t="shared" si="12"/>
        <v>4.3347113914335704</v>
      </c>
      <c r="N39" s="131">
        <f>(((($J39*(1-$R$2))-$J$3)/1000*$F39*24*365*$K39)*(1-R$4))+(((($J39*(1-$R$2))-$J$3)/1000*$G39*24*365*$K39)*(1-R$3))</f>
        <v>4.3347113914335704</v>
      </c>
      <c r="O39" s="191">
        <f t="shared" si="13"/>
        <v>4.3347113914335704</v>
      </c>
      <c r="P39" s="191">
        <f t="shared" si="4"/>
        <v>4.3347113914335704</v>
      </c>
      <c r="Q39" s="6">
        <f t="shared" si="14"/>
        <v>4.3347113914335704</v>
      </c>
      <c r="R39" s="177">
        <f t="shared" si="15"/>
        <v>4.3347113914335704</v>
      </c>
      <c r="S39" s="177">
        <f t="shared" si="16"/>
        <v>4.3347113914335704</v>
      </c>
      <c r="T39" s="177">
        <f t="shared" si="17"/>
        <v>4.3347113914335704</v>
      </c>
      <c r="U39" s="172">
        <f>IF(VLEESKALKOENEN!$H$15="ja",L39-((E39-G39*95%-I39)/E39*L39)*$R$6,L39-((E39-G39*80%-I39)/E39*L39)*$R$6)</f>
        <v>4.3347113914335704</v>
      </c>
      <c r="V39" s="109">
        <f t="shared" si="24"/>
        <v>4.3347113914335704</v>
      </c>
      <c r="W39" s="188">
        <f t="shared" si="18"/>
        <v>4.3347113914335704</v>
      </c>
      <c r="X39" s="217">
        <f t="shared" si="19"/>
        <v>1</v>
      </c>
    </row>
    <row r="40" spans="1:24" x14ac:dyDescent="0.2">
      <c r="A40" s="1">
        <v>31</v>
      </c>
      <c r="B40" s="1">
        <v>1.27</v>
      </c>
      <c r="E40" s="7">
        <f t="shared" si="8"/>
        <v>1.4604999999999999</v>
      </c>
      <c r="F40" s="7">
        <f t="shared" si="9"/>
        <v>1.4604999999999999</v>
      </c>
      <c r="G40" s="179">
        <f t="shared" si="26"/>
        <v>0</v>
      </c>
      <c r="H40" s="179">
        <f t="shared" si="25"/>
        <v>0</v>
      </c>
      <c r="I40" s="179">
        <f t="shared" si="2"/>
        <v>0</v>
      </c>
      <c r="J40" s="6">
        <f t="shared" si="10"/>
        <v>0.36830049084473043</v>
      </c>
      <c r="K40" s="129">
        <v>1</v>
      </c>
      <c r="L40" s="6">
        <f t="shared" si="11"/>
        <v>4.712029113857664</v>
      </c>
      <c r="M40" s="191">
        <f t="shared" si="12"/>
        <v>4.712029113857664</v>
      </c>
      <c r="N40" s="131">
        <f>(((($J40*(1-$R$2))-$J$3)/1000*$F40*24*365*$K40)*(1-R$4))+(((($J40*(1-$R$2))-$J$3)/1000*$G40*24*365*$K40)*(1-R$3))</f>
        <v>4.712029113857664</v>
      </c>
      <c r="O40" s="191">
        <f t="shared" si="13"/>
        <v>4.712029113857664</v>
      </c>
      <c r="P40" s="191">
        <f t="shared" si="4"/>
        <v>4.712029113857664</v>
      </c>
      <c r="Q40" s="6">
        <f t="shared" si="14"/>
        <v>4.712029113857664</v>
      </c>
      <c r="R40" s="177">
        <f t="shared" si="15"/>
        <v>4.712029113857664</v>
      </c>
      <c r="S40" s="177">
        <f t="shared" si="16"/>
        <v>4.712029113857664</v>
      </c>
      <c r="T40" s="177">
        <f t="shared" si="17"/>
        <v>4.712029113857664</v>
      </c>
      <c r="U40" s="172">
        <f>IF(VLEESKALKOENEN!$H$15="ja",L40-((E40-G40*95%-I40)/E40*L40)*$R$6,L40-((E40-G40*80%-I40)/E40*L40)*$R$6)</f>
        <v>4.712029113857664</v>
      </c>
      <c r="V40" s="109">
        <f t="shared" si="24"/>
        <v>4.712029113857664</v>
      </c>
      <c r="W40" s="188">
        <f t="shared" si="18"/>
        <v>4.712029113857664</v>
      </c>
      <c r="X40" s="217">
        <f t="shared" si="19"/>
        <v>1</v>
      </c>
    </row>
    <row r="41" spans="1:24" x14ac:dyDescent="0.2">
      <c r="A41" s="1">
        <v>32</v>
      </c>
      <c r="B41" s="1">
        <v>1.34</v>
      </c>
      <c r="E41" s="7">
        <f t="shared" si="8"/>
        <v>1.5409999999999999</v>
      </c>
      <c r="F41" s="7">
        <f t="shared" si="9"/>
        <v>1.5409999999999999</v>
      </c>
      <c r="G41" s="179">
        <f t="shared" si="26"/>
        <v>0</v>
      </c>
      <c r="H41" s="179">
        <f t="shared" si="25"/>
        <v>0</v>
      </c>
      <c r="I41" s="179">
        <f t="shared" si="2"/>
        <v>0</v>
      </c>
      <c r="J41" s="6">
        <f t="shared" si="10"/>
        <v>0.37513994993707267</v>
      </c>
      <c r="K41" s="129">
        <v>1</v>
      </c>
      <c r="L41" s="6">
        <f t="shared" si="11"/>
        <v>5.0640742065925339</v>
      </c>
      <c r="M41" s="191">
        <f t="shared" si="12"/>
        <v>5.0640742065925339</v>
      </c>
      <c r="N41" s="131">
        <f t="shared" ref="N41:N51" si="27">(((($J41*(1-$R$2))-$J$3)/1000*$F41*24*365*$K41)*(1-R$5))+(((($J41*(1-$R$2))-$J$3)/1000*$G41*24*365*$K41)*(1-R$3))</f>
        <v>5.0640742065925339</v>
      </c>
      <c r="O41" s="191">
        <f t="shared" si="13"/>
        <v>5.0640742065925339</v>
      </c>
      <c r="P41" s="191">
        <f t="shared" si="4"/>
        <v>5.0640742065925339</v>
      </c>
      <c r="Q41" s="6">
        <f t="shared" si="14"/>
        <v>5.0640742065925339</v>
      </c>
      <c r="R41" s="177">
        <f t="shared" si="15"/>
        <v>5.0640742065925339</v>
      </c>
      <c r="S41" s="177">
        <f t="shared" si="16"/>
        <v>5.0640742065925339</v>
      </c>
      <c r="T41" s="177">
        <f t="shared" si="17"/>
        <v>5.0640742065925339</v>
      </c>
      <c r="U41" s="172">
        <f>IF(VLEESKALKOENEN!$H$15="ja",L41-((E41-G41*95%-I41)/E41*L41)*$R$6,L41-((E41-G41*80%-I41)/E41*L41)*$R$6)</f>
        <v>5.0640742065925339</v>
      </c>
      <c r="V41" s="109">
        <f t="shared" si="24"/>
        <v>5.0640742065925339</v>
      </c>
      <c r="W41" s="188">
        <f t="shared" si="18"/>
        <v>5.0640742065925339</v>
      </c>
      <c r="X41" s="217">
        <f t="shared" si="19"/>
        <v>1</v>
      </c>
    </row>
    <row r="42" spans="1:24" x14ac:dyDescent="0.2">
      <c r="A42" s="1">
        <v>33</v>
      </c>
      <c r="B42" s="1">
        <v>1.42</v>
      </c>
      <c r="E42" s="7">
        <f t="shared" si="8"/>
        <v>1.6329999999999998</v>
      </c>
      <c r="F42" s="7">
        <f t="shared" si="9"/>
        <v>1.6329999999999998</v>
      </c>
      <c r="G42" s="179">
        <f t="shared" si="26"/>
        <v>0</v>
      </c>
      <c r="H42" s="179">
        <f t="shared" si="25"/>
        <v>0</v>
      </c>
      <c r="I42" s="179">
        <f t="shared" ref="I42:I50" si="28">MIN(R$5,E42-G42)</f>
        <v>0</v>
      </c>
      <c r="J42" s="6">
        <f t="shared" si="10"/>
        <v>0.38210641999420758</v>
      </c>
      <c r="K42" s="129">
        <v>1</v>
      </c>
      <c r="L42" s="6">
        <f t="shared" si="11"/>
        <v>5.4660629065307385</v>
      </c>
      <c r="M42" s="191">
        <f t="shared" si="12"/>
        <v>5.4660629065307385</v>
      </c>
      <c r="N42" s="131">
        <f t="shared" si="27"/>
        <v>5.4660629065307385</v>
      </c>
      <c r="O42" s="191">
        <f t="shared" si="13"/>
        <v>5.4660629065307385</v>
      </c>
      <c r="P42" s="191">
        <f t="shared" si="4"/>
        <v>5.4660629065307385</v>
      </c>
      <c r="Q42" s="6">
        <f t="shared" si="14"/>
        <v>5.4660629065307385</v>
      </c>
      <c r="R42" s="177">
        <f t="shared" si="15"/>
        <v>5.4660629065307385</v>
      </c>
      <c r="S42" s="177">
        <f t="shared" si="16"/>
        <v>5.4660629065307385</v>
      </c>
      <c r="T42" s="177">
        <f t="shared" si="17"/>
        <v>5.4660629065307385</v>
      </c>
      <c r="U42" s="172">
        <f>IF(VLEESKALKOENEN!$H$15="ja",L42-((E42-G42*95%-I42)/E42*L42)*$R$6,L42-((E42-G42*80%-I42)/E42*L42)*$R$6)</f>
        <v>5.4660629065307385</v>
      </c>
      <c r="V42" s="109">
        <f t="shared" si="24"/>
        <v>5.4660629065307385</v>
      </c>
      <c r="W42" s="188">
        <f t="shared" si="18"/>
        <v>5.4660629065307385</v>
      </c>
      <c r="X42" s="217">
        <f t="shared" si="19"/>
        <v>1</v>
      </c>
    </row>
    <row r="43" spans="1:24" x14ac:dyDescent="0.2">
      <c r="A43" s="1">
        <v>34</v>
      </c>
      <c r="B43" s="1">
        <v>1.5</v>
      </c>
      <c r="E43" s="7">
        <f t="shared" si="8"/>
        <v>1.7249999999999999</v>
      </c>
      <c r="F43" s="7">
        <f t="shared" si="9"/>
        <v>1.7249999999999999</v>
      </c>
      <c r="G43" s="179">
        <f t="shared" si="26"/>
        <v>0</v>
      </c>
      <c r="H43" s="179">
        <f t="shared" si="25"/>
        <v>0</v>
      </c>
      <c r="I43" s="179">
        <f t="shared" si="28"/>
        <v>0</v>
      </c>
      <c r="J43" s="6">
        <f t="shared" si="10"/>
        <v>0.38920225965078159</v>
      </c>
      <c r="K43" s="129">
        <v>1</v>
      </c>
      <c r="L43" s="6">
        <f t="shared" si="11"/>
        <v>5.8812353455829598</v>
      </c>
      <c r="M43" s="191">
        <f t="shared" si="12"/>
        <v>5.8812353455829598</v>
      </c>
      <c r="N43" s="131">
        <f t="shared" si="27"/>
        <v>5.8812353455829598</v>
      </c>
      <c r="O43" s="191">
        <f t="shared" si="13"/>
        <v>5.8812353455829598</v>
      </c>
      <c r="P43" s="191">
        <f t="shared" si="4"/>
        <v>5.8812353455829598</v>
      </c>
      <c r="Q43" s="6">
        <f t="shared" si="14"/>
        <v>5.8812353455829598</v>
      </c>
      <c r="R43" s="177">
        <f t="shared" si="15"/>
        <v>5.8812353455829598</v>
      </c>
      <c r="S43" s="177">
        <f t="shared" si="16"/>
        <v>5.8812353455829598</v>
      </c>
      <c r="T43" s="177">
        <f t="shared" si="17"/>
        <v>5.8812353455829598</v>
      </c>
      <c r="U43" s="172">
        <f>IF(VLEESKALKOENEN!$H$15="ja",L43-((E43-G43*95%-I43)/E43*L43)*$R$6,L43-((E43-G43*80%-I43)/E43*L43)*$R$6)</f>
        <v>5.8812353455829598</v>
      </c>
      <c r="V43" s="109">
        <f t="shared" si="24"/>
        <v>5.8812353455829598</v>
      </c>
      <c r="W43" s="188">
        <f t="shared" si="18"/>
        <v>5.8812353455829598</v>
      </c>
      <c r="X43" s="217">
        <f t="shared" si="19"/>
        <v>1</v>
      </c>
    </row>
    <row r="44" spans="1:24" x14ac:dyDescent="0.2">
      <c r="A44" s="1">
        <v>35</v>
      </c>
      <c r="B44" s="1">
        <v>1.59</v>
      </c>
      <c r="E44" s="7">
        <f t="shared" si="8"/>
        <v>1.8285</v>
      </c>
      <c r="F44" s="7">
        <f t="shared" si="9"/>
        <v>1.8285</v>
      </c>
      <c r="G44" s="179">
        <f t="shared" si="26"/>
        <v>0</v>
      </c>
      <c r="H44" s="179">
        <f t="shared" si="25"/>
        <v>0</v>
      </c>
      <c r="I44" s="179">
        <f t="shared" si="28"/>
        <v>0</v>
      </c>
      <c r="J44" s="6">
        <f t="shared" si="10"/>
        <v>0.39642987134204843</v>
      </c>
      <c r="K44" s="129">
        <v>1</v>
      </c>
      <c r="L44" s="6">
        <f t="shared" si="11"/>
        <v>6.3498788930006755</v>
      </c>
      <c r="M44" s="191">
        <f t="shared" si="12"/>
        <v>6.3498788930006755</v>
      </c>
      <c r="N44" s="131">
        <f t="shared" si="27"/>
        <v>6.3498788930006755</v>
      </c>
      <c r="O44" s="191">
        <f t="shared" si="13"/>
        <v>6.3498788930006755</v>
      </c>
      <c r="P44" s="191">
        <f t="shared" si="4"/>
        <v>6.3498788930006755</v>
      </c>
      <c r="Q44" s="6">
        <f t="shared" si="14"/>
        <v>6.3498788930006755</v>
      </c>
      <c r="R44" s="177">
        <f t="shared" si="15"/>
        <v>6.3498788930006755</v>
      </c>
      <c r="S44" s="177">
        <f t="shared" si="16"/>
        <v>6.3498788930006755</v>
      </c>
      <c r="T44" s="177">
        <f t="shared" si="17"/>
        <v>6.3498788930006755</v>
      </c>
      <c r="U44" s="172">
        <f>IF(VLEESKALKOENEN!$H$15="ja",L44-((E44-G44*95%-I44)/E44*L44)*$R$6,L44-((E44-G44*80%-I44)/E44*L44)*$R$6)</f>
        <v>6.3498788930006755</v>
      </c>
      <c r="V44" s="109">
        <f t="shared" si="24"/>
        <v>6.3498788930006755</v>
      </c>
      <c r="W44" s="188">
        <f t="shared" si="18"/>
        <v>6.3498788930006755</v>
      </c>
      <c r="X44" s="217">
        <f t="shared" si="19"/>
        <v>1</v>
      </c>
    </row>
    <row r="45" spans="1:24" x14ac:dyDescent="0.2">
      <c r="A45" s="1">
        <v>36</v>
      </c>
      <c r="B45" s="1">
        <v>1.67</v>
      </c>
      <c r="E45" s="7">
        <f t="shared" si="8"/>
        <v>1.9204999999999999</v>
      </c>
      <c r="F45" s="7">
        <f t="shared" si="9"/>
        <v>1.9204999999999999</v>
      </c>
      <c r="G45" s="179">
        <f t="shared" si="26"/>
        <v>0</v>
      </c>
      <c r="H45" s="179">
        <f t="shared" si="25"/>
        <v>0</v>
      </c>
      <c r="I45" s="179">
        <f t="shared" si="28"/>
        <v>0</v>
      </c>
      <c r="J45" s="6">
        <f t="shared" si="10"/>
        <v>0.40379170211726045</v>
      </c>
      <c r="K45" s="129">
        <v>1</v>
      </c>
      <c r="L45" s="6">
        <f t="shared" si="11"/>
        <v>6.7932220039058997</v>
      </c>
      <c r="M45" s="191">
        <f t="shared" si="12"/>
        <v>6.7932220039058997</v>
      </c>
      <c r="N45" s="131">
        <f t="shared" si="27"/>
        <v>6.7932220039058997</v>
      </c>
      <c r="O45" s="191">
        <f t="shared" si="13"/>
        <v>6.7932220039058997</v>
      </c>
      <c r="P45" s="191">
        <f t="shared" si="4"/>
        <v>6.7932220039058997</v>
      </c>
      <c r="Q45" s="6">
        <f t="shared" si="14"/>
        <v>6.7932220039058997</v>
      </c>
      <c r="R45" s="177">
        <f t="shared" si="15"/>
        <v>6.7932220039058997</v>
      </c>
      <c r="S45" s="177">
        <f t="shared" si="16"/>
        <v>6.7932220039058997</v>
      </c>
      <c r="T45" s="177">
        <f t="shared" si="17"/>
        <v>6.7932220039058997</v>
      </c>
      <c r="U45" s="172">
        <f>IF(VLEESKALKOENEN!$H$15="ja",L45-((E45-G45*95%-I45)/E45*L45)*$R$6,L45-((E45-G45*80%-I45)/E45*L45)*$R$6)</f>
        <v>6.7932220039058997</v>
      </c>
      <c r="V45" s="109">
        <f t="shared" si="24"/>
        <v>6.7932220039058997</v>
      </c>
      <c r="W45" s="188">
        <f t="shared" si="18"/>
        <v>6.7932220039058997</v>
      </c>
      <c r="X45" s="217">
        <f t="shared" si="19"/>
        <v>1</v>
      </c>
    </row>
    <row r="46" spans="1:24" x14ac:dyDescent="0.2">
      <c r="A46" s="1">
        <v>37</v>
      </c>
      <c r="B46" s="1">
        <v>1.76</v>
      </c>
      <c r="E46" s="7">
        <f t="shared" si="8"/>
        <v>2.024</v>
      </c>
      <c r="F46" s="7">
        <f t="shared" si="9"/>
        <v>2.024</v>
      </c>
      <c r="G46" s="179">
        <f t="shared" si="26"/>
        <v>0</v>
      </c>
      <c r="H46" s="179">
        <f t="shared" si="25"/>
        <v>0</v>
      </c>
      <c r="I46" s="179">
        <f t="shared" si="28"/>
        <v>0</v>
      </c>
      <c r="J46" s="6">
        <f t="shared" si="10"/>
        <v>0.4112902444681652</v>
      </c>
      <c r="K46" s="129">
        <v>1</v>
      </c>
      <c r="L46" s="6">
        <f t="shared" si="11"/>
        <v>7.2922747440792408</v>
      </c>
      <c r="M46" s="191">
        <f t="shared" si="12"/>
        <v>7.2922747440792408</v>
      </c>
      <c r="N46" s="131">
        <f t="shared" si="27"/>
        <v>7.2922747440792408</v>
      </c>
      <c r="O46" s="191">
        <f t="shared" si="13"/>
        <v>7.2922747440792408</v>
      </c>
      <c r="P46" s="191">
        <f t="shared" si="4"/>
        <v>7.2922747440792408</v>
      </c>
      <c r="Q46" s="6">
        <f t="shared" si="14"/>
        <v>7.2922747440792408</v>
      </c>
      <c r="R46" s="177">
        <f t="shared" si="15"/>
        <v>7.2922747440792408</v>
      </c>
      <c r="S46" s="177">
        <f t="shared" si="16"/>
        <v>7.2922747440792408</v>
      </c>
      <c r="T46" s="177">
        <f t="shared" si="17"/>
        <v>7.2922747440792408</v>
      </c>
      <c r="U46" s="172">
        <f>IF(VLEESKALKOENEN!$H$15="ja",L46-((E46-G46*95%-I46)/E46*L46)*$R$6,L46-((E46-G46*80%-I46)/E46*L46)*$R$6)</f>
        <v>7.2922747440792408</v>
      </c>
      <c r="V46" s="109">
        <f t="shared" si="24"/>
        <v>7.2922747440792408</v>
      </c>
      <c r="W46" s="188">
        <f t="shared" si="18"/>
        <v>7.2922747440792408</v>
      </c>
      <c r="X46" s="217">
        <f t="shared" si="19"/>
        <v>1</v>
      </c>
    </row>
    <row r="47" spans="1:24" x14ac:dyDescent="0.2">
      <c r="A47" s="1">
        <v>38</v>
      </c>
      <c r="B47" s="1">
        <v>1.85</v>
      </c>
      <c r="E47" s="7">
        <f t="shared" si="8"/>
        <v>2.1274999999999999</v>
      </c>
      <c r="F47" s="7">
        <f t="shared" si="9"/>
        <v>2.1274999999999999</v>
      </c>
      <c r="G47" s="179">
        <f t="shared" si="26"/>
        <v>0</v>
      </c>
      <c r="H47" s="179">
        <f t="shared" si="25"/>
        <v>0</v>
      </c>
      <c r="I47" s="179">
        <f t="shared" si="28"/>
        <v>0</v>
      </c>
      <c r="J47" s="6">
        <f t="shared" si="10"/>
        <v>0.41892803717288729</v>
      </c>
      <c r="K47" s="129">
        <v>1</v>
      </c>
      <c r="L47" s="6">
        <f t="shared" si="11"/>
        <v>7.8075199359873819</v>
      </c>
      <c r="M47" s="191">
        <f t="shared" si="12"/>
        <v>7.8075199359873819</v>
      </c>
      <c r="N47" s="131">
        <f t="shared" si="27"/>
        <v>7.8075199359873819</v>
      </c>
      <c r="O47" s="191">
        <f t="shared" si="13"/>
        <v>7.8075199359873819</v>
      </c>
      <c r="P47" s="191">
        <f t="shared" si="4"/>
        <v>7.8075199359873819</v>
      </c>
      <c r="Q47" s="6">
        <f t="shared" si="14"/>
        <v>7.8075199359873819</v>
      </c>
      <c r="R47" s="177">
        <f t="shared" si="15"/>
        <v>7.8075199359873819</v>
      </c>
      <c r="S47" s="177">
        <f t="shared" si="16"/>
        <v>7.8075199359873819</v>
      </c>
      <c r="T47" s="177">
        <f t="shared" si="17"/>
        <v>7.8075199359873819</v>
      </c>
      <c r="U47" s="172">
        <f>IF(VLEESKALKOENEN!$H$15="ja",L47-((E47-G47*95%-I47)/E47*L47)*$R$6,L47-((E47-G47*80%-I47)/E47*L47)*$R$6)</f>
        <v>7.8075199359873819</v>
      </c>
      <c r="V47" s="109">
        <f t="shared" si="24"/>
        <v>7.8075199359873819</v>
      </c>
      <c r="W47" s="188">
        <f t="shared" si="18"/>
        <v>7.8075199359873819</v>
      </c>
      <c r="X47" s="217">
        <f t="shared" si="19"/>
        <v>1</v>
      </c>
    </row>
    <row r="48" spans="1:24" x14ac:dyDescent="0.2">
      <c r="A48" s="1">
        <v>39</v>
      </c>
      <c r="B48" s="1">
        <v>1.94</v>
      </c>
      <c r="E48" s="7">
        <f t="shared" si="8"/>
        <v>2.2309999999999999</v>
      </c>
      <c r="F48" s="7">
        <f t="shared" si="9"/>
        <v>2.2309999999999999</v>
      </c>
      <c r="G48" s="179">
        <f t="shared" si="26"/>
        <v>0</v>
      </c>
      <c r="H48" s="179">
        <f t="shared" si="25"/>
        <v>0</v>
      </c>
      <c r="I48" s="179">
        <f t="shared" si="28"/>
        <v>0</v>
      </c>
      <c r="J48" s="6">
        <f t="shared" si="10"/>
        <v>0.42670766615548111</v>
      </c>
      <c r="K48" s="129">
        <v>1</v>
      </c>
      <c r="L48" s="6">
        <f t="shared" si="11"/>
        <v>8.3393868759696144</v>
      </c>
      <c r="M48" s="191">
        <f t="shared" si="12"/>
        <v>8.3393868759696144</v>
      </c>
      <c r="N48" s="131">
        <f t="shared" si="27"/>
        <v>8.3393868759696144</v>
      </c>
      <c r="O48" s="191">
        <f t="shared" si="13"/>
        <v>8.3393868759696144</v>
      </c>
      <c r="P48" s="191">
        <f t="shared" si="4"/>
        <v>8.3393868759696144</v>
      </c>
      <c r="Q48" s="6">
        <f t="shared" si="14"/>
        <v>8.3393868759696144</v>
      </c>
      <c r="R48" s="177">
        <f t="shared" si="15"/>
        <v>8.3393868759696144</v>
      </c>
      <c r="S48" s="177">
        <f>IF(E48-G48-H48&gt;=0,L48-((E48-G48-H48)/E48*L48)*$R$6,IF(G48&gt;H48,L48-((E48-G48)/E48*L48)*$R$6,L48-((E48-H48)/E48*L48)*$R$6))</f>
        <v>8.3393868759696144</v>
      </c>
      <c r="T48" s="177">
        <f t="shared" si="17"/>
        <v>8.3393868759696144</v>
      </c>
      <c r="U48" s="172">
        <f>IF(VLEESKALKOENEN!$H$15="ja",L48-((E48-G48*95%-I48)/E48*L48)*$R$6,L48-((E48-G48*80%-I48)/E48*L48)*$R$6)</f>
        <v>8.3393868759696144</v>
      </c>
      <c r="V48" s="109">
        <f t="shared" si="24"/>
        <v>8.3393868759696144</v>
      </c>
      <c r="W48" s="188">
        <f t="shared" si="18"/>
        <v>8.3393868759696144</v>
      </c>
      <c r="X48" s="217">
        <f t="shared" si="19"/>
        <v>1</v>
      </c>
    </row>
    <row r="49" spans="1:24" x14ac:dyDescent="0.2">
      <c r="A49" s="1">
        <v>40</v>
      </c>
      <c r="B49" s="1">
        <v>2.0299999999999998</v>
      </c>
      <c r="E49" s="7">
        <f t="shared" si="8"/>
        <v>2.3344999999999998</v>
      </c>
      <c r="F49" s="7">
        <f t="shared" si="9"/>
        <v>2.3344999999999998</v>
      </c>
      <c r="G49" s="179">
        <f t="shared" si="26"/>
        <v>0</v>
      </c>
      <c r="H49" s="179">
        <f t="shared" si="25"/>
        <v>0</v>
      </c>
      <c r="I49" s="179">
        <f t="shared" si="28"/>
        <v>0</v>
      </c>
      <c r="J49" s="6">
        <f t="shared" si="10"/>
        <v>0.43463176536144604</v>
      </c>
      <c r="K49" s="129">
        <v>1</v>
      </c>
      <c r="L49" s="6">
        <f t="shared" si="11"/>
        <v>8.8883152206299485</v>
      </c>
      <c r="M49" s="191">
        <f t="shared" si="12"/>
        <v>8.8883152206299485</v>
      </c>
      <c r="N49" s="131">
        <f t="shared" si="27"/>
        <v>8.8883152206299485</v>
      </c>
      <c r="O49" s="191">
        <f t="shared" si="13"/>
        <v>8.8883152206299485</v>
      </c>
      <c r="P49" s="191">
        <f t="shared" si="4"/>
        <v>8.8883152206299485</v>
      </c>
      <c r="Q49" s="6">
        <f t="shared" si="14"/>
        <v>8.8883152206299485</v>
      </c>
      <c r="R49" s="177">
        <f t="shared" si="15"/>
        <v>8.8883152206299485</v>
      </c>
      <c r="S49" s="177">
        <f t="shared" si="16"/>
        <v>8.8883152206299485</v>
      </c>
      <c r="T49" s="177">
        <f t="shared" si="17"/>
        <v>8.8883152206299485</v>
      </c>
      <c r="U49" s="172">
        <f>IF(VLEESKALKOENEN!$H$15="ja",L49-((E49-G49*95%-I49)/E49*L49)*$R$6,L49-((E49-G49*80%-I49)/E49*L49)*$R$6)</f>
        <v>8.8883152206299485</v>
      </c>
      <c r="V49" s="109">
        <f t="shared" si="24"/>
        <v>8.8883152206299485</v>
      </c>
      <c r="W49" s="188">
        <f t="shared" si="18"/>
        <v>8.8883152206299485</v>
      </c>
      <c r="X49" s="217">
        <f t="shared" si="19"/>
        <v>1</v>
      </c>
    </row>
    <row r="50" spans="1:24" x14ac:dyDescent="0.2">
      <c r="A50" s="1">
        <v>41</v>
      </c>
      <c r="B50" s="1">
        <v>2.13</v>
      </c>
      <c r="E50" s="7">
        <f t="shared" si="8"/>
        <v>2.4494999999999996</v>
      </c>
      <c r="F50" s="7">
        <f t="shared" si="9"/>
        <v>2.4494999999999996</v>
      </c>
      <c r="G50" s="179">
        <f t="shared" si="26"/>
        <v>0</v>
      </c>
      <c r="H50" s="179">
        <f t="shared" si="25"/>
        <v>0</v>
      </c>
      <c r="I50" s="179">
        <f t="shared" si="28"/>
        <v>0</v>
      </c>
      <c r="J50" s="6">
        <f t="shared" si="10"/>
        <v>0.44270301764950043</v>
      </c>
      <c r="K50" s="129">
        <v>1</v>
      </c>
      <c r="L50" s="6">
        <f t="shared" si="11"/>
        <v>9.4993531255762704</v>
      </c>
      <c r="M50" s="191">
        <f t="shared" si="12"/>
        <v>9.4993531255762704</v>
      </c>
      <c r="N50" s="131">
        <f t="shared" si="27"/>
        <v>9.4993531255762704</v>
      </c>
      <c r="O50" s="191">
        <f t="shared" si="13"/>
        <v>9.4993531255762704</v>
      </c>
      <c r="P50" s="191">
        <f t="shared" si="4"/>
        <v>9.4993531255762704</v>
      </c>
      <c r="Q50" s="6">
        <f t="shared" si="14"/>
        <v>9.4993531255762704</v>
      </c>
      <c r="R50" s="177">
        <f t="shared" si="15"/>
        <v>9.4993531255762704</v>
      </c>
      <c r="S50" s="177">
        <f t="shared" si="16"/>
        <v>9.4993531255762704</v>
      </c>
      <c r="T50" s="177">
        <f t="shared" si="17"/>
        <v>9.4993531255762704</v>
      </c>
      <c r="U50" s="172">
        <f>IF(VLEESKALKOENEN!$H$15="ja",L50-((E50-G50*95%-I50)/E50*L50)*$R$6,L50-((E50-G50*80%-I50)/E50*L50)*$R$6)</f>
        <v>9.4993531255762704</v>
      </c>
      <c r="V50" s="109">
        <f t="shared" si="24"/>
        <v>9.4993531255762704</v>
      </c>
      <c r="W50" s="188">
        <f t="shared" si="18"/>
        <v>9.4993531255762704</v>
      </c>
      <c r="X50" s="217">
        <f t="shared" si="19"/>
        <v>1</v>
      </c>
    </row>
    <row r="51" spans="1:24" x14ac:dyDescent="0.2">
      <c r="A51" s="1">
        <v>42</v>
      </c>
      <c r="B51" s="1">
        <v>2.23</v>
      </c>
      <c r="E51" s="7">
        <f t="shared" si="8"/>
        <v>2.5644999999999998</v>
      </c>
      <c r="F51" s="7">
        <f t="shared" si="9"/>
        <v>2.5644999999999998</v>
      </c>
      <c r="G51" s="179">
        <f t="shared" si="26"/>
        <v>0</v>
      </c>
      <c r="H51" s="179">
        <f t="shared" si="25"/>
        <v>0</v>
      </c>
      <c r="I51" s="179">
        <f>MIN(R$5,E51-G51)</f>
        <v>0</v>
      </c>
      <c r="J51" s="6">
        <f t="shared" si="10"/>
        <v>0.45092415569991562</v>
      </c>
      <c r="K51" s="129">
        <v>1</v>
      </c>
      <c r="L51" s="6">
        <f t="shared" si="11"/>
        <v>10.130020176281718</v>
      </c>
      <c r="M51" s="191">
        <f t="shared" si="12"/>
        <v>10.130020176281718</v>
      </c>
      <c r="N51" s="131">
        <f t="shared" si="27"/>
        <v>10.130020176281718</v>
      </c>
      <c r="O51" s="191">
        <f t="shared" si="13"/>
        <v>10.130020176281718</v>
      </c>
      <c r="P51" s="191">
        <f>IF(I51=0,L51,IF(I51&gt;$R$5,L51-(R$5)/E51*L51*99%,L51-(I51)/E51*L51*99%))</f>
        <v>10.130020176281718</v>
      </c>
      <c r="Q51" s="6">
        <f t="shared" si="14"/>
        <v>10.130020176281718</v>
      </c>
      <c r="R51" s="177">
        <f>IF(E51-G51-H51&gt;=0,L51-((E51-G51*80%-H51*95%)/E51*L51)*$R$6,IF(G51&gt;H51,L51-((E51-G51)/E51*L51)*$R$6,L51-((E51-H51)/E51*L51)*$R$6))</f>
        <v>10.130020176281718</v>
      </c>
      <c r="S51" s="177">
        <f t="shared" si="16"/>
        <v>10.130020176281718</v>
      </c>
      <c r="T51" s="177">
        <f t="shared" si="17"/>
        <v>10.130020176281718</v>
      </c>
      <c r="U51" s="172">
        <f>IF(VLEESKALKOENEN!$H$15="ja",L51-((E51-G51*95%-I51)/E51*L51)*$R$6,L51-((E51-G51*80%-I51)/E51*L51)*$R$6)</f>
        <v>10.130020176281718</v>
      </c>
      <c r="V51" s="109">
        <f t="shared" si="24"/>
        <v>10.130020176281718</v>
      </c>
      <c r="W51" s="188">
        <f t="shared" si="18"/>
        <v>10.130020176281718</v>
      </c>
      <c r="X51" s="217">
        <f t="shared" si="19"/>
        <v>1</v>
      </c>
    </row>
    <row r="52" spans="1:24" x14ac:dyDescent="0.2">
      <c r="A52" s="1">
        <v>43</v>
      </c>
      <c r="B52" s="1">
        <v>2.33</v>
      </c>
      <c r="E52" s="7">
        <f t="shared" si="8"/>
        <v>2.6795</v>
      </c>
      <c r="F52" s="7">
        <f t="shared" ref="F52:F115" si="29">E52-G52</f>
        <v>2.6795</v>
      </c>
      <c r="G52" s="179">
        <f t="shared" ref="G52:G115" si="30">IF($R$4&gt;0&lt;E52,E52,IF($R$4&gt;E52,E52,$R$4))</f>
        <v>0</v>
      </c>
      <c r="H52" s="179">
        <f t="shared" ref="H52:H115" si="31">IF(E52&lt;$R$5,E52-G52,$R$5)</f>
        <v>0</v>
      </c>
      <c r="I52" s="179">
        <f t="shared" ref="I52:I115" si="32">MIN(R$5,E52-G52)</f>
        <v>0</v>
      </c>
      <c r="J52" s="6">
        <f t="shared" si="10"/>
        <v>0.45929796293971847</v>
      </c>
      <c r="K52" s="129">
        <v>1</v>
      </c>
      <c r="L52" s="6">
        <f t="shared" si="11"/>
        <v>10.780834691265506</v>
      </c>
      <c r="M52" s="191">
        <f t="shared" ref="M52:M115" si="33">IF(E52&gt;$R$5,L52-(R$5)/E52*L52*99%,L52-(E52)/E52*L52*99%)</f>
        <v>10.780834691265506</v>
      </c>
      <c r="N52" s="131">
        <f t="shared" ref="N52:N115" si="34">(((($J52*(1-$R$2))-$J$3)/1000*$F52*24*365*$K52)*(1-R$5))+(((($J52*(1-$R$2))-$J$3)/1000*$G52*24*365*$K52)*(1-R$3))</f>
        <v>10.780834691265506</v>
      </c>
      <c r="O52" s="191">
        <f t="shared" ref="O52:O115" si="35">(((($J52)-$J$3)/1000*$F52*24*365*$K52))+(((($J52*(1-$R$2))-$J$3)/1000*$G52*24*365*$K52)*(1-R$3))</f>
        <v>10.780834691265506</v>
      </c>
      <c r="P52" s="191">
        <f t="shared" ref="P52:P115" si="36">IF(I52=0,L52,IF(I52&gt;$R$5,L52-(R$5)/E52*L52*99%,L52-(I52)/E52*L52*99%))</f>
        <v>10.780834691265506</v>
      </c>
      <c r="Q52" s="6">
        <f t="shared" si="14"/>
        <v>10.780834691265506</v>
      </c>
      <c r="R52" s="177">
        <f t="shared" ref="R52:R115" si="37">IF(E52-G52-H52&gt;=0,L52-((E52-G52*80%-H52*95%)/E52*L52)*$R$6,IF(G52&gt;H52,L52-((E52-G52)/E52*L52)*$R$6,L52-((E52-H52)/E52*L52)*$R$6))</f>
        <v>10.780834691265506</v>
      </c>
      <c r="S52" s="177">
        <f t="shared" ref="S52:S115" si="38">IF(E52-G52-H52&gt;=0,L52-((E52-G52-H52)/E52*L52)*$R$6,IF(G52&gt;H52,L52-((E52-G52)/E52*L52)*$R$6,L52-((E52-H52)/E52*L52)*$R$6))</f>
        <v>10.780834691265506</v>
      </c>
      <c r="T52" s="177">
        <f t="shared" ref="T52:T115" si="39">L52-(E52-H52)/E52*L52*$R$6</f>
        <v>10.780834691265506</v>
      </c>
      <c r="U52" s="172">
        <f>IF(VLEESKALKOENEN!$H$15="ja",L52-((E52-G52*95%-I52)/E52*L52)*$R$6,L52-((E52-G52*80%-I52)/E52*L52)*$R$6)</f>
        <v>10.780834691265506</v>
      </c>
      <c r="V52" s="109">
        <f t="shared" ref="V52:V115" si="40">L52-((E52-G52-I52)/E52*L52)*$R$6</f>
        <v>10.780834691265506</v>
      </c>
      <c r="W52" s="188">
        <f t="shared" ref="W52:W115" si="41">L52-(E52-H52)/E52*L52*$R$6</f>
        <v>10.780834691265506</v>
      </c>
      <c r="X52" s="217"/>
    </row>
    <row r="53" spans="1:24" x14ac:dyDescent="0.2">
      <c r="A53" s="1">
        <v>44</v>
      </c>
      <c r="B53" s="1">
        <v>2.4300000000000002</v>
      </c>
      <c r="E53" s="7">
        <f t="shared" si="8"/>
        <v>2.7944999999999998</v>
      </c>
      <c r="F53" s="7">
        <f t="shared" si="29"/>
        <v>2.7944999999999998</v>
      </c>
      <c r="G53" s="179">
        <f t="shared" si="30"/>
        <v>0</v>
      </c>
      <c r="H53" s="179">
        <f t="shared" si="31"/>
        <v>0</v>
      </c>
      <c r="I53" s="179">
        <f t="shared" si="32"/>
        <v>0</v>
      </c>
      <c r="J53" s="6">
        <f t="shared" si="10"/>
        <v>0.46782727448507472</v>
      </c>
      <c r="K53" s="129">
        <v>1</v>
      </c>
      <c r="L53" s="6">
        <f t="shared" si="11"/>
        <v>11.452327470485221</v>
      </c>
      <c r="M53" s="191">
        <f t="shared" si="33"/>
        <v>11.452327470485221</v>
      </c>
      <c r="N53" s="131">
        <f t="shared" si="34"/>
        <v>11.452327470485221</v>
      </c>
      <c r="O53" s="191">
        <f t="shared" si="35"/>
        <v>11.452327470485221</v>
      </c>
      <c r="P53" s="191">
        <f t="shared" si="36"/>
        <v>11.452327470485221</v>
      </c>
      <c r="Q53" s="6">
        <f t="shared" si="14"/>
        <v>11.452327470485221</v>
      </c>
      <c r="R53" s="177">
        <f t="shared" si="37"/>
        <v>11.452327470485221</v>
      </c>
      <c r="S53" s="177">
        <f t="shared" si="38"/>
        <v>11.452327470485221</v>
      </c>
      <c r="T53" s="177">
        <f t="shared" si="39"/>
        <v>11.452327470485221</v>
      </c>
      <c r="U53" s="172">
        <f>IF(VLEESKALKOENEN!$H$15="ja",L53-((E53-G53*95%-I53)/E53*L53)*$R$6,L53-((E53-G53*80%-I53)/E53*L53)*$R$6)</f>
        <v>11.452327470485221</v>
      </c>
      <c r="V53" s="109">
        <f t="shared" si="40"/>
        <v>11.452327470485221</v>
      </c>
      <c r="W53" s="188">
        <f t="shared" si="41"/>
        <v>11.452327470485221</v>
      </c>
      <c r="X53" s="217"/>
    </row>
    <row r="54" spans="1:24" x14ac:dyDescent="0.2">
      <c r="A54" s="1">
        <v>45</v>
      </c>
      <c r="B54" s="1">
        <v>2.5299999999999998</v>
      </c>
      <c r="E54" s="7">
        <f t="shared" si="8"/>
        <v>2.9094999999999995</v>
      </c>
      <c r="F54" s="7">
        <f t="shared" si="29"/>
        <v>2.9094999999999995</v>
      </c>
      <c r="G54" s="179">
        <f t="shared" si="30"/>
        <v>0</v>
      </c>
      <c r="H54" s="179">
        <f t="shared" si="31"/>
        <v>0</v>
      </c>
      <c r="I54" s="179">
        <f t="shared" si="32"/>
        <v>0</v>
      </c>
      <c r="J54" s="6">
        <f t="shared" si="10"/>
        <v>0.47651497810117321</v>
      </c>
      <c r="K54" s="129">
        <v>1</v>
      </c>
      <c r="L54" s="6">
        <f t="shared" si="11"/>
        <v>12.145042080159783</v>
      </c>
      <c r="M54" s="191">
        <f t="shared" si="33"/>
        <v>12.145042080159783</v>
      </c>
      <c r="N54" s="131">
        <f t="shared" si="34"/>
        <v>12.145042080159783</v>
      </c>
      <c r="O54" s="191">
        <f t="shared" si="35"/>
        <v>12.145042080159783</v>
      </c>
      <c r="P54" s="191">
        <f t="shared" si="36"/>
        <v>12.145042080159783</v>
      </c>
      <c r="Q54" s="6">
        <f t="shared" si="14"/>
        <v>12.145042080159783</v>
      </c>
      <c r="R54" s="177">
        <f t="shared" si="37"/>
        <v>12.145042080159783</v>
      </c>
      <c r="S54" s="177">
        <f t="shared" si="38"/>
        <v>12.145042080159783</v>
      </c>
      <c r="T54" s="177">
        <f t="shared" si="39"/>
        <v>12.145042080159783</v>
      </c>
      <c r="U54" s="172">
        <f>IF(VLEESKALKOENEN!$H$15="ja",L54-((E54-G54*95%-I54)/E54*L54)*$R$6,L54-((E54-G54*80%-I54)/E54*L54)*$R$6)</f>
        <v>12.145042080159783</v>
      </c>
      <c r="V54" s="109">
        <f t="shared" si="40"/>
        <v>12.145042080159783</v>
      </c>
      <c r="W54" s="188">
        <f t="shared" si="41"/>
        <v>12.145042080159783</v>
      </c>
      <c r="X54" s="217"/>
    </row>
    <row r="55" spans="1:24" x14ac:dyDescent="0.2">
      <c r="A55" s="1">
        <v>46</v>
      </c>
      <c r="B55" s="1">
        <v>2.64</v>
      </c>
      <c r="E55" s="7">
        <f t="shared" si="8"/>
        <v>3.036</v>
      </c>
      <c r="F55" s="7">
        <f t="shared" si="29"/>
        <v>3.036</v>
      </c>
      <c r="G55" s="179">
        <f t="shared" si="30"/>
        <v>0</v>
      </c>
      <c r="H55" s="179">
        <f t="shared" si="31"/>
        <v>0</v>
      </c>
      <c r="I55" s="179">
        <f t="shared" si="32"/>
        <v>0</v>
      </c>
      <c r="J55" s="6">
        <f t="shared" si="10"/>
        <v>0.48536401517993538</v>
      </c>
      <c r="K55" s="129">
        <v>1</v>
      </c>
      <c r="L55" s="6">
        <f t="shared" si="11"/>
        <v>12.908430714755847</v>
      </c>
      <c r="M55" s="191">
        <f t="shared" si="33"/>
        <v>12.908430714755847</v>
      </c>
      <c r="N55" s="131">
        <f t="shared" si="34"/>
        <v>12.908430714755847</v>
      </c>
      <c r="O55" s="191">
        <f t="shared" si="35"/>
        <v>12.908430714755847</v>
      </c>
      <c r="P55" s="191">
        <f t="shared" si="36"/>
        <v>12.908430714755847</v>
      </c>
      <c r="Q55" s="6">
        <f t="shared" si="14"/>
        <v>12.908430714755847</v>
      </c>
      <c r="R55" s="177">
        <f t="shared" si="37"/>
        <v>12.908430714755847</v>
      </c>
      <c r="S55" s="177">
        <f t="shared" si="38"/>
        <v>12.908430714755847</v>
      </c>
      <c r="T55" s="177">
        <f t="shared" si="39"/>
        <v>12.908430714755847</v>
      </c>
      <c r="U55" s="172">
        <f>IF(VLEESKALKOENEN!$H$15="ja",L55-((E55-G55*95%-I55)/E55*L55)*$R$6,L55-((E55-G55*80%-I55)/E55*L55)*$R$6)</f>
        <v>12.908430714755847</v>
      </c>
      <c r="V55" s="109">
        <f t="shared" si="40"/>
        <v>12.908430714755847</v>
      </c>
      <c r="W55" s="188">
        <f t="shared" si="41"/>
        <v>12.908430714755847</v>
      </c>
      <c r="X55" s="217"/>
    </row>
    <row r="56" spans="1:24" x14ac:dyDescent="0.2">
      <c r="A56" s="1">
        <v>47</v>
      </c>
      <c r="B56" s="1">
        <v>2.74</v>
      </c>
      <c r="E56" s="7">
        <f t="shared" si="8"/>
        <v>3.1509999999999998</v>
      </c>
      <c r="F56" s="7">
        <f t="shared" si="29"/>
        <v>3.1509999999999998</v>
      </c>
      <c r="G56" s="179">
        <f t="shared" si="30"/>
        <v>0</v>
      </c>
      <c r="H56" s="179">
        <f t="shared" si="31"/>
        <v>0</v>
      </c>
      <c r="I56" s="179">
        <f t="shared" si="32"/>
        <v>0</v>
      </c>
      <c r="J56" s="6">
        <f t="shared" si="10"/>
        <v>0.49437738173588069</v>
      </c>
      <c r="K56" s="129">
        <v>1</v>
      </c>
      <c r="L56" s="6">
        <f t="shared" si="11"/>
        <v>13.646180217483899</v>
      </c>
      <c r="M56" s="191">
        <f t="shared" si="33"/>
        <v>13.646180217483899</v>
      </c>
      <c r="N56" s="131">
        <f t="shared" si="34"/>
        <v>13.646180217483899</v>
      </c>
      <c r="O56" s="191">
        <f t="shared" si="35"/>
        <v>13.646180217483899</v>
      </c>
      <c r="P56" s="191">
        <f t="shared" si="36"/>
        <v>13.646180217483899</v>
      </c>
      <c r="Q56" s="6">
        <f t="shared" si="14"/>
        <v>13.646180217483899</v>
      </c>
      <c r="R56" s="177">
        <f t="shared" si="37"/>
        <v>13.646180217483899</v>
      </c>
      <c r="S56" s="177">
        <f t="shared" si="38"/>
        <v>13.646180217483899</v>
      </c>
      <c r="T56" s="177">
        <f t="shared" si="39"/>
        <v>13.646180217483899</v>
      </c>
      <c r="U56" s="172">
        <f>IF(VLEESKALKOENEN!$H$15="ja",L56-((E56-G56*95%-I56)/E56*L56)*$R$6,L56-((E56-G56*80%-I56)/E56*L56)*$R$6)</f>
        <v>13.646180217483899</v>
      </c>
      <c r="V56" s="109">
        <f t="shared" si="40"/>
        <v>13.646180217483899</v>
      </c>
      <c r="W56" s="188">
        <f t="shared" si="41"/>
        <v>13.646180217483899</v>
      </c>
      <c r="X56" s="217"/>
    </row>
    <row r="57" spans="1:24" x14ac:dyDescent="0.2">
      <c r="A57" s="1">
        <v>48</v>
      </c>
      <c r="B57" s="1">
        <v>2.85</v>
      </c>
      <c r="E57" s="7">
        <f t="shared" si="8"/>
        <v>3.2774999999999999</v>
      </c>
      <c r="F57" s="7">
        <f t="shared" si="29"/>
        <v>3.2774999999999999</v>
      </c>
      <c r="G57" s="179">
        <f t="shared" si="30"/>
        <v>0</v>
      </c>
      <c r="H57" s="179">
        <f t="shared" si="31"/>
        <v>0</v>
      </c>
      <c r="I57" s="179">
        <f t="shared" si="32"/>
        <v>0</v>
      </c>
      <c r="J57" s="6">
        <f t="shared" si="10"/>
        <v>0.50355812942048617</v>
      </c>
      <c r="K57" s="129">
        <v>1</v>
      </c>
      <c r="L57" s="6">
        <f t="shared" si="11"/>
        <v>14.457607097978633</v>
      </c>
      <c r="M57" s="191">
        <f t="shared" si="33"/>
        <v>14.457607097978633</v>
      </c>
      <c r="N57" s="131">
        <f t="shared" si="34"/>
        <v>14.457607097978633</v>
      </c>
      <c r="O57" s="191">
        <f t="shared" si="35"/>
        <v>14.457607097978633</v>
      </c>
      <c r="P57" s="191">
        <f t="shared" si="36"/>
        <v>14.457607097978633</v>
      </c>
      <c r="Q57" s="6">
        <f t="shared" si="14"/>
        <v>14.457607097978633</v>
      </c>
      <c r="R57" s="177">
        <f t="shared" si="37"/>
        <v>14.457607097978633</v>
      </c>
      <c r="S57" s="177">
        <f t="shared" si="38"/>
        <v>14.457607097978633</v>
      </c>
      <c r="T57" s="177">
        <f t="shared" si="39"/>
        <v>14.457607097978633</v>
      </c>
      <c r="U57" s="172">
        <f>IF(VLEESKALKOENEN!$H$15="ja",L57-((E57-G57*95%-I57)/E57*L57)*$R$6,L57-((E57-G57*80%-I57)/E57*L57)*$R$6)</f>
        <v>14.457607097978633</v>
      </c>
      <c r="V57" s="109">
        <f t="shared" si="40"/>
        <v>14.457607097978633</v>
      </c>
      <c r="W57" s="188">
        <f t="shared" si="41"/>
        <v>14.457607097978633</v>
      </c>
      <c r="X57" s="217"/>
    </row>
    <row r="58" spans="1:24" x14ac:dyDescent="0.2">
      <c r="A58" s="1">
        <v>49</v>
      </c>
      <c r="B58" s="1">
        <v>2.96</v>
      </c>
      <c r="E58" s="7">
        <f t="shared" si="8"/>
        <v>3.4039999999999999</v>
      </c>
      <c r="F58" s="7">
        <f t="shared" si="29"/>
        <v>3.4039999999999999</v>
      </c>
      <c r="G58" s="179">
        <f t="shared" si="30"/>
        <v>0</v>
      </c>
      <c r="H58" s="179">
        <f t="shared" si="31"/>
        <v>0</v>
      </c>
      <c r="I58" s="179">
        <f t="shared" si="32"/>
        <v>0</v>
      </c>
      <c r="J58" s="6">
        <f t="shared" si="10"/>
        <v>0.51290936655538244</v>
      </c>
      <c r="K58" s="129">
        <v>1</v>
      </c>
      <c r="L58" s="6">
        <f t="shared" si="11"/>
        <v>15.294464917689611</v>
      </c>
      <c r="M58" s="191">
        <f t="shared" si="33"/>
        <v>15.294464917689611</v>
      </c>
      <c r="N58" s="131">
        <f t="shared" si="34"/>
        <v>15.294464917689611</v>
      </c>
      <c r="O58" s="191">
        <f t="shared" si="35"/>
        <v>15.294464917689611</v>
      </c>
      <c r="P58" s="191">
        <f t="shared" si="36"/>
        <v>15.294464917689611</v>
      </c>
      <c r="Q58" s="6">
        <f t="shared" si="14"/>
        <v>15.294464917689611</v>
      </c>
      <c r="R58" s="177">
        <f t="shared" si="37"/>
        <v>15.294464917689611</v>
      </c>
      <c r="S58" s="177">
        <f t="shared" si="38"/>
        <v>15.294464917689611</v>
      </c>
      <c r="T58" s="177">
        <f t="shared" si="39"/>
        <v>15.294464917689611</v>
      </c>
      <c r="U58" s="172">
        <f>IF(VLEESKALKOENEN!$H$15="ja",L58-((E58-G58*95%-I58)/E58*L58)*$R$6,L58-((E58-G58*80%-I58)/E58*L58)*$R$6)</f>
        <v>15.294464917689611</v>
      </c>
      <c r="V58" s="109">
        <f t="shared" si="40"/>
        <v>15.294464917689611</v>
      </c>
      <c r="W58" s="188">
        <f t="shared" si="41"/>
        <v>15.294464917689611</v>
      </c>
      <c r="X58" s="217"/>
    </row>
    <row r="59" spans="1:24" x14ac:dyDescent="0.2">
      <c r="A59" s="1">
        <v>50</v>
      </c>
      <c r="B59" s="1">
        <v>3.07</v>
      </c>
      <c r="E59" s="7">
        <f t="shared" si="8"/>
        <v>3.5304999999999995</v>
      </c>
      <c r="F59" s="7">
        <f t="shared" si="29"/>
        <v>3.5304999999999995</v>
      </c>
      <c r="G59" s="179">
        <f t="shared" si="30"/>
        <v>0</v>
      </c>
      <c r="H59" s="179">
        <f t="shared" si="31"/>
        <v>0</v>
      </c>
      <c r="I59" s="179">
        <f t="shared" si="32"/>
        <v>0</v>
      </c>
      <c r="J59" s="6">
        <f t="shared" si="10"/>
        <v>0.52243425918473718</v>
      </c>
      <c r="K59" s="129">
        <v>1</v>
      </c>
      <c r="L59" s="6">
        <f t="shared" si="11"/>
        <v>16.157418371973019</v>
      </c>
      <c r="M59" s="191">
        <f t="shared" si="33"/>
        <v>16.157418371973019</v>
      </c>
      <c r="N59" s="131">
        <f t="shared" si="34"/>
        <v>16.157418371973019</v>
      </c>
      <c r="O59" s="191">
        <f t="shared" si="35"/>
        <v>16.157418371973019</v>
      </c>
      <c r="P59" s="191">
        <f t="shared" si="36"/>
        <v>16.157418371973019</v>
      </c>
      <c r="Q59" s="6">
        <f t="shared" si="14"/>
        <v>16.157418371973019</v>
      </c>
      <c r="R59" s="177">
        <f t="shared" si="37"/>
        <v>16.157418371973019</v>
      </c>
      <c r="S59" s="177">
        <f t="shared" si="38"/>
        <v>16.157418371973019</v>
      </c>
      <c r="T59" s="177">
        <f t="shared" si="39"/>
        <v>16.157418371973019</v>
      </c>
      <c r="U59" s="172">
        <f>IF(VLEESKALKOENEN!$H$15="ja",L59-((E59-G59*95%-I59)/E59*L59)*$R$6,L59-((E59-G59*80%-I59)/E59*L59)*$R$6)</f>
        <v>16.157418371973019</v>
      </c>
      <c r="V59" s="109">
        <f t="shared" si="40"/>
        <v>16.157418371973019</v>
      </c>
      <c r="W59" s="188">
        <f t="shared" si="41"/>
        <v>16.157418371973019</v>
      </c>
      <c r="X59" s="217"/>
    </row>
    <row r="60" spans="1:24" x14ac:dyDescent="0.2">
      <c r="A60" s="1">
        <v>51</v>
      </c>
      <c r="B60" s="1">
        <v>3.18</v>
      </c>
      <c r="E60" s="7">
        <f t="shared" si="8"/>
        <v>3.657</v>
      </c>
      <c r="F60" s="7">
        <f t="shared" si="29"/>
        <v>3.657</v>
      </c>
      <c r="G60" s="179">
        <f t="shared" si="30"/>
        <v>0</v>
      </c>
      <c r="H60" s="179">
        <f t="shared" si="31"/>
        <v>0</v>
      </c>
      <c r="I60" s="179">
        <f t="shared" si="32"/>
        <v>0</v>
      </c>
      <c r="J60" s="6">
        <f t="shared" si="10"/>
        <v>0.53213603214718075</v>
      </c>
      <c r="K60" s="129">
        <v>1</v>
      </c>
      <c r="L60" s="6">
        <f t="shared" si="11"/>
        <v>17.047148073365225</v>
      </c>
      <c r="M60" s="191">
        <f t="shared" si="33"/>
        <v>17.047148073365225</v>
      </c>
      <c r="N60" s="131">
        <f t="shared" si="34"/>
        <v>17.047148073365225</v>
      </c>
      <c r="O60" s="191">
        <f t="shared" si="35"/>
        <v>17.047148073365225</v>
      </c>
      <c r="P60" s="191">
        <f t="shared" si="36"/>
        <v>17.047148073365225</v>
      </c>
      <c r="Q60" s="6">
        <f t="shared" si="14"/>
        <v>17.047148073365225</v>
      </c>
      <c r="R60" s="177">
        <f t="shared" si="37"/>
        <v>17.047148073365225</v>
      </c>
      <c r="S60" s="177">
        <f t="shared" si="38"/>
        <v>17.047148073365225</v>
      </c>
      <c r="T60" s="177">
        <f t="shared" si="39"/>
        <v>17.047148073365225</v>
      </c>
      <c r="U60" s="172">
        <f>IF(VLEESKALKOENEN!$H$15="ja",L60-((E60-G60*95%-I60)/E60*L60)*$R$6,L60-((E60-G60*80%-I60)/E60*L60)*$R$6)</f>
        <v>17.047148073365225</v>
      </c>
      <c r="V60" s="109">
        <f t="shared" si="40"/>
        <v>17.047148073365225</v>
      </c>
      <c r="W60" s="188">
        <f t="shared" si="41"/>
        <v>17.047148073365225</v>
      </c>
      <c r="X60" s="217"/>
    </row>
    <row r="61" spans="1:24" x14ac:dyDescent="0.2">
      <c r="A61" s="1">
        <v>52</v>
      </c>
      <c r="B61" s="1">
        <v>3.3</v>
      </c>
      <c r="E61" s="7">
        <f t="shared" si="8"/>
        <v>3.7949999999999995</v>
      </c>
      <c r="F61" s="7">
        <f t="shared" si="29"/>
        <v>3.7949999999999995</v>
      </c>
      <c r="G61" s="179">
        <f t="shared" si="30"/>
        <v>0</v>
      </c>
      <c r="H61" s="179">
        <f t="shared" si="31"/>
        <v>0</v>
      </c>
      <c r="I61" s="179">
        <f t="shared" si="32"/>
        <v>0</v>
      </c>
      <c r="J61" s="6">
        <f t="shared" si="10"/>
        <v>0.54201797016763897</v>
      </c>
      <c r="K61" s="129">
        <v>1</v>
      </c>
      <c r="L61" s="6">
        <f t="shared" si="11"/>
        <v>18.018953803847022</v>
      </c>
      <c r="M61" s="191">
        <f t="shared" si="33"/>
        <v>18.018953803847022</v>
      </c>
      <c r="N61" s="131">
        <f t="shared" si="34"/>
        <v>18.018953803847022</v>
      </c>
      <c r="O61" s="191">
        <f t="shared" si="35"/>
        <v>18.018953803847022</v>
      </c>
      <c r="P61" s="191">
        <f t="shared" si="36"/>
        <v>18.018953803847022</v>
      </c>
      <c r="Q61" s="6">
        <f t="shared" si="14"/>
        <v>18.018953803847022</v>
      </c>
      <c r="R61" s="177">
        <f t="shared" si="37"/>
        <v>18.018953803847022</v>
      </c>
      <c r="S61" s="177">
        <f t="shared" si="38"/>
        <v>18.018953803847022</v>
      </c>
      <c r="T61" s="177">
        <f t="shared" si="39"/>
        <v>18.018953803847022</v>
      </c>
      <c r="U61" s="172">
        <f>IF(VLEESKALKOENEN!$H$15="ja",L61-((E61-G61*95%-I61)/E61*L61)*$R$6,L61-((E61-G61*80%-I61)/E61*L61)*$R$6)</f>
        <v>18.018953803847022</v>
      </c>
      <c r="V61" s="109">
        <f t="shared" si="40"/>
        <v>18.018953803847022</v>
      </c>
      <c r="W61" s="188">
        <f t="shared" si="41"/>
        <v>18.018953803847022</v>
      </c>
      <c r="X61" s="217"/>
    </row>
    <row r="62" spans="1:24" x14ac:dyDescent="0.2">
      <c r="A62" s="1">
        <v>53</v>
      </c>
      <c r="B62" s="1">
        <v>3.41</v>
      </c>
      <c r="E62" s="7">
        <f t="shared" si="8"/>
        <v>3.9215</v>
      </c>
      <c r="F62" s="7">
        <f t="shared" si="29"/>
        <v>3.9215</v>
      </c>
      <c r="G62" s="179">
        <f t="shared" si="30"/>
        <v>0</v>
      </c>
      <c r="H62" s="179">
        <f t="shared" si="31"/>
        <v>0</v>
      </c>
      <c r="I62" s="179">
        <f t="shared" si="32"/>
        <v>0</v>
      </c>
      <c r="J62" s="6">
        <f t="shared" si="10"/>
        <v>0.55208341896944024</v>
      </c>
      <c r="K62" s="129">
        <v>1</v>
      </c>
      <c r="L62" s="6">
        <f t="shared" si="11"/>
        <v>18.965357316800663</v>
      </c>
      <c r="M62" s="191">
        <f t="shared" si="33"/>
        <v>18.965357316800663</v>
      </c>
      <c r="N62" s="131">
        <f t="shared" si="34"/>
        <v>18.965357316800663</v>
      </c>
      <c r="O62" s="191">
        <f t="shared" si="35"/>
        <v>18.965357316800663</v>
      </c>
      <c r="P62" s="191">
        <f t="shared" si="36"/>
        <v>18.965357316800663</v>
      </c>
      <c r="Q62" s="6">
        <f t="shared" si="14"/>
        <v>18.965357316800663</v>
      </c>
      <c r="R62" s="177">
        <f t="shared" si="37"/>
        <v>18.965357316800663</v>
      </c>
      <c r="S62" s="177">
        <f t="shared" si="38"/>
        <v>18.965357316800663</v>
      </c>
      <c r="T62" s="177">
        <f t="shared" si="39"/>
        <v>18.965357316800663</v>
      </c>
      <c r="U62" s="172">
        <f>IF(VLEESKALKOENEN!$H$15="ja",L62-((E62-G62*95%-I62)/E62*L62)*$R$6,L62-((E62-G62*80%-I62)/E62*L62)*$R$6)</f>
        <v>18.965357316800663</v>
      </c>
      <c r="V62" s="109">
        <f t="shared" si="40"/>
        <v>18.965357316800663</v>
      </c>
      <c r="W62" s="188">
        <f t="shared" si="41"/>
        <v>18.965357316800663</v>
      </c>
      <c r="X62" s="217"/>
    </row>
    <row r="63" spans="1:24" x14ac:dyDescent="0.2">
      <c r="A63" s="1">
        <v>54</v>
      </c>
      <c r="B63" s="1">
        <v>3.53</v>
      </c>
      <c r="E63" s="7">
        <f t="shared" si="8"/>
        <v>4.0594999999999999</v>
      </c>
      <c r="F63" s="7">
        <f t="shared" si="29"/>
        <v>4.0594999999999999</v>
      </c>
      <c r="G63" s="179">
        <f t="shared" si="30"/>
        <v>0</v>
      </c>
      <c r="H63" s="179">
        <f t="shared" si="31"/>
        <v>0</v>
      </c>
      <c r="I63" s="179">
        <f t="shared" si="32"/>
        <v>0</v>
      </c>
      <c r="J63" s="6">
        <f t="shared" si="10"/>
        <v>0.56233578640707649</v>
      </c>
      <c r="K63" s="129">
        <v>1</v>
      </c>
      <c r="L63" s="6">
        <f t="shared" si="11"/>
        <v>19.997346614295058</v>
      </c>
      <c r="M63" s="191">
        <f t="shared" si="33"/>
        <v>19.997346614295058</v>
      </c>
      <c r="N63" s="131">
        <f t="shared" si="34"/>
        <v>19.997346614295058</v>
      </c>
      <c r="O63" s="191">
        <f t="shared" si="35"/>
        <v>19.997346614295058</v>
      </c>
      <c r="P63" s="191">
        <f t="shared" si="36"/>
        <v>19.997346614295058</v>
      </c>
      <c r="Q63" s="6">
        <f t="shared" si="14"/>
        <v>19.997346614295058</v>
      </c>
      <c r="R63" s="177">
        <f t="shared" si="37"/>
        <v>19.997346614295058</v>
      </c>
      <c r="S63" s="177">
        <f t="shared" si="38"/>
        <v>19.997346614295058</v>
      </c>
      <c r="T63" s="177">
        <f t="shared" si="39"/>
        <v>19.997346614295058</v>
      </c>
      <c r="U63" s="172">
        <f>IF(VLEESKALKOENEN!$H$15="ja",L63-((E63-G63*95%-I63)/E63*L63)*$R$6,L63-((E63-G63*80%-I63)/E63*L63)*$R$6)</f>
        <v>19.997346614295058</v>
      </c>
      <c r="V63" s="109">
        <f t="shared" si="40"/>
        <v>19.997346614295058</v>
      </c>
      <c r="W63" s="188">
        <f t="shared" si="41"/>
        <v>19.997346614295058</v>
      </c>
      <c r="X63" s="217"/>
    </row>
    <row r="64" spans="1:24" x14ac:dyDescent="0.2">
      <c r="A64" s="1">
        <v>55</v>
      </c>
      <c r="B64" s="1">
        <v>3.64</v>
      </c>
      <c r="E64" s="7">
        <f t="shared" si="8"/>
        <v>4.1859999999999999</v>
      </c>
      <c r="F64" s="7">
        <f t="shared" si="29"/>
        <v>4.1859999999999999</v>
      </c>
      <c r="G64" s="179">
        <f t="shared" si="30"/>
        <v>0</v>
      </c>
      <c r="H64" s="179">
        <f t="shared" si="31"/>
        <v>0</v>
      </c>
      <c r="I64" s="179">
        <f t="shared" si="32"/>
        <v>0</v>
      </c>
      <c r="J64" s="6">
        <f t="shared" si="10"/>
        <v>0.5727785436199978</v>
      </c>
      <c r="K64" s="129">
        <v>1</v>
      </c>
      <c r="L64" s="6">
        <f t="shared" si="11"/>
        <v>21.003422616277405</v>
      </c>
      <c r="M64" s="191">
        <f t="shared" si="33"/>
        <v>21.003422616277405</v>
      </c>
      <c r="N64" s="131">
        <f t="shared" si="34"/>
        <v>21.003422616277405</v>
      </c>
      <c r="O64" s="191">
        <f t="shared" si="35"/>
        <v>21.003422616277405</v>
      </c>
      <c r="P64" s="191">
        <f t="shared" si="36"/>
        <v>21.003422616277405</v>
      </c>
      <c r="Q64" s="6">
        <f t="shared" si="14"/>
        <v>21.003422616277405</v>
      </c>
      <c r="R64" s="177">
        <f t="shared" si="37"/>
        <v>21.003422616277405</v>
      </c>
      <c r="S64" s="177">
        <f t="shared" si="38"/>
        <v>21.003422616277405</v>
      </c>
      <c r="T64" s="177">
        <f t="shared" si="39"/>
        <v>21.003422616277405</v>
      </c>
      <c r="U64" s="172">
        <f>IF(VLEESKALKOENEN!$H$15="ja",L64-((E64-G64*95%-I64)/E64*L64)*$R$6,L64-((E64-G64*80%-I64)/E64*L64)*$R$6)</f>
        <v>21.003422616277405</v>
      </c>
      <c r="V64" s="109">
        <f t="shared" si="40"/>
        <v>21.003422616277405</v>
      </c>
      <c r="W64" s="188">
        <f t="shared" si="41"/>
        <v>21.003422616277405</v>
      </c>
      <c r="X64" s="217"/>
    </row>
    <row r="65" spans="1:24" x14ac:dyDescent="0.2">
      <c r="A65" s="1">
        <v>56</v>
      </c>
      <c r="B65" s="1">
        <v>3.76</v>
      </c>
      <c r="E65" s="7">
        <f t="shared" si="8"/>
        <v>4.3239999999999998</v>
      </c>
      <c r="F65" s="7">
        <f t="shared" si="29"/>
        <v>4.3239999999999998</v>
      </c>
      <c r="G65" s="179">
        <f t="shared" si="30"/>
        <v>0</v>
      </c>
      <c r="H65" s="179">
        <f t="shared" si="31"/>
        <v>0</v>
      </c>
      <c r="I65" s="179">
        <f t="shared" si="32"/>
        <v>0</v>
      </c>
      <c r="J65" s="6">
        <f t="shared" si="10"/>
        <v>0.5834152262078357</v>
      </c>
      <c r="K65" s="129">
        <v>1</v>
      </c>
      <c r="L65" s="6">
        <f t="shared" si="11"/>
        <v>22.09874195795469</v>
      </c>
      <c r="M65" s="191">
        <f t="shared" si="33"/>
        <v>22.09874195795469</v>
      </c>
      <c r="N65" s="131">
        <f t="shared" si="34"/>
        <v>22.09874195795469</v>
      </c>
      <c r="O65" s="191">
        <f t="shared" si="35"/>
        <v>22.09874195795469</v>
      </c>
      <c r="P65" s="191">
        <f t="shared" si="36"/>
        <v>22.09874195795469</v>
      </c>
      <c r="Q65" s="6">
        <f t="shared" si="14"/>
        <v>22.09874195795469</v>
      </c>
      <c r="R65" s="177">
        <f t="shared" si="37"/>
        <v>22.09874195795469</v>
      </c>
      <c r="S65" s="177">
        <f t="shared" si="38"/>
        <v>22.09874195795469</v>
      </c>
      <c r="T65" s="177">
        <f t="shared" si="39"/>
        <v>22.09874195795469</v>
      </c>
      <c r="U65" s="172">
        <f>IF(VLEESKALKOENEN!$H$15="ja",L65-((E65-G65*95%-I65)/E65*L65)*$R$6,L65-((E65-G65*80%-I65)/E65*L65)*$R$6)</f>
        <v>22.09874195795469</v>
      </c>
      <c r="V65" s="109">
        <f t="shared" si="40"/>
        <v>22.09874195795469</v>
      </c>
      <c r="W65" s="188">
        <f t="shared" si="41"/>
        <v>22.09874195795469</v>
      </c>
      <c r="X65" s="217"/>
    </row>
    <row r="66" spans="1:24" x14ac:dyDescent="0.2">
      <c r="A66" s="1">
        <v>57</v>
      </c>
      <c r="B66" s="1">
        <v>3.88</v>
      </c>
      <c r="E66" s="7">
        <f t="shared" si="8"/>
        <v>4.4619999999999997</v>
      </c>
      <c r="F66" s="7">
        <f t="shared" si="29"/>
        <v>4.4619999999999997</v>
      </c>
      <c r="G66" s="179">
        <f t="shared" si="30"/>
        <v>0</v>
      </c>
      <c r="H66" s="179">
        <f t="shared" si="31"/>
        <v>0</v>
      </c>
      <c r="I66" s="179">
        <f t="shared" si="32"/>
        <v>0</v>
      </c>
      <c r="J66" s="6">
        <f t="shared" si="10"/>
        <v>0.59424943542744912</v>
      </c>
      <c r="K66" s="129">
        <v>1</v>
      </c>
      <c r="L66" s="6">
        <f t="shared" si="11"/>
        <v>23.227498992484954</v>
      </c>
      <c r="M66" s="191">
        <f t="shared" si="33"/>
        <v>23.227498992484954</v>
      </c>
      <c r="N66" s="131">
        <f t="shared" si="34"/>
        <v>23.227498992484954</v>
      </c>
      <c r="O66" s="191">
        <f t="shared" si="35"/>
        <v>23.227498992484954</v>
      </c>
      <c r="P66" s="191">
        <f t="shared" si="36"/>
        <v>23.227498992484954</v>
      </c>
      <c r="Q66" s="6">
        <f t="shared" si="14"/>
        <v>23.227498992484954</v>
      </c>
      <c r="R66" s="177">
        <f t="shared" si="37"/>
        <v>23.227498992484954</v>
      </c>
      <c r="S66" s="177">
        <f t="shared" si="38"/>
        <v>23.227498992484954</v>
      </c>
      <c r="T66" s="177">
        <f t="shared" si="39"/>
        <v>23.227498992484954</v>
      </c>
      <c r="U66" s="172">
        <f>IF(VLEESKALKOENEN!$H$15="ja",L66-((E66-G66*95%-I66)/E66*L66)*$R$6,L66-((E66-G66*80%-I66)/E66*L66)*$R$6)</f>
        <v>23.227498992484954</v>
      </c>
      <c r="V66" s="109">
        <f t="shared" si="40"/>
        <v>23.227498992484954</v>
      </c>
      <c r="W66" s="188">
        <f t="shared" si="41"/>
        <v>23.227498992484954</v>
      </c>
      <c r="X66" s="217"/>
    </row>
    <row r="67" spans="1:24" x14ac:dyDescent="0.2">
      <c r="A67" s="1">
        <v>58</v>
      </c>
      <c r="B67" s="1">
        <v>4</v>
      </c>
      <c r="E67" s="7">
        <f t="shared" si="8"/>
        <v>4.5999999999999996</v>
      </c>
      <c r="F67" s="7">
        <f t="shared" si="29"/>
        <v>4.5999999999999996</v>
      </c>
      <c r="G67" s="179">
        <f t="shared" si="30"/>
        <v>0</v>
      </c>
      <c r="H67" s="179">
        <f t="shared" si="31"/>
        <v>0</v>
      </c>
      <c r="I67" s="179">
        <f t="shared" si="32"/>
        <v>0</v>
      </c>
      <c r="J67" s="6">
        <f t="shared" si="10"/>
        <v>0.60528483941219946</v>
      </c>
      <c r="K67" s="129">
        <v>1</v>
      </c>
      <c r="L67" s="6">
        <f t="shared" si="11"/>
        <v>24.390557888953985</v>
      </c>
      <c r="M67" s="191">
        <f t="shared" si="33"/>
        <v>24.390557888953985</v>
      </c>
      <c r="N67" s="131">
        <f t="shared" si="34"/>
        <v>24.390557888953985</v>
      </c>
      <c r="O67" s="191">
        <f t="shared" si="35"/>
        <v>24.390557888953985</v>
      </c>
      <c r="P67" s="191">
        <f t="shared" si="36"/>
        <v>24.390557888953985</v>
      </c>
      <c r="Q67" s="6">
        <f t="shared" si="14"/>
        <v>24.390557888953985</v>
      </c>
      <c r="R67" s="177">
        <f t="shared" si="37"/>
        <v>24.390557888953985</v>
      </c>
      <c r="S67" s="177">
        <f t="shared" si="38"/>
        <v>24.390557888953985</v>
      </c>
      <c r="T67" s="177">
        <f t="shared" si="39"/>
        <v>24.390557888953985</v>
      </c>
      <c r="U67" s="172">
        <f>IF(VLEESKALKOENEN!$H$15="ja",L67-((E67-G67*95%-I67)/E67*L67)*$R$6,L67-((E67-G67*80%-I67)/E67*L67)*$R$6)</f>
        <v>24.390557888953985</v>
      </c>
      <c r="V67" s="109">
        <f t="shared" si="40"/>
        <v>24.390557888953985</v>
      </c>
      <c r="W67" s="188">
        <f t="shared" si="41"/>
        <v>24.390557888953985</v>
      </c>
      <c r="X67" s="217"/>
    </row>
    <row r="68" spans="1:24" x14ac:dyDescent="0.2">
      <c r="A68" s="1">
        <v>59</v>
      </c>
      <c r="B68" s="1">
        <v>4.13</v>
      </c>
      <c r="E68" s="7">
        <f t="shared" si="8"/>
        <v>4.7494999999999994</v>
      </c>
      <c r="F68" s="7">
        <f t="shared" si="29"/>
        <v>4.7494999999999994</v>
      </c>
      <c r="G68" s="179">
        <f t="shared" si="30"/>
        <v>0</v>
      </c>
      <c r="H68" s="179">
        <f t="shared" si="31"/>
        <v>0</v>
      </c>
      <c r="I68" s="179">
        <f t="shared" si="32"/>
        <v>0</v>
      </c>
      <c r="J68" s="6">
        <f t="shared" si="10"/>
        <v>0.61652517441387056</v>
      </c>
      <c r="K68" s="129">
        <v>1</v>
      </c>
      <c r="L68" s="6">
        <f t="shared" si="11"/>
        <v>25.650912127097218</v>
      </c>
      <c r="M68" s="191">
        <f t="shared" si="33"/>
        <v>25.650912127097218</v>
      </c>
      <c r="N68" s="131">
        <f t="shared" si="34"/>
        <v>25.650912127097218</v>
      </c>
      <c r="O68" s="191">
        <f t="shared" si="35"/>
        <v>25.650912127097218</v>
      </c>
      <c r="P68" s="191">
        <f t="shared" si="36"/>
        <v>25.650912127097218</v>
      </c>
      <c r="Q68" s="6">
        <f t="shared" si="14"/>
        <v>25.650912127097218</v>
      </c>
      <c r="R68" s="177">
        <f t="shared" si="37"/>
        <v>25.650912127097218</v>
      </c>
      <c r="S68" s="177">
        <f t="shared" si="38"/>
        <v>25.650912127097218</v>
      </c>
      <c r="T68" s="177">
        <f t="shared" si="39"/>
        <v>25.650912127097218</v>
      </c>
      <c r="U68" s="172">
        <f>IF(VLEESKALKOENEN!$H$15="ja",L68-((E68-G68*95%-I68)/E68*L68)*$R$6,L68-((E68-G68*80%-I68)/E68*L68)*$R$6)</f>
        <v>25.650912127097218</v>
      </c>
      <c r="V68" s="109">
        <f t="shared" si="40"/>
        <v>25.650912127097218</v>
      </c>
      <c r="W68" s="188">
        <f t="shared" si="41"/>
        <v>25.650912127097218</v>
      </c>
      <c r="X68" s="217"/>
    </row>
    <row r="69" spans="1:24" x14ac:dyDescent="0.2">
      <c r="A69" s="1">
        <v>60</v>
      </c>
      <c r="B69" s="1">
        <v>4.25</v>
      </c>
      <c r="E69" s="7">
        <f t="shared" si="8"/>
        <v>4.8874999999999993</v>
      </c>
      <c r="F69" s="7">
        <f t="shared" si="29"/>
        <v>4.8874999999999993</v>
      </c>
      <c r="G69" s="179">
        <f t="shared" si="30"/>
        <v>0</v>
      </c>
      <c r="H69" s="179">
        <f t="shared" si="31"/>
        <v>0</v>
      </c>
      <c r="I69" s="179">
        <f t="shared" si="32"/>
        <v>0</v>
      </c>
      <c r="J69" s="6">
        <f t="shared" si="10"/>
        <v>0.6279742460676484</v>
      </c>
      <c r="K69" s="129">
        <v>1</v>
      </c>
      <c r="L69" s="6">
        <f t="shared" si="11"/>
        <v>26.886403358263326</v>
      </c>
      <c r="M69" s="191">
        <f t="shared" si="33"/>
        <v>26.886403358263326</v>
      </c>
      <c r="N69" s="131">
        <f t="shared" si="34"/>
        <v>26.886403358263326</v>
      </c>
      <c r="O69" s="191">
        <f t="shared" si="35"/>
        <v>26.886403358263326</v>
      </c>
      <c r="P69" s="191">
        <f t="shared" si="36"/>
        <v>26.886403358263326</v>
      </c>
      <c r="Q69" s="6">
        <f t="shared" si="14"/>
        <v>26.886403358263326</v>
      </c>
      <c r="R69" s="177">
        <f t="shared" si="37"/>
        <v>26.886403358263326</v>
      </c>
      <c r="S69" s="177">
        <f t="shared" si="38"/>
        <v>26.886403358263326</v>
      </c>
      <c r="T69" s="177">
        <f t="shared" si="39"/>
        <v>26.886403358263326</v>
      </c>
      <c r="U69" s="172">
        <f>IF(VLEESKALKOENEN!$H$15="ja",L69-((E69-G69*95%-I69)/E69*L69)*$R$6,L69-((E69-G69*80%-I69)/E69*L69)*$R$6)</f>
        <v>26.886403358263326</v>
      </c>
      <c r="V69" s="109">
        <f t="shared" si="40"/>
        <v>26.886403358263326</v>
      </c>
      <c r="W69" s="188">
        <f t="shared" si="41"/>
        <v>26.886403358263326</v>
      </c>
      <c r="X69" s="217"/>
    </row>
    <row r="70" spans="1:24" x14ac:dyDescent="0.2">
      <c r="A70" s="1">
        <v>61</v>
      </c>
      <c r="B70" s="1">
        <v>4.37</v>
      </c>
      <c r="E70" s="7">
        <f t="shared" si="8"/>
        <v>5.0255000000000001</v>
      </c>
      <c r="F70" s="7">
        <f t="shared" si="29"/>
        <v>5.0255000000000001</v>
      </c>
      <c r="G70" s="179">
        <f t="shared" si="30"/>
        <v>0</v>
      </c>
      <c r="H70" s="179">
        <f t="shared" si="31"/>
        <v>0</v>
      </c>
      <c r="I70" s="179">
        <f t="shared" si="32"/>
        <v>0</v>
      </c>
      <c r="J70" s="6">
        <f t="shared" si="10"/>
        <v>0.63963593068059343</v>
      </c>
      <c r="K70" s="129">
        <v>1</v>
      </c>
      <c r="L70" s="6">
        <f t="shared" si="11"/>
        <v>28.158935638005421</v>
      </c>
      <c r="M70" s="191">
        <f t="shared" si="33"/>
        <v>28.158935638005421</v>
      </c>
      <c r="N70" s="131">
        <f t="shared" si="34"/>
        <v>28.158935638005421</v>
      </c>
      <c r="O70" s="191">
        <f t="shared" si="35"/>
        <v>28.158935638005421</v>
      </c>
      <c r="P70" s="191">
        <f t="shared" si="36"/>
        <v>28.158935638005421</v>
      </c>
      <c r="Q70" s="6">
        <f t="shared" si="14"/>
        <v>28.158935638005421</v>
      </c>
      <c r="R70" s="177">
        <f t="shared" si="37"/>
        <v>28.158935638005421</v>
      </c>
      <c r="S70" s="177">
        <f t="shared" si="38"/>
        <v>28.158935638005421</v>
      </c>
      <c r="T70" s="177">
        <f t="shared" si="39"/>
        <v>28.158935638005421</v>
      </c>
      <c r="U70" s="172">
        <f>IF(VLEESKALKOENEN!$H$15="ja",L70-((E70-G70*95%-I70)/E70*L70)*$R$6,L70-((E70-G70*80%-I70)/E70*L70)*$R$6)</f>
        <v>28.158935638005421</v>
      </c>
      <c r="V70" s="109">
        <f t="shared" si="40"/>
        <v>28.158935638005421</v>
      </c>
      <c r="W70" s="188">
        <f t="shared" si="41"/>
        <v>28.158935638005421</v>
      </c>
      <c r="X70" s="217"/>
    </row>
    <row r="71" spans="1:24" x14ac:dyDescent="0.2">
      <c r="A71" s="1">
        <v>62</v>
      </c>
      <c r="B71" s="1">
        <v>4.5</v>
      </c>
      <c r="E71" s="7">
        <f t="shared" si="8"/>
        <v>5.1749999999999998</v>
      </c>
      <c r="F71" s="7">
        <f t="shared" si="29"/>
        <v>5.1749999999999998</v>
      </c>
      <c r="G71" s="179">
        <f t="shared" si="30"/>
        <v>0</v>
      </c>
      <c r="H71" s="179">
        <f t="shared" si="31"/>
        <v>0</v>
      </c>
      <c r="I71" s="179">
        <f t="shared" si="32"/>
        <v>0</v>
      </c>
      <c r="J71" s="6">
        <f t="shared" si="10"/>
        <v>0.6515141765440412</v>
      </c>
      <c r="K71" s="129">
        <v>1</v>
      </c>
      <c r="L71" s="6">
        <f t="shared" si="11"/>
        <v>29.535092165271017</v>
      </c>
      <c r="M71" s="191">
        <f t="shared" si="33"/>
        <v>29.535092165271017</v>
      </c>
      <c r="N71" s="131">
        <f t="shared" si="34"/>
        <v>29.535092165271017</v>
      </c>
      <c r="O71" s="191">
        <f t="shared" si="35"/>
        <v>29.535092165271017</v>
      </c>
      <c r="P71" s="191">
        <f t="shared" si="36"/>
        <v>29.535092165271017</v>
      </c>
      <c r="Q71" s="6">
        <f t="shared" si="14"/>
        <v>29.535092165271017</v>
      </c>
      <c r="R71" s="177">
        <f t="shared" si="37"/>
        <v>29.535092165271017</v>
      </c>
      <c r="S71" s="177">
        <f t="shared" si="38"/>
        <v>29.535092165271017</v>
      </c>
      <c r="T71" s="177">
        <f t="shared" si="39"/>
        <v>29.535092165271017</v>
      </c>
      <c r="U71" s="172">
        <f>IF(VLEESKALKOENEN!$H$15="ja",L71-((E71-G71*95%-I71)/E71*L71)*$R$6,L71-((E71-G71*80%-I71)/E71*L71)*$R$6)</f>
        <v>29.535092165271017</v>
      </c>
      <c r="V71" s="109">
        <f t="shared" si="40"/>
        <v>29.535092165271017</v>
      </c>
      <c r="W71" s="188">
        <f t="shared" si="41"/>
        <v>29.535092165271017</v>
      </c>
      <c r="X71" s="217"/>
    </row>
    <row r="72" spans="1:24" x14ac:dyDescent="0.2">
      <c r="A72" s="1">
        <v>63</v>
      </c>
      <c r="B72" s="1">
        <v>4.62</v>
      </c>
      <c r="E72" s="7">
        <f t="shared" si="8"/>
        <v>5.3129999999999997</v>
      </c>
      <c r="F72" s="7">
        <f t="shared" si="29"/>
        <v>5.3129999999999997</v>
      </c>
      <c r="G72" s="179">
        <f t="shared" si="30"/>
        <v>0</v>
      </c>
      <c r="H72" s="179">
        <f t="shared" si="31"/>
        <v>0</v>
      </c>
      <c r="I72" s="179">
        <f t="shared" si="32"/>
        <v>0</v>
      </c>
      <c r="J72" s="6">
        <f t="shared" si="10"/>
        <v>0.66361300527037204</v>
      </c>
      <c r="K72" s="129">
        <v>1</v>
      </c>
      <c r="L72" s="6">
        <f t="shared" si="11"/>
        <v>30.885796857733023</v>
      </c>
      <c r="M72" s="191">
        <f t="shared" si="33"/>
        <v>30.885796857733023</v>
      </c>
      <c r="N72" s="131">
        <f t="shared" si="34"/>
        <v>30.885796857733023</v>
      </c>
      <c r="O72" s="191">
        <f t="shared" si="35"/>
        <v>30.885796857733023</v>
      </c>
      <c r="P72" s="191">
        <f t="shared" si="36"/>
        <v>30.885796857733023</v>
      </c>
      <c r="Q72" s="6">
        <f t="shared" si="14"/>
        <v>30.885796857733023</v>
      </c>
      <c r="R72" s="177">
        <f t="shared" si="37"/>
        <v>30.885796857733023</v>
      </c>
      <c r="S72" s="177">
        <f t="shared" si="38"/>
        <v>30.885796857733023</v>
      </c>
      <c r="T72" s="177">
        <f t="shared" si="39"/>
        <v>30.885796857733023</v>
      </c>
      <c r="U72" s="172">
        <f>IF(VLEESKALKOENEN!$H$15="ja",L72-((E72-G72*95%-I72)/E72*L72)*$R$6,L72-((E72-G72*80%-I72)/E72*L72)*$R$6)</f>
        <v>30.885796857733023</v>
      </c>
      <c r="V72" s="109">
        <f t="shared" si="40"/>
        <v>30.885796857733023</v>
      </c>
      <c r="W72" s="188">
        <f t="shared" si="41"/>
        <v>30.885796857733023</v>
      </c>
      <c r="X72" s="217"/>
    </row>
    <row r="73" spans="1:24" x14ac:dyDescent="0.2">
      <c r="A73" s="1">
        <v>64</v>
      </c>
      <c r="B73" s="1">
        <v>4.75</v>
      </c>
      <c r="E73" s="7">
        <f t="shared" si="8"/>
        <v>5.4624999999999995</v>
      </c>
      <c r="F73" s="7">
        <f t="shared" si="29"/>
        <v>5.4624999999999995</v>
      </c>
      <c r="G73" s="179">
        <f t="shared" si="30"/>
        <v>0</v>
      </c>
      <c r="H73" s="179">
        <f t="shared" si="31"/>
        <v>0</v>
      </c>
      <c r="I73" s="179">
        <f t="shared" si="32"/>
        <v>0</v>
      </c>
      <c r="J73" s="6">
        <f t="shared" si="10"/>
        <v>0.6759365131546079</v>
      </c>
      <c r="K73" s="129">
        <v>1</v>
      </c>
      <c r="L73" s="6">
        <f t="shared" si="11"/>
        <v>32.344576059217715</v>
      </c>
      <c r="M73" s="191">
        <f t="shared" si="33"/>
        <v>32.344576059217715</v>
      </c>
      <c r="N73" s="131">
        <f t="shared" si="34"/>
        <v>32.344576059217715</v>
      </c>
      <c r="O73" s="191">
        <f t="shared" si="35"/>
        <v>32.344576059217715</v>
      </c>
      <c r="P73" s="191">
        <f t="shared" si="36"/>
        <v>32.344576059217715</v>
      </c>
      <c r="Q73" s="6">
        <f t="shared" si="14"/>
        <v>32.344576059217715</v>
      </c>
      <c r="R73" s="177">
        <f t="shared" si="37"/>
        <v>32.344576059217715</v>
      </c>
      <c r="S73" s="177">
        <f t="shared" si="38"/>
        <v>32.344576059217715</v>
      </c>
      <c r="T73" s="177">
        <f t="shared" si="39"/>
        <v>32.344576059217715</v>
      </c>
      <c r="U73" s="172">
        <f>IF(VLEESKALKOENEN!$H$15="ja",L73-((E73-G73*95%-I73)/E73*L73)*$R$6,L73-((E73-G73*80%-I73)/E73*L73)*$R$6)</f>
        <v>32.344576059217715</v>
      </c>
      <c r="V73" s="109">
        <f t="shared" si="40"/>
        <v>32.344576059217715</v>
      </c>
      <c r="W73" s="188">
        <f t="shared" si="41"/>
        <v>32.344576059217715</v>
      </c>
      <c r="X73" s="217"/>
    </row>
    <row r="74" spans="1:24" x14ac:dyDescent="0.2">
      <c r="A74" s="1">
        <v>65</v>
      </c>
      <c r="B74" s="1">
        <v>4.87</v>
      </c>
      <c r="E74" s="7">
        <f t="shared" si="8"/>
        <v>5.6004999999999994</v>
      </c>
      <c r="F74" s="7">
        <f t="shared" si="29"/>
        <v>5.6004999999999994</v>
      </c>
      <c r="G74" s="179">
        <f t="shared" si="30"/>
        <v>0</v>
      </c>
      <c r="H74" s="179">
        <f t="shared" si="31"/>
        <v>0</v>
      </c>
      <c r="I74" s="179">
        <f t="shared" si="32"/>
        <v>0</v>
      </c>
      <c r="J74" s="6">
        <f t="shared" si="10"/>
        <v>0.68848887256129243</v>
      </c>
      <c r="K74" s="129">
        <v>1</v>
      </c>
      <c r="L74" s="6">
        <f t="shared" si="11"/>
        <v>33.777525713628577</v>
      </c>
      <c r="M74" s="191">
        <f t="shared" si="33"/>
        <v>33.777525713628577</v>
      </c>
      <c r="N74" s="131">
        <f t="shared" si="34"/>
        <v>33.777525713628577</v>
      </c>
      <c r="O74" s="191">
        <f t="shared" si="35"/>
        <v>33.777525713628577</v>
      </c>
      <c r="P74" s="191">
        <f t="shared" si="36"/>
        <v>33.777525713628577</v>
      </c>
      <c r="Q74" s="6">
        <f t="shared" si="14"/>
        <v>33.777525713628577</v>
      </c>
      <c r="R74" s="177">
        <f t="shared" si="37"/>
        <v>33.777525713628577</v>
      </c>
      <c r="S74" s="177">
        <f t="shared" si="38"/>
        <v>33.777525713628577</v>
      </c>
      <c r="T74" s="177">
        <f t="shared" si="39"/>
        <v>33.777525713628577</v>
      </c>
      <c r="U74" s="172">
        <f>IF(VLEESKALKOENEN!$H$15="ja",L74-((E74-G74*95%-I74)/E74*L74)*$R$6,L74-((E74-G74*80%-I74)/E74*L74)*$R$6)</f>
        <v>33.777525713628577</v>
      </c>
      <c r="V74" s="109">
        <f t="shared" si="40"/>
        <v>33.777525713628577</v>
      </c>
      <c r="W74" s="188">
        <f t="shared" si="41"/>
        <v>33.777525713628577</v>
      </c>
      <c r="X74" s="217"/>
    </row>
    <row r="75" spans="1:24" x14ac:dyDescent="0.2">
      <c r="A75" s="1">
        <v>66</v>
      </c>
      <c r="B75" s="1">
        <v>5</v>
      </c>
      <c r="E75" s="7">
        <f t="shared" ref="E75:E121" si="42">B75*1.15</f>
        <v>5.75</v>
      </c>
      <c r="F75" s="7">
        <f t="shared" si="29"/>
        <v>5.75</v>
      </c>
      <c r="G75" s="179">
        <f t="shared" si="30"/>
        <v>0</v>
      </c>
      <c r="H75" s="179">
        <f t="shared" si="31"/>
        <v>0</v>
      </c>
      <c r="I75" s="179">
        <f t="shared" si="32"/>
        <v>0</v>
      </c>
      <c r="J75" s="6">
        <f t="shared" ref="J75:J121" si="43">0.2082*EXP(0.0184*A75)</f>
        <v>0.70127433333712652</v>
      </c>
      <c r="K75" s="129">
        <v>1</v>
      </c>
      <c r="L75" s="6">
        <f t="shared" ref="L75:L121" si="44">J75/1000*E75*24*365</f>
        <v>35.323188170191067</v>
      </c>
      <c r="M75" s="191">
        <f t="shared" si="33"/>
        <v>35.323188170191067</v>
      </c>
      <c r="N75" s="131">
        <f t="shared" si="34"/>
        <v>35.323188170191067</v>
      </c>
      <c r="O75" s="191">
        <f t="shared" si="35"/>
        <v>35.323188170191067</v>
      </c>
      <c r="P75" s="191">
        <f t="shared" si="36"/>
        <v>35.323188170191067</v>
      </c>
      <c r="Q75" s="6">
        <f t="shared" ref="Q75:Q121" si="45">(((($J75)-$J$3)/1000*$F75*24*365*$K75))+(((($J75)-$J$3)/1000*$G75*24*365*$K75)*(1-95%))</f>
        <v>35.323188170191067</v>
      </c>
      <c r="R75" s="177">
        <f t="shared" si="37"/>
        <v>35.323188170191067</v>
      </c>
      <c r="S75" s="177">
        <f t="shared" si="38"/>
        <v>35.323188170191067</v>
      </c>
      <c r="T75" s="177">
        <f t="shared" si="39"/>
        <v>35.323188170191067</v>
      </c>
      <c r="U75" s="172">
        <f>IF(VLEESKALKOENEN!$H$15="ja",L75-((E75-G75*95%-I75)/E75*L75)*$R$6,L75-((E75-G75*80%-I75)/E75*L75)*$R$6)</f>
        <v>35.323188170191067</v>
      </c>
      <c r="V75" s="109">
        <f t="shared" si="40"/>
        <v>35.323188170191067</v>
      </c>
      <c r="W75" s="188">
        <f t="shared" si="41"/>
        <v>35.323188170191067</v>
      </c>
      <c r="X75" s="217"/>
    </row>
    <row r="76" spans="1:24" x14ac:dyDescent="0.2">
      <c r="A76" s="1">
        <v>67</v>
      </c>
      <c r="B76" s="1">
        <v>5.13</v>
      </c>
      <c r="E76" s="7">
        <f t="shared" si="42"/>
        <v>5.8994999999999997</v>
      </c>
      <c r="F76" s="7">
        <f t="shared" si="29"/>
        <v>5.8994999999999997</v>
      </c>
      <c r="G76" s="179">
        <f t="shared" si="30"/>
        <v>0</v>
      </c>
      <c r="H76" s="179">
        <f t="shared" si="31"/>
        <v>0</v>
      </c>
      <c r="I76" s="179">
        <f t="shared" si="32"/>
        <v>0</v>
      </c>
      <c r="J76" s="6">
        <f t="shared" si="43"/>
        <v>0.71429722424983755</v>
      </c>
      <c r="K76" s="129">
        <v>1</v>
      </c>
      <c r="L76" s="6">
        <f t="shared" si="44"/>
        <v>36.914609116286393</v>
      </c>
      <c r="M76" s="191">
        <f t="shared" si="33"/>
        <v>36.914609116286393</v>
      </c>
      <c r="N76" s="131">
        <f t="shared" si="34"/>
        <v>36.914609116286393</v>
      </c>
      <c r="O76" s="191">
        <f t="shared" si="35"/>
        <v>36.914609116286393</v>
      </c>
      <c r="P76" s="191">
        <f t="shared" si="36"/>
        <v>36.914609116286393</v>
      </c>
      <c r="Q76" s="6">
        <f t="shared" si="45"/>
        <v>36.914609116286393</v>
      </c>
      <c r="R76" s="177">
        <f t="shared" si="37"/>
        <v>36.914609116286393</v>
      </c>
      <c r="S76" s="177">
        <f t="shared" si="38"/>
        <v>36.914609116286393</v>
      </c>
      <c r="T76" s="177">
        <f t="shared" si="39"/>
        <v>36.914609116286393</v>
      </c>
      <c r="U76" s="172">
        <f>IF(VLEESKALKOENEN!$H$15="ja",L76-((E76-G76*95%-I76)/E76*L76)*$R$6,L76-((E76-G76*80%-I76)/E76*L76)*$R$6)</f>
        <v>36.914609116286393</v>
      </c>
      <c r="V76" s="109">
        <f t="shared" si="40"/>
        <v>36.914609116286393</v>
      </c>
      <c r="W76" s="188">
        <f t="shared" si="41"/>
        <v>36.914609116286393</v>
      </c>
      <c r="X76" s="217"/>
    </row>
    <row r="77" spans="1:24" x14ac:dyDescent="0.2">
      <c r="A77" s="1">
        <v>68</v>
      </c>
      <c r="B77" s="1">
        <v>5.25</v>
      </c>
      <c r="E77" s="7">
        <f t="shared" si="42"/>
        <v>6.0374999999999996</v>
      </c>
      <c r="F77" s="7">
        <f t="shared" si="29"/>
        <v>6.0374999999999996</v>
      </c>
      <c r="G77" s="179">
        <f t="shared" si="30"/>
        <v>0</v>
      </c>
      <c r="H77" s="179">
        <f t="shared" si="31"/>
        <v>0</v>
      </c>
      <c r="I77" s="179">
        <f t="shared" si="32"/>
        <v>0</v>
      </c>
      <c r="J77" s="6">
        <f t="shared" si="43"/>
        <v>0.72756195445376759</v>
      </c>
      <c r="K77" s="129">
        <v>1</v>
      </c>
      <c r="L77" s="6">
        <f t="shared" si="44"/>
        <v>38.479660428128085</v>
      </c>
      <c r="M77" s="191">
        <f t="shared" si="33"/>
        <v>38.479660428128085</v>
      </c>
      <c r="N77" s="131">
        <f t="shared" si="34"/>
        <v>38.479660428128085</v>
      </c>
      <c r="O77" s="191">
        <f t="shared" si="35"/>
        <v>38.479660428128085</v>
      </c>
      <c r="P77" s="191">
        <f t="shared" si="36"/>
        <v>38.479660428128085</v>
      </c>
      <c r="Q77" s="6">
        <f t="shared" si="45"/>
        <v>38.479660428128085</v>
      </c>
      <c r="R77" s="177">
        <f t="shared" si="37"/>
        <v>38.479660428128085</v>
      </c>
      <c r="S77" s="177">
        <f t="shared" si="38"/>
        <v>38.479660428128085</v>
      </c>
      <c r="T77" s="177">
        <f t="shared" si="39"/>
        <v>38.479660428128085</v>
      </c>
      <c r="U77" s="172">
        <f>IF(VLEESKALKOENEN!$H$15="ja",L77-((E77-G77*95%-I77)/E77*L77)*$R$6,L77-((E77-G77*80%-I77)/E77*L77)*$R$6)</f>
        <v>38.479660428128085</v>
      </c>
      <c r="V77" s="109">
        <f t="shared" si="40"/>
        <v>38.479660428128085</v>
      </c>
      <c r="W77" s="188">
        <f t="shared" si="41"/>
        <v>38.479660428128085</v>
      </c>
      <c r="X77" s="217"/>
    </row>
    <row r="78" spans="1:24" x14ac:dyDescent="0.2">
      <c r="A78" s="1">
        <v>69</v>
      </c>
      <c r="B78" s="1">
        <v>5.38</v>
      </c>
      <c r="E78" s="7">
        <f t="shared" si="42"/>
        <v>6.1869999999999994</v>
      </c>
      <c r="F78" s="7">
        <f t="shared" si="29"/>
        <v>6.1869999999999994</v>
      </c>
      <c r="G78" s="179">
        <f t="shared" si="30"/>
        <v>0</v>
      </c>
      <c r="H78" s="179">
        <f t="shared" si="31"/>
        <v>0</v>
      </c>
      <c r="I78" s="179">
        <f t="shared" si="32"/>
        <v>0</v>
      </c>
      <c r="J78" s="6">
        <f t="shared" si="43"/>
        <v>0.74107301498267952</v>
      </c>
      <c r="K78" s="129">
        <v>1</v>
      </c>
      <c r="L78" s="6">
        <f t="shared" si="44"/>
        <v>40.164764194793058</v>
      </c>
      <c r="M78" s="191">
        <f t="shared" si="33"/>
        <v>40.164764194793058</v>
      </c>
      <c r="N78" s="131">
        <f t="shared" si="34"/>
        <v>40.164764194793058</v>
      </c>
      <c r="O78" s="191">
        <f t="shared" si="35"/>
        <v>40.164764194793058</v>
      </c>
      <c r="P78" s="191">
        <f t="shared" si="36"/>
        <v>40.164764194793058</v>
      </c>
      <c r="Q78" s="6">
        <f t="shared" si="45"/>
        <v>40.164764194793058</v>
      </c>
      <c r="R78" s="177">
        <f t="shared" si="37"/>
        <v>40.164764194793058</v>
      </c>
      <c r="S78" s="177">
        <f t="shared" si="38"/>
        <v>40.164764194793058</v>
      </c>
      <c r="T78" s="177">
        <f t="shared" si="39"/>
        <v>40.164764194793058</v>
      </c>
      <c r="U78" s="172">
        <f>IF(VLEESKALKOENEN!$H$15="ja",L78-((E78-G78*95%-I78)/E78*L78)*$R$6,L78-((E78-G78*80%-I78)/E78*L78)*$R$6)</f>
        <v>40.164764194793058</v>
      </c>
      <c r="V78" s="109">
        <f t="shared" si="40"/>
        <v>40.164764194793058</v>
      </c>
      <c r="W78" s="188">
        <f t="shared" si="41"/>
        <v>40.164764194793058</v>
      </c>
      <c r="X78" s="217"/>
    </row>
    <row r="79" spans="1:24" x14ac:dyDescent="0.2">
      <c r="A79" s="1">
        <v>70</v>
      </c>
      <c r="B79" s="1">
        <v>5.51</v>
      </c>
      <c r="E79" s="7">
        <f t="shared" si="42"/>
        <v>6.3364999999999991</v>
      </c>
      <c r="F79" s="7">
        <f t="shared" si="29"/>
        <v>6.3364999999999991</v>
      </c>
      <c r="G79" s="179">
        <f t="shared" si="30"/>
        <v>0</v>
      </c>
      <c r="H79" s="179">
        <f t="shared" si="31"/>
        <v>0</v>
      </c>
      <c r="I79" s="179">
        <f t="shared" si="32"/>
        <v>0</v>
      </c>
      <c r="J79" s="6">
        <f t="shared" si="43"/>
        <v>0.75483498027028362</v>
      </c>
      <c r="K79" s="129">
        <v>1</v>
      </c>
      <c r="L79" s="6">
        <f t="shared" si="44"/>
        <v>41.899183827748033</v>
      </c>
      <c r="M79" s="191">
        <f t="shared" si="33"/>
        <v>41.899183827748033</v>
      </c>
      <c r="N79" s="131">
        <f t="shared" si="34"/>
        <v>41.899183827748033</v>
      </c>
      <c r="O79" s="191">
        <f t="shared" si="35"/>
        <v>41.899183827748033</v>
      </c>
      <c r="P79" s="191">
        <f t="shared" si="36"/>
        <v>41.899183827748033</v>
      </c>
      <c r="Q79" s="6">
        <f t="shared" si="45"/>
        <v>41.899183827748033</v>
      </c>
      <c r="R79" s="177">
        <f t="shared" si="37"/>
        <v>41.899183827748033</v>
      </c>
      <c r="S79" s="177">
        <f t="shared" si="38"/>
        <v>41.899183827748033</v>
      </c>
      <c r="T79" s="177">
        <f t="shared" si="39"/>
        <v>41.899183827748033</v>
      </c>
      <c r="U79" s="172">
        <f>IF(VLEESKALKOENEN!$H$15="ja",L79-((E79-G79*95%-I79)/E79*L79)*$R$6,L79-((E79-G79*80%-I79)/E79*L79)*$R$6)</f>
        <v>41.899183827748033</v>
      </c>
      <c r="V79" s="109">
        <f t="shared" si="40"/>
        <v>41.899183827748033</v>
      </c>
      <c r="W79" s="188">
        <f t="shared" si="41"/>
        <v>41.899183827748033</v>
      </c>
      <c r="X79" s="217"/>
    </row>
    <row r="80" spans="1:24" x14ac:dyDescent="0.2">
      <c r="A80" s="1">
        <v>71</v>
      </c>
      <c r="B80" s="1">
        <v>5.64</v>
      </c>
      <c r="E80" s="7">
        <f t="shared" si="42"/>
        <v>6.4859999999999989</v>
      </c>
      <c r="F80" s="7">
        <f t="shared" si="29"/>
        <v>6.4859999999999989</v>
      </c>
      <c r="G80" s="179">
        <f t="shared" si="30"/>
        <v>0</v>
      </c>
      <c r="H80" s="179">
        <f t="shared" si="31"/>
        <v>0</v>
      </c>
      <c r="I80" s="179">
        <f t="shared" si="32"/>
        <v>0</v>
      </c>
      <c r="J80" s="6">
        <f t="shared" si="43"/>
        <v>0.76885250969900243</v>
      </c>
      <c r="K80" s="129">
        <v>1</v>
      </c>
      <c r="L80" s="6">
        <f t="shared" si="44"/>
        <v>43.684169830471703</v>
      </c>
      <c r="M80" s="191">
        <f t="shared" si="33"/>
        <v>43.684169830471703</v>
      </c>
      <c r="N80" s="131">
        <f t="shared" si="34"/>
        <v>43.684169830471703</v>
      </c>
      <c r="O80" s="191">
        <f t="shared" si="35"/>
        <v>43.684169830471703</v>
      </c>
      <c r="P80" s="191">
        <f t="shared" si="36"/>
        <v>43.684169830471703</v>
      </c>
      <c r="Q80" s="6">
        <f t="shared" si="45"/>
        <v>43.684169830471703</v>
      </c>
      <c r="R80" s="177">
        <f t="shared" si="37"/>
        <v>43.684169830471703</v>
      </c>
      <c r="S80" s="177">
        <f t="shared" si="38"/>
        <v>43.684169830471703</v>
      </c>
      <c r="T80" s="177">
        <f t="shared" si="39"/>
        <v>43.684169830471703</v>
      </c>
      <c r="U80" s="172">
        <f>IF(VLEESKALKOENEN!$H$15="ja",L80-((E80-G80*95%-I80)/E80*L80)*$R$6,L80-((E80-G80*80%-I80)/E80*L80)*$R$6)</f>
        <v>43.684169830471703</v>
      </c>
      <c r="V80" s="109">
        <f t="shared" si="40"/>
        <v>43.684169830471703</v>
      </c>
      <c r="W80" s="188">
        <f t="shared" si="41"/>
        <v>43.684169830471703</v>
      </c>
      <c r="X80" s="217"/>
    </row>
    <row r="81" spans="1:24" x14ac:dyDescent="0.2">
      <c r="A81" s="1">
        <v>72</v>
      </c>
      <c r="B81" s="1">
        <v>5.77</v>
      </c>
      <c r="E81" s="7">
        <f t="shared" si="42"/>
        <v>6.6354999999999986</v>
      </c>
      <c r="F81" s="7">
        <f t="shared" si="29"/>
        <v>6.6354999999999986</v>
      </c>
      <c r="G81" s="179">
        <f t="shared" si="30"/>
        <v>0</v>
      </c>
      <c r="H81" s="179">
        <f t="shared" si="31"/>
        <v>0</v>
      </c>
      <c r="I81" s="179">
        <f t="shared" si="32"/>
        <v>0</v>
      </c>
      <c r="J81" s="6">
        <f t="shared" si="43"/>
        <v>0.78313034917749469</v>
      </c>
      <c r="K81" s="129">
        <v>1</v>
      </c>
      <c r="L81" s="6">
        <f t="shared" si="44"/>
        <v>45.521002144033247</v>
      </c>
      <c r="M81" s="191">
        <f t="shared" si="33"/>
        <v>45.521002144033247</v>
      </c>
      <c r="N81" s="131">
        <f t="shared" si="34"/>
        <v>45.521002144033247</v>
      </c>
      <c r="O81" s="191">
        <f t="shared" si="35"/>
        <v>45.521002144033247</v>
      </c>
      <c r="P81" s="191">
        <f t="shared" si="36"/>
        <v>45.521002144033247</v>
      </c>
      <c r="Q81" s="6">
        <f t="shared" si="45"/>
        <v>45.521002144033247</v>
      </c>
      <c r="R81" s="177">
        <f t="shared" si="37"/>
        <v>45.521002144033247</v>
      </c>
      <c r="S81" s="177">
        <f t="shared" si="38"/>
        <v>45.521002144033247</v>
      </c>
      <c r="T81" s="177">
        <f t="shared" si="39"/>
        <v>45.521002144033247</v>
      </c>
      <c r="U81" s="172">
        <f>IF(VLEESKALKOENEN!$H$15="ja",L81-((E81-G81*95%-I81)/E81*L81)*$R$6,L81-((E81-G81*80%-I81)/E81*L81)*$R$6)</f>
        <v>45.521002144033247</v>
      </c>
      <c r="V81" s="109">
        <f t="shared" si="40"/>
        <v>45.521002144033247</v>
      </c>
      <c r="W81" s="188">
        <f t="shared" si="41"/>
        <v>45.521002144033247</v>
      </c>
      <c r="X81" s="217"/>
    </row>
    <row r="82" spans="1:24" x14ac:dyDescent="0.2">
      <c r="A82" s="1">
        <v>73</v>
      </c>
      <c r="B82" s="1">
        <v>5.9</v>
      </c>
      <c r="E82" s="7">
        <f t="shared" si="42"/>
        <v>6.7850000000000001</v>
      </c>
      <c r="F82" s="7">
        <f t="shared" si="29"/>
        <v>6.7850000000000001</v>
      </c>
      <c r="G82" s="179">
        <f t="shared" si="30"/>
        <v>0</v>
      </c>
      <c r="H82" s="179">
        <f t="shared" si="31"/>
        <v>0</v>
      </c>
      <c r="I82" s="179">
        <f t="shared" si="32"/>
        <v>0</v>
      </c>
      <c r="J82" s="6">
        <f t="shared" si="43"/>
        <v>0.79767333274747643</v>
      </c>
      <c r="K82" s="129">
        <v>1</v>
      </c>
      <c r="L82" s="6">
        <f t="shared" si="44"/>
        <v>47.410990809178656</v>
      </c>
      <c r="M82" s="191">
        <f t="shared" si="33"/>
        <v>47.410990809178656</v>
      </c>
      <c r="N82" s="131">
        <f t="shared" si="34"/>
        <v>47.410990809178656</v>
      </c>
      <c r="O82" s="191">
        <f t="shared" si="35"/>
        <v>47.410990809178656</v>
      </c>
      <c r="P82" s="191">
        <f t="shared" si="36"/>
        <v>47.410990809178656</v>
      </c>
      <c r="Q82" s="6">
        <f t="shared" si="45"/>
        <v>47.410990809178656</v>
      </c>
      <c r="R82" s="177">
        <f t="shared" si="37"/>
        <v>47.410990809178656</v>
      </c>
      <c r="S82" s="177">
        <f t="shared" si="38"/>
        <v>47.410990809178656</v>
      </c>
      <c r="T82" s="177">
        <f t="shared" si="39"/>
        <v>47.410990809178656</v>
      </c>
      <c r="U82" s="172">
        <f>IF(VLEESKALKOENEN!$H$15="ja",L82-((E82-G82*95%-I82)/E82*L82)*$R$6,L82-((E82-G82*80%-I82)/E82*L82)*$R$6)</f>
        <v>47.410990809178656</v>
      </c>
      <c r="V82" s="109">
        <f t="shared" si="40"/>
        <v>47.410990809178656</v>
      </c>
      <c r="W82" s="188">
        <f t="shared" si="41"/>
        <v>47.410990809178656</v>
      </c>
      <c r="X82" s="217"/>
    </row>
    <row r="83" spans="1:24" x14ac:dyDescent="0.2">
      <c r="A83" s="1">
        <v>74</v>
      </c>
      <c r="B83" s="1">
        <v>6.03</v>
      </c>
      <c r="E83" s="7">
        <f t="shared" si="42"/>
        <v>6.9344999999999999</v>
      </c>
      <c r="F83" s="7">
        <f t="shared" si="29"/>
        <v>6.9344999999999999</v>
      </c>
      <c r="G83" s="179">
        <f t="shared" si="30"/>
        <v>0</v>
      </c>
      <c r="H83" s="179">
        <f t="shared" si="31"/>
        <v>0</v>
      </c>
      <c r="I83" s="179">
        <f t="shared" si="32"/>
        <v>0</v>
      </c>
      <c r="J83" s="6">
        <f t="shared" si="43"/>
        <v>0.81248638422038</v>
      </c>
      <c r="K83" s="129">
        <v>1</v>
      </c>
      <c r="L83" s="6">
        <f t="shared" si="44"/>
        <v>49.355476642855734</v>
      </c>
      <c r="M83" s="191">
        <f t="shared" si="33"/>
        <v>49.355476642855734</v>
      </c>
      <c r="N83" s="131">
        <f t="shared" si="34"/>
        <v>49.355476642855734</v>
      </c>
      <c r="O83" s="191">
        <f t="shared" si="35"/>
        <v>49.355476642855734</v>
      </c>
      <c r="P83" s="191">
        <f t="shared" si="36"/>
        <v>49.355476642855734</v>
      </c>
      <c r="Q83" s="6">
        <f t="shared" si="45"/>
        <v>49.355476642855734</v>
      </c>
      <c r="R83" s="177">
        <f t="shared" si="37"/>
        <v>49.355476642855734</v>
      </c>
      <c r="S83" s="177">
        <f t="shared" si="38"/>
        <v>49.355476642855734</v>
      </c>
      <c r="T83" s="177">
        <f t="shared" si="39"/>
        <v>49.355476642855734</v>
      </c>
      <c r="U83" s="172">
        <f>IF(VLEESKALKOENEN!$H$15="ja",L83-((E83-G83*95%-I83)/E83*L83)*$R$6,L83-((E83-G83*80%-I83)/E83*L83)*$R$6)</f>
        <v>49.355476642855734</v>
      </c>
      <c r="V83" s="109">
        <f t="shared" si="40"/>
        <v>49.355476642855734</v>
      </c>
      <c r="W83" s="188">
        <f t="shared" si="41"/>
        <v>49.355476642855734</v>
      </c>
      <c r="X83" s="217"/>
    </row>
    <row r="84" spans="1:24" x14ac:dyDescent="0.2">
      <c r="A84" s="1">
        <v>75</v>
      </c>
      <c r="B84" s="1">
        <v>6.16</v>
      </c>
      <c r="E84" s="7">
        <f t="shared" si="42"/>
        <v>7.0839999999999996</v>
      </c>
      <c r="F84" s="7">
        <f t="shared" si="29"/>
        <v>7.0839999999999996</v>
      </c>
      <c r="G84" s="179">
        <f t="shared" si="30"/>
        <v>0</v>
      </c>
      <c r="H84" s="179">
        <f t="shared" si="31"/>
        <v>0</v>
      </c>
      <c r="I84" s="179">
        <f t="shared" si="32"/>
        <v>0</v>
      </c>
      <c r="J84" s="6">
        <f t="shared" si="43"/>
        <v>0.82757451884440647</v>
      </c>
      <c r="K84" s="129">
        <v>1</v>
      </c>
      <c r="L84" s="6">
        <f t="shared" si="44"/>
        <v>51.355831929485461</v>
      </c>
      <c r="M84" s="191">
        <f t="shared" si="33"/>
        <v>51.355831929485461</v>
      </c>
      <c r="N84" s="131">
        <f t="shared" si="34"/>
        <v>51.355831929485461</v>
      </c>
      <c r="O84" s="191">
        <f t="shared" si="35"/>
        <v>51.355831929485461</v>
      </c>
      <c r="P84" s="191">
        <f t="shared" si="36"/>
        <v>51.355831929485461</v>
      </c>
      <c r="Q84" s="6">
        <f t="shared" si="45"/>
        <v>51.355831929485461</v>
      </c>
      <c r="R84" s="177">
        <f t="shared" si="37"/>
        <v>51.355831929485461</v>
      </c>
      <c r="S84" s="177">
        <f t="shared" si="38"/>
        <v>51.355831929485461</v>
      </c>
      <c r="T84" s="177">
        <f t="shared" si="39"/>
        <v>51.355831929485461</v>
      </c>
      <c r="U84" s="172">
        <f>IF(VLEESKALKOENEN!$H$15="ja",L84-((E84-G84*95%-I84)/E84*L84)*$R$6,L84-((E84-G84*80%-I84)/E84*L84)*$R$6)</f>
        <v>51.355831929485461</v>
      </c>
      <c r="V84" s="109">
        <f t="shared" si="40"/>
        <v>51.355831929485461</v>
      </c>
      <c r="W84" s="188">
        <f t="shared" si="41"/>
        <v>51.355831929485461</v>
      </c>
      <c r="X84" s="217"/>
    </row>
    <row r="85" spans="1:24" x14ac:dyDescent="0.2">
      <c r="A85" s="1">
        <v>76</v>
      </c>
      <c r="B85" s="1">
        <v>6.29</v>
      </c>
      <c r="E85" s="7">
        <f t="shared" si="42"/>
        <v>7.2334999999999994</v>
      </c>
      <c r="F85" s="7">
        <f t="shared" si="29"/>
        <v>7.2334999999999994</v>
      </c>
      <c r="G85" s="179">
        <f t="shared" si="30"/>
        <v>0</v>
      </c>
      <c r="H85" s="179">
        <f t="shared" si="31"/>
        <v>0</v>
      </c>
      <c r="I85" s="179">
        <f t="shared" si="32"/>
        <v>0</v>
      </c>
      <c r="J85" s="6">
        <f t="shared" si="43"/>
        <v>0.84294284500253636</v>
      </c>
      <c r="K85" s="129">
        <v>1</v>
      </c>
      <c r="L85" s="6">
        <f t="shared" si="44"/>
        <v>53.413461127294411</v>
      </c>
      <c r="M85" s="191">
        <f t="shared" si="33"/>
        <v>53.413461127294411</v>
      </c>
      <c r="N85" s="131">
        <f t="shared" si="34"/>
        <v>53.413461127294411</v>
      </c>
      <c r="O85" s="191">
        <f t="shared" si="35"/>
        <v>53.413461127294411</v>
      </c>
      <c r="P85" s="191">
        <f t="shared" si="36"/>
        <v>53.413461127294411</v>
      </c>
      <c r="Q85" s="6">
        <f t="shared" si="45"/>
        <v>53.413461127294411</v>
      </c>
      <c r="R85" s="177">
        <f t="shared" si="37"/>
        <v>53.413461127294411</v>
      </c>
      <c r="S85" s="177">
        <f t="shared" si="38"/>
        <v>53.413461127294411</v>
      </c>
      <c r="T85" s="177">
        <f t="shared" si="39"/>
        <v>53.413461127294411</v>
      </c>
      <c r="U85" s="172">
        <f>IF(VLEESKALKOENEN!$H$15="ja",L85-((E85-G85*95%-I85)/E85*L85)*$R$6,L85-((E85-G85*80%-I85)/E85*L85)*$R$6)</f>
        <v>53.413461127294411</v>
      </c>
      <c r="V85" s="109">
        <f t="shared" si="40"/>
        <v>53.413461127294411</v>
      </c>
      <c r="W85" s="188">
        <f t="shared" si="41"/>
        <v>53.413461127294411</v>
      </c>
      <c r="X85" s="217"/>
    </row>
    <row r="86" spans="1:24" x14ac:dyDescent="0.2">
      <c r="A86" s="1">
        <v>77</v>
      </c>
      <c r="B86" s="1">
        <v>6.42</v>
      </c>
      <c r="E86" s="7">
        <f t="shared" si="42"/>
        <v>7.3829999999999991</v>
      </c>
      <c r="F86" s="7">
        <f t="shared" si="29"/>
        <v>7.3829999999999991</v>
      </c>
      <c r="G86" s="179">
        <f t="shared" si="30"/>
        <v>0</v>
      </c>
      <c r="H86" s="179">
        <f t="shared" si="31"/>
        <v>0</v>
      </c>
      <c r="I86" s="179">
        <f t="shared" si="32"/>
        <v>0</v>
      </c>
      <c r="J86" s="6">
        <f t="shared" si="43"/>
        <v>0.8585965659420719</v>
      </c>
      <c r="K86" s="129">
        <v>1</v>
      </c>
      <c r="L86" s="6">
        <f t="shared" si="44"/>
        <v>55.529801590028768</v>
      </c>
      <c r="M86" s="191">
        <f t="shared" si="33"/>
        <v>55.529801590028768</v>
      </c>
      <c r="N86" s="131">
        <f t="shared" si="34"/>
        <v>55.529801590028768</v>
      </c>
      <c r="O86" s="191">
        <f t="shared" si="35"/>
        <v>55.529801590028768</v>
      </c>
      <c r="P86" s="191">
        <f t="shared" si="36"/>
        <v>55.529801590028768</v>
      </c>
      <c r="Q86" s="6">
        <f t="shared" si="45"/>
        <v>55.529801590028768</v>
      </c>
      <c r="R86" s="177">
        <f t="shared" si="37"/>
        <v>55.529801590028768</v>
      </c>
      <c r="S86" s="177">
        <f t="shared" si="38"/>
        <v>55.529801590028768</v>
      </c>
      <c r="T86" s="177">
        <f t="shared" si="39"/>
        <v>55.529801590028768</v>
      </c>
      <c r="U86" s="172">
        <f>IF(VLEESKALKOENEN!$H$15="ja",L86-((E86-G86*95%-I86)/E86*L86)*$R$6,L86-((E86-G86*80%-I86)/E86*L86)*$R$6)</f>
        <v>55.529801590028768</v>
      </c>
      <c r="V86" s="109">
        <f t="shared" si="40"/>
        <v>55.529801590028768</v>
      </c>
      <c r="W86" s="188">
        <f t="shared" si="41"/>
        <v>55.529801590028768</v>
      </c>
      <c r="X86" s="217"/>
    </row>
    <row r="87" spans="1:24" x14ac:dyDescent="0.2">
      <c r="A87" s="1">
        <v>78</v>
      </c>
      <c r="B87" s="1">
        <v>6.55</v>
      </c>
      <c r="E87" s="7">
        <f t="shared" si="42"/>
        <v>7.5324999999999989</v>
      </c>
      <c r="F87" s="7">
        <f t="shared" si="29"/>
        <v>7.5324999999999989</v>
      </c>
      <c r="G87" s="179">
        <f t="shared" si="30"/>
        <v>0</v>
      </c>
      <c r="H87" s="179">
        <f t="shared" si="31"/>
        <v>0</v>
      </c>
      <c r="I87" s="179">
        <f t="shared" si="32"/>
        <v>0</v>
      </c>
      <c r="J87" s="6">
        <f t="shared" si="43"/>
        <v>0.87454098153629933</v>
      </c>
      <c r="K87" s="129">
        <v>1</v>
      </c>
      <c r="L87" s="6">
        <f t="shared" si="44"/>
        <v>57.706324304378242</v>
      </c>
      <c r="M87" s="191">
        <f t="shared" si="33"/>
        <v>57.706324304378242</v>
      </c>
      <c r="N87" s="131">
        <f t="shared" si="34"/>
        <v>57.706324304378242</v>
      </c>
      <c r="O87" s="191">
        <f t="shared" si="35"/>
        <v>57.706324304378242</v>
      </c>
      <c r="P87" s="191">
        <f t="shared" si="36"/>
        <v>57.706324304378242</v>
      </c>
      <c r="Q87" s="6">
        <f t="shared" si="45"/>
        <v>57.706324304378242</v>
      </c>
      <c r="R87" s="177">
        <f t="shared" si="37"/>
        <v>57.706324304378242</v>
      </c>
      <c r="S87" s="177">
        <f t="shared" si="38"/>
        <v>57.706324304378242</v>
      </c>
      <c r="T87" s="177">
        <f t="shared" si="39"/>
        <v>57.706324304378242</v>
      </c>
      <c r="U87" s="172">
        <f>IF(VLEESKALKOENEN!$H$15="ja",L87-((E87-G87*95%-I87)/E87*L87)*$R$6,L87-((E87-G87*80%-I87)/E87*L87)*$R$6)</f>
        <v>57.706324304378242</v>
      </c>
      <c r="V87" s="109">
        <f t="shared" si="40"/>
        <v>57.706324304378242</v>
      </c>
      <c r="W87" s="188">
        <f t="shared" si="41"/>
        <v>57.706324304378242</v>
      </c>
      <c r="X87" s="217"/>
    </row>
    <row r="88" spans="1:24" x14ac:dyDescent="0.2">
      <c r="A88" s="1">
        <v>79</v>
      </c>
      <c r="B88" s="1">
        <v>6.68</v>
      </c>
      <c r="E88" s="7">
        <f t="shared" si="42"/>
        <v>7.6819999999999995</v>
      </c>
      <c r="F88" s="7">
        <f t="shared" si="29"/>
        <v>7.6819999999999995</v>
      </c>
      <c r="G88" s="179">
        <f t="shared" si="30"/>
        <v>0</v>
      </c>
      <c r="H88" s="179">
        <f t="shared" si="31"/>
        <v>0</v>
      </c>
      <c r="I88" s="179">
        <f t="shared" si="32"/>
        <v>0</v>
      </c>
      <c r="J88" s="6">
        <f t="shared" si="43"/>
        <v>0.89078149007886331</v>
      </c>
      <c r="K88" s="129">
        <v>1</v>
      </c>
      <c r="L88" s="6">
        <f t="shared" si="44"/>
        <v>59.944534643443852</v>
      </c>
      <c r="M88" s="191">
        <f t="shared" si="33"/>
        <v>59.944534643443852</v>
      </c>
      <c r="N88" s="131">
        <f t="shared" si="34"/>
        <v>59.944534643443852</v>
      </c>
      <c r="O88" s="191">
        <f t="shared" si="35"/>
        <v>59.944534643443852</v>
      </c>
      <c r="P88" s="191">
        <f t="shared" si="36"/>
        <v>59.944534643443852</v>
      </c>
      <c r="Q88" s="6">
        <f t="shared" si="45"/>
        <v>59.944534643443852</v>
      </c>
      <c r="R88" s="177">
        <f t="shared" si="37"/>
        <v>59.944534643443852</v>
      </c>
      <c r="S88" s="177">
        <f t="shared" si="38"/>
        <v>59.944534643443852</v>
      </c>
      <c r="T88" s="177">
        <f t="shared" si="39"/>
        <v>59.944534643443852</v>
      </c>
      <c r="U88" s="172">
        <f>IF(VLEESKALKOENEN!$H$15="ja",L88-((E88-G88*95%-I88)/E88*L88)*$R$6,L88-((E88-G88*80%-I88)/E88*L88)*$R$6)</f>
        <v>59.944534643443852</v>
      </c>
      <c r="V88" s="109">
        <f t="shared" si="40"/>
        <v>59.944534643443852</v>
      </c>
      <c r="W88" s="188">
        <f t="shared" si="41"/>
        <v>59.944534643443852</v>
      </c>
      <c r="X88" s="217"/>
    </row>
    <row r="89" spans="1:24" x14ac:dyDescent="0.2">
      <c r="A89" s="1">
        <v>80</v>
      </c>
      <c r="B89" s="1">
        <v>6.81</v>
      </c>
      <c r="E89" s="7">
        <f t="shared" si="42"/>
        <v>7.8314999999999992</v>
      </c>
      <c r="F89" s="7">
        <f t="shared" si="29"/>
        <v>7.8314999999999992</v>
      </c>
      <c r="G89" s="179">
        <f t="shared" si="30"/>
        <v>0</v>
      </c>
      <c r="H89" s="179">
        <f t="shared" si="31"/>
        <v>0</v>
      </c>
      <c r="I89" s="179">
        <f t="shared" si="32"/>
        <v>0</v>
      </c>
      <c r="J89" s="6">
        <f t="shared" si="43"/>
        <v>0.90732359011146546</v>
      </c>
      <c r="K89" s="129">
        <v>1</v>
      </c>
      <c r="L89" s="6">
        <f t="shared" si="44"/>
        <v>62.245973136591566</v>
      </c>
      <c r="M89" s="191">
        <f t="shared" si="33"/>
        <v>62.245973136591566</v>
      </c>
      <c r="N89" s="131">
        <f t="shared" si="34"/>
        <v>62.245973136591566</v>
      </c>
      <c r="O89" s="191">
        <f t="shared" si="35"/>
        <v>62.245973136591566</v>
      </c>
      <c r="P89" s="191">
        <f t="shared" si="36"/>
        <v>62.245973136591566</v>
      </c>
      <c r="Q89" s="6">
        <f t="shared" si="45"/>
        <v>62.245973136591566</v>
      </c>
      <c r="R89" s="177">
        <f t="shared" si="37"/>
        <v>62.245973136591566</v>
      </c>
      <c r="S89" s="177">
        <f t="shared" si="38"/>
        <v>62.245973136591566</v>
      </c>
      <c r="T89" s="177">
        <f t="shared" si="39"/>
        <v>62.245973136591566</v>
      </c>
      <c r="U89" s="172">
        <f>IF(VLEESKALKOENEN!$H$15="ja",L89-((E89-G89*95%-I89)/E89*L89)*$R$6,L89-((E89-G89*80%-I89)/E89*L89)*$R$6)</f>
        <v>62.245973136591566</v>
      </c>
      <c r="V89" s="109">
        <f t="shared" si="40"/>
        <v>62.245973136591566</v>
      </c>
      <c r="W89" s="188">
        <f t="shared" si="41"/>
        <v>62.245973136591566</v>
      </c>
      <c r="X89" s="217"/>
    </row>
    <row r="90" spans="1:24" x14ac:dyDescent="0.2">
      <c r="A90" s="1">
        <v>81</v>
      </c>
      <c r="B90" s="1">
        <v>6.94</v>
      </c>
      <c r="E90" s="7">
        <f t="shared" si="42"/>
        <v>7.9809999999999999</v>
      </c>
      <c r="F90" s="7">
        <f t="shared" si="29"/>
        <v>7.9809999999999999</v>
      </c>
      <c r="G90" s="179">
        <f t="shared" si="30"/>
        <v>0</v>
      </c>
      <c r="H90" s="179">
        <f t="shared" si="31"/>
        <v>0</v>
      </c>
      <c r="I90" s="179">
        <f t="shared" si="32"/>
        <v>0</v>
      </c>
      <c r="J90" s="6">
        <f t="shared" si="43"/>
        <v>0.92417288228550343</v>
      </c>
      <c r="K90" s="129">
        <v>1</v>
      </c>
      <c r="L90" s="6">
        <f t="shared" si="44"/>
        <v>64.612216256040483</v>
      </c>
      <c r="M90" s="191">
        <f t="shared" si="33"/>
        <v>64.612216256040483</v>
      </c>
      <c r="N90" s="131">
        <f t="shared" si="34"/>
        <v>64.612216256040483</v>
      </c>
      <c r="O90" s="191">
        <f t="shared" si="35"/>
        <v>64.612216256040483</v>
      </c>
      <c r="P90" s="191">
        <f t="shared" si="36"/>
        <v>64.612216256040483</v>
      </c>
      <c r="Q90" s="6">
        <f t="shared" si="45"/>
        <v>64.612216256040483</v>
      </c>
      <c r="R90" s="177">
        <f t="shared" si="37"/>
        <v>64.612216256040483</v>
      </c>
      <c r="S90" s="177">
        <f t="shared" si="38"/>
        <v>64.612216256040483</v>
      </c>
      <c r="T90" s="177">
        <f t="shared" si="39"/>
        <v>64.612216256040483</v>
      </c>
      <c r="U90" s="172">
        <f>IF(VLEESKALKOENEN!$H$15="ja",L90-((E90-G90*95%-I90)/E90*L90)*$R$6,L90-((E90-G90*80%-I90)/E90*L90)*$R$6)</f>
        <v>64.612216256040483</v>
      </c>
      <c r="V90" s="109">
        <f t="shared" si="40"/>
        <v>64.612216256040483</v>
      </c>
      <c r="W90" s="188">
        <f t="shared" si="41"/>
        <v>64.612216256040483</v>
      </c>
      <c r="X90" s="217"/>
    </row>
    <row r="91" spans="1:24" x14ac:dyDescent="0.2">
      <c r="A91" s="1">
        <v>82</v>
      </c>
      <c r="B91" s="1">
        <v>7.07</v>
      </c>
      <c r="E91" s="7">
        <f t="shared" si="42"/>
        <v>8.1304999999999996</v>
      </c>
      <c r="F91" s="7">
        <f t="shared" si="29"/>
        <v>8.1304999999999996</v>
      </c>
      <c r="G91" s="179">
        <f t="shared" si="30"/>
        <v>0</v>
      </c>
      <c r="H91" s="179">
        <f t="shared" si="31"/>
        <v>0</v>
      </c>
      <c r="I91" s="179">
        <f t="shared" si="32"/>
        <v>0</v>
      </c>
      <c r="J91" s="6">
        <f t="shared" si="43"/>
        <v>0.94133507125828009</v>
      </c>
      <c r="K91" s="129">
        <v>1</v>
      </c>
      <c r="L91" s="6">
        <f t="shared" si="44"/>
        <v>67.044877220541309</v>
      </c>
      <c r="M91" s="191">
        <f t="shared" si="33"/>
        <v>67.044877220541309</v>
      </c>
      <c r="N91" s="131">
        <f t="shared" si="34"/>
        <v>67.044877220541309</v>
      </c>
      <c r="O91" s="191">
        <f t="shared" si="35"/>
        <v>67.044877220541309</v>
      </c>
      <c r="P91" s="191">
        <f t="shared" si="36"/>
        <v>67.044877220541309</v>
      </c>
      <c r="Q91" s="6">
        <f t="shared" si="45"/>
        <v>67.044877220541309</v>
      </c>
      <c r="R91" s="177">
        <f t="shared" si="37"/>
        <v>67.044877220541309</v>
      </c>
      <c r="S91" s="177">
        <f t="shared" si="38"/>
        <v>67.044877220541309</v>
      </c>
      <c r="T91" s="177">
        <f t="shared" si="39"/>
        <v>67.044877220541309</v>
      </c>
      <c r="U91" s="172">
        <f>IF(VLEESKALKOENEN!$H$15="ja",L91-((E91-G91*95%-I91)/E91*L91)*$R$6,L91-((E91-G91*80%-I91)/E91*L91)*$R$6)</f>
        <v>67.044877220541309</v>
      </c>
      <c r="V91" s="109">
        <f t="shared" si="40"/>
        <v>67.044877220541309</v>
      </c>
      <c r="W91" s="188">
        <f t="shared" si="41"/>
        <v>67.044877220541309</v>
      </c>
      <c r="X91" s="217"/>
    </row>
    <row r="92" spans="1:24" x14ac:dyDescent="0.2">
      <c r="A92" s="1">
        <v>83</v>
      </c>
      <c r="B92" s="1">
        <v>7.2</v>
      </c>
      <c r="E92" s="7">
        <f t="shared" si="42"/>
        <v>8.2799999999999994</v>
      </c>
      <c r="F92" s="7">
        <f t="shared" si="29"/>
        <v>8.2799999999999994</v>
      </c>
      <c r="G92" s="179">
        <f t="shared" si="30"/>
        <v>0</v>
      </c>
      <c r="H92" s="179">
        <f t="shared" si="31"/>
        <v>0</v>
      </c>
      <c r="I92" s="179">
        <f t="shared" si="32"/>
        <v>0</v>
      </c>
      <c r="J92" s="6">
        <f t="shared" si="43"/>
        <v>0.95881596762442789</v>
      </c>
      <c r="K92" s="129">
        <v>1</v>
      </c>
      <c r="L92" s="6">
        <f t="shared" si="44"/>
        <v>69.545606816509093</v>
      </c>
      <c r="M92" s="191">
        <f t="shared" si="33"/>
        <v>69.545606816509093</v>
      </c>
      <c r="N92" s="131">
        <f t="shared" si="34"/>
        <v>69.545606816509093</v>
      </c>
      <c r="O92" s="191">
        <f t="shared" si="35"/>
        <v>69.545606816509093</v>
      </c>
      <c r="P92" s="191">
        <f t="shared" si="36"/>
        <v>69.545606816509093</v>
      </c>
      <c r="Q92" s="6">
        <f t="shared" si="45"/>
        <v>69.545606816509093</v>
      </c>
      <c r="R92" s="177">
        <f t="shared" si="37"/>
        <v>69.545606816509093</v>
      </c>
      <c r="S92" s="177">
        <f t="shared" si="38"/>
        <v>69.545606816509093</v>
      </c>
      <c r="T92" s="177">
        <f t="shared" si="39"/>
        <v>69.545606816509093</v>
      </c>
      <c r="U92" s="172">
        <f>IF(VLEESKALKOENEN!$H$15="ja",L92-((E92-G92*95%-I92)/E92*L92)*$R$6,L92-((E92-G92*80%-I92)/E92*L92)*$R$6)</f>
        <v>69.545606816509093</v>
      </c>
      <c r="V92" s="109">
        <f t="shared" si="40"/>
        <v>69.545606816509093</v>
      </c>
      <c r="W92" s="188">
        <f t="shared" si="41"/>
        <v>69.545606816509093</v>
      </c>
      <c r="X92" s="217"/>
    </row>
    <row r="93" spans="1:24" x14ac:dyDescent="0.2">
      <c r="A93" s="1">
        <v>84</v>
      </c>
      <c r="B93" s="1">
        <v>7.32</v>
      </c>
      <c r="E93" s="7">
        <f t="shared" si="42"/>
        <v>8.4179999999999993</v>
      </c>
      <c r="F93" s="7">
        <f t="shared" si="29"/>
        <v>8.4179999999999993</v>
      </c>
      <c r="G93" s="179">
        <f t="shared" si="30"/>
        <v>0</v>
      </c>
      <c r="H93" s="179">
        <f t="shared" si="31"/>
        <v>0</v>
      </c>
      <c r="I93" s="179">
        <f t="shared" si="32"/>
        <v>0</v>
      </c>
      <c r="J93" s="6">
        <f t="shared" si="43"/>
        <v>0.97662148988319786</v>
      </c>
      <c r="K93" s="129">
        <v>1</v>
      </c>
      <c r="L93" s="6">
        <f t="shared" si="44"/>
        <v>72.017709388089997</v>
      </c>
      <c r="M93" s="191">
        <f t="shared" si="33"/>
        <v>72.017709388089997</v>
      </c>
      <c r="N93" s="131">
        <f t="shared" si="34"/>
        <v>72.017709388089997</v>
      </c>
      <c r="O93" s="191">
        <f t="shared" si="35"/>
        <v>72.017709388089997</v>
      </c>
      <c r="P93" s="191">
        <f t="shared" si="36"/>
        <v>72.017709388089997</v>
      </c>
      <c r="Q93" s="6">
        <f t="shared" si="45"/>
        <v>72.017709388089997</v>
      </c>
      <c r="R93" s="177">
        <f t="shared" si="37"/>
        <v>72.017709388089997</v>
      </c>
      <c r="S93" s="177">
        <f t="shared" si="38"/>
        <v>72.017709388089997</v>
      </c>
      <c r="T93" s="177">
        <f t="shared" si="39"/>
        <v>72.017709388089997</v>
      </c>
      <c r="U93" s="172">
        <f>IF(VLEESKALKOENEN!$H$15="ja",L93-((E93-G93*95%-I93)/E93*L93)*$R$6,L93-((E93-G93*80%-I93)/E93*L93)*$R$6)</f>
        <v>72.017709388089997</v>
      </c>
      <c r="V93" s="109">
        <f t="shared" si="40"/>
        <v>72.017709388089997</v>
      </c>
      <c r="W93" s="188">
        <f t="shared" si="41"/>
        <v>72.017709388089997</v>
      </c>
      <c r="X93" s="217"/>
    </row>
    <row r="94" spans="1:24" x14ac:dyDescent="0.2">
      <c r="A94" s="1">
        <v>85</v>
      </c>
      <c r="B94" s="1">
        <v>7.45</v>
      </c>
      <c r="E94" s="7">
        <f t="shared" si="42"/>
        <v>8.567499999999999</v>
      </c>
      <c r="F94" s="7">
        <f t="shared" si="29"/>
        <v>8.567499999999999</v>
      </c>
      <c r="G94" s="179">
        <f t="shared" si="30"/>
        <v>0</v>
      </c>
      <c r="H94" s="179">
        <f t="shared" si="31"/>
        <v>0</v>
      </c>
      <c r="I94" s="179">
        <f t="shared" si="32"/>
        <v>0</v>
      </c>
      <c r="J94" s="6">
        <f t="shared" si="43"/>
        <v>0.99475766644228514</v>
      </c>
      <c r="K94" s="129">
        <v>1</v>
      </c>
      <c r="L94" s="6">
        <f t="shared" si="44"/>
        <v>74.657856051459873</v>
      </c>
      <c r="M94" s="191">
        <f t="shared" si="33"/>
        <v>74.657856051459873</v>
      </c>
      <c r="N94" s="131">
        <f t="shared" si="34"/>
        <v>74.657856051459873</v>
      </c>
      <c r="O94" s="191">
        <f t="shared" si="35"/>
        <v>74.657856051459873</v>
      </c>
      <c r="P94" s="191">
        <f t="shared" si="36"/>
        <v>74.657856051459873</v>
      </c>
      <c r="Q94" s="6">
        <f t="shared" si="45"/>
        <v>74.657856051459873</v>
      </c>
      <c r="R94" s="177">
        <f t="shared" si="37"/>
        <v>74.657856051459873</v>
      </c>
      <c r="S94" s="177">
        <f t="shared" si="38"/>
        <v>74.657856051459873</v>
      </c>
      <c r="T94" s="177">
        <f t="shared" si="39"/>
        <v>74.657856051459873</v>
      </c>
      <c r="U94" s="172">
        <f>IF(VLEESKALKOENEN!$H$15="ja",L94-((E94-G94*95%-I94)/E94*L94)*$R$6,L94-((E94-G94*80%-I94)/E94*L94)*$R$6)</f>
        <v>74.657856051459873</v>
      </c>
      <c r="V94" s="109">
        <f t="shared" si="40"/>
        <v>74.657856051459873</v>
      </c>
      <c r="W94" s="188">
        <f t="shared" si="41"/>
        <v>74.657856051459873</v>
      </c>
      <c r="X94" s="217"/>
    </row>
    <row r="95" spans="1:24" x14ac:dyDescent="0.2">
      <c r="A95" s="1">
        <v>86</v>
      </c>
      <c r="B95" s="1">
        <v>7.58</v>
      </c>
      <c r="E95" s="7">
        <f t="shared" si="42"/>
        <v>8.7169999999999987</v>
      </c>
      <c r="F95" s="7">
        <f t="shared" si="29"/>
        <v>8.7169999999999987</v>
      </c>
      <c r="G95" s="179">
        <f t="shared" si="30"/>
        <v>0</v>
      </c>
      <c r="H95" s="179">
        <f t="shared" si="31"/>
        <v>0</v>
      </c>
      <c r="I95" s="179">
        <f t="shared" si="32"/>
        <v>0</v>
      </c>
      <c r="J95" s="6">
        <f t="shared" si="43"/>
        <v>1.0132306376588618</v>
      </c>
      <c r="K95" s="129">
        <v>1</v>
      </c>
      <c r="L95" s="6">
        <f t="shared" si="44"/>
        <v>77.371223663817332</v>
      </c>
      <c r="M95" s="191">
        <f t="shared" si="33"/>
        <v>77.371223663817332</v>
      </c>
      <c r="N95" s="131">
        <f t="shared" si="34"/>
        <v>77.371223663817332</v>
      </c>
      <c r="O95" s="191">
        <f t="shared" si="35"/>
        <v>77.371223663817332</v>
      </c>
      <c r="P95" s="191">
        <f t="shared" si="36"/>
        <v>77.371223663817332</v>
      </c>
      <c r="Q95" s="6">
        <f t="shared" si="45"/>
        <v>77.371223663817332</v>
      </c>
      <c r="R95" s="177">
        <f t="shared" si="37"/>
        <v>77.371223663817332</v>
      </c>
      <c r="S95" s="177">
        <f t="shared" si="38"/>
        <v>77.371223663817332</v>
      </c>
      <c r="T95" s="177">
        <f t="shared" si="39"/>
        <v>77.371223663817332</v>
      </c>
      <c r="U95" s="172">
        <f>IF(VLEESKALKOENEN!$H$15="ja",L95-((E95-G95*95%-I95)/E95*L95)*$R$6,L95-((E95-G95*80%-I95)/E95*L95)*$R$6)</f>
        <v>77.371223663817332</v>
      </c>
      <c r="V95" s="109">
        <f t="shared" si="40"/>
        <v>77.371223663817332</v>
      </c>
      <c r="W95" s="188">
        <f t="shared" si="41"/>
        <v>77.371223663817332</v>
      </c>
      <c r="X95" s="217"/>
    </row>
    <row r="96" spans="1:24" x14ac:dyDescent="0.2">
      <c r="A96" s="1">
        <v>87</v>
      </c>
      <c r="B96" s="1">
        <v>7.71</v>
      </c>
      <c r="E96" s="7">
        <f t="shared" si="42"/>
        <v>8.8664999999999985</v>
      </c>
      <c r="F96" s="7">
        <f t="shared" si="29"/>
        <v>8.8664999999999985</v>
      </c>
      <c r="G96" s="179">
        <f t="shared" si="30"/>
        <v>0</v>
      </c>
      <c r="H96" s="179">
        <f t="shared" si="31"/>
        <v>0</v>
      </c>
      <c r="I96" s="179">
        <f t="shared" si="32"/>
        <v>0</v>
      </c>
      <c r="J96" s="6">
        <f t="shared" si="43"/>
        <v>1.0320466579185175</v>
      </c>
      <c r="K96" s="129">
        <v>1</v>
      </c>
      <c r="L96" s="6">
        <f t="shared" si="44"/>
        <v>80.159621225726497</v>
      </c>
      <c r="M96" s="191">
        <f t="shared" si="33"/>
        <v>80.159621225726497</v>
      </c>
      <c r="N96" s="131">
        <f t="shared" si="34"/>
        <v>80.159621225726497</v>
      </c>
      <c r="O96" s="191">
        <f t="shared" si="35"/>
        <v>80.159621225726497</v>
      </c>
      <c r="P96" s="191">
        <f t="shared" si="36"/>
        <v>80.159621225726497</v>
      </c>
      <c r="Q96" s="6">
        <f t="shared" si="45"/>
        <v>80.159621225726497</v>
      </c>
      <c r="R96" s="177">
        <f t="shared" si="37"/>
        <v>80.159621225726497</v>
      </c>
      <c r="S96" s="177">
        <f t="shared" si="38"/>
        <v>80.159621225726497</v>
      </c>
      <c r="T96" s="177">
        <f t="shared" si="39"/>
        <v>80.159621225726497</v>
      </c>
      <c r="U96" s="172">
        <f>IF(VLEESKALKOENEN!$H$15="ja",L96-((E96-G96*95%-I96)/E96*L96)*$R$6,L96-((E96-G96*80%-I96)/E96*L96)*$R$6)</f>
        <v>80.159621225726497</v>
      </c>
      <c r="V96" s="109">
        <f t="shared" si="40"/>
        <v>80.159621225726497</v>
      </c>
      <c r="W96" s="188">
        <f t="shared" si="41"/>
        <v>80.159621225726497</v>
      </c>
      <c r="X96" s="217"/>
    </row>
    <row r="97" spans="1:24" x14ac:dyDescent="0.2">
      <c r="A97" s="1">
        <v>88</v>
      </c>
      <c r="B97" s="1">
        <v>7.84</v>
      </c>
      <c r="E97" s="7">
        <f t="shared" si="42"/>
        <v>9.016</v>
      </c>
      <c r="F97" s="7">
        <f t="shared" si="29"/>
        <v>9.016</v>
      </c>
      <c r="G97" s="179">
        <f t="shared" si="30"/>
        <v>0</v>
      </c>
      <c r="H97" s="179">
        <f t="shared" si="31"/>
        <v>0</v>
      </c>
      <c r="I97" s="179">
        <f t="shared" si="32"/>
        <v>0</v>
      </c>
      <c r="J97" s="6">
        <f t="shared" si="43"/>
        <v>1.0512120977528023</v>
      </c>
      <c r="K97" s="129">
        <v>1</v>
      </c>
      <c r="L97" s="6">
        <f t="shared" si="44"/>
        <v>83.024899674451973</v>
      </c>
      <c r="M97" s="191">
        <f t="shared" si="33"/>
        <v>83.024899674451973</v>
      </c>
      <c r="N97" s="131">
        <f t="shared" si="34"/>
        <v>83.024899674451973</v>
      </c>
      <c r="O97" s="191">
        <f t="shared" si="35"/>
        <v>83.024899674451973</v>
      </c>
      <c r="P97" s="191">
        <f t="shared" si="36"/>
        <v>83.024899674451973</v>
      </c>
      <c r="Q97" s="6">
        <f t="shared" si="45"/>
        <v>83.024899674451973</v>
      </c>
      <c r="R97" s="177">
        <f t="shared" si="37"/>
        <v>83.024899674451973</v>
      </c>
      <c r="S97" s="177">
        <f t="shared" si="38"/>
        <v>83.024899674451973</v>
      </c>
      <c r="T97" s="177">
        <f t="shared" si="39"/>
        <v>83.024899674451973</v>
      </c>
      <c r="U97" s="172">
        <f>IF(VLEESKALKOENEN!$H$15="ja",L97-((E97-G97*95%-I97)/E97*L97)*$R$6,L97-((E97-G97*80%-I97)/E97*L97)*$R$6)</f>
        <v>83.024899674451973</v>
      </c>
      <c r="V97" s="109">
        <f t="shared" si="40"/>
        <v>83.024899674451973</v>
      </c>
      <c r="W97" s="188">
        <f t="shared" si="41"/>
        <v>83.024899674451973</v>
      </c>
      <c r="X97" s="217"/>
    </row>
    <row r="98" spans="1:24" x14ac:dyDescent="0.2">
      <c r="A98" s="1">
        <v>89</v>
      </c>
      <c r="B98" s="1">
        <v>7.97</v>
      </c>
      <c r="E98" s="7">
        <f t="shared" si="42"/>
        <v>9.1654999999999998</v>
      </c>
      <c r="F98" s="7">
        <f t="shared" si="29"/>
        <v>9.1654999999999998</v>
      </c>
      <c r="G98" s="179">
        <f t="shared" si="30"/>
        <v>0</v>
      </c>
      <c r="H98" s="179">
        <f t="shared" si="31"/>
        <v>0</v>
      </c>
      <c r="I98" s="179">
        <f t="shared" si="32"/>
        <v>0</v>
      </c>
      <c r="J98" s="6">
        <f t="shared" si="43"/>
        <v>1.0707334459960947</v>
      </c>
      <c r="K98" s="129">
        <v>1</v>
      </c>
      <c r="L98" s="6">
        <f t="shared" si="44"/>
        <v>85.96895281766831</v>
      </c>
      <c r="M98" s="191">
        <f t="shared" si="33"/>
        <v>85.96895281766831</v>
      </c>
      <c r="N98" s="131">
        <f t="shared" si="34"/>
        <v>85.96895281766831</v>
      </c>
      <c r="O98" s="191">
        <f t="shared" si="35"/>
        <v>85.96895281766831</v>
      </c>
      <c r="P98" s="191">
        <f t="shared" si="36"/>
        <v>85.96895281766831</v>
      </c>
      <c r="Q98" s="6">
        <f t="shared" si="45"/>
        <v>85.96895281766831</v>
      </c>
      <c r="R98" s="177">
        <f t="shared" si="37"/>
        <v>85.96895281766831</v>
      </c>
      <c r="S98" s="177">
        <f t="shared" si="38"/>
        <v>85.96895281766831</v>
      </c>
      <c r="T98" s="177">
        <f t="shared" si="39"/>
        <v>85.96895281766831</v>
      </c>
      <c r="U98" s="172">
        <f>IF(VLEESKALKOENEN!$H$15="ja",L98-((E98-G98*95%-I98)/E98*L98)*$R$6,L98-((E98-G98*80%-I98)/E98*L98)*$R$6)</f>
        <v>85.96895281766831</v>
      </c>
      <c r="V98" s="109">
        <f t="shared" si="40"/>
        <v>85.96895281766831</v>
      </c>
      <c r="W98" s="188">
        <f t="shared" si="41"/>
        <v>85.96895281766831</v>
      </c>
      <c r="X98" s="217"/>
    </row>
    <row r="99" spans="1:24" x14ac:dyDescent="0.2">
      <c r="A99" s="1">
        <v>90</v>
      </c>
      <c r="B99" s="1">
        <v>8.09</v>
      </c>
      <c r="E99" s="7">
        <f t="shared" si="42"/>
        <v>9.3034999999999997</v>
      </c>
      <c r="F99" s="7">
        <f t="shared" si="29"/>
        <v>9.3034999999999997</v>
      </c>
      <c r="G99" s="179">
        <f t="shared" si="30"/>
        <v>0</v>
      </c>
      <c r="H99" s="179">
        <f t="shared" si="31"/>
        <v>0</v>
      </c>
      <c r="I99" s="179">
        <f t="shared" si="32"/>
        <v>0</v>
      </c>
      <c r="J99" s="6">
        <f t="shared" si="43"/>
        <v>1.0906173119825242</v>
      </c>
      <c r="K99" s="129">
        <v>1</v>
      </c>
      <c r="L99" s="6">
        <f t="shared" si="44"/>
        <v>88.883849499377661</v>
      </c>
      <c r="M99" s="191">
        <f t="shared" si="33"/>
        <v>88.883849499377661</v>
      </c>
      <c r="N99" s="131">
        <f t="shared" si="34"/>
        <v>88.883849499377661</v>
      </c>
      <c r="O99" s="191">
        <f t="shared" si="35"/>
        <v>88.883849499377661</v>
      </c>
      <c r="P99" s="191">
        <f t="shared" si="36"/>
        <v>88.883849499377661</v>
      </c>
      <c r="Q99" s="6">
        <f t="shared" si="45"/>
        <v>88.883849499377661</v>
      </c>
      <c r="R99" s="177">
        <f t="shared" si="37"/>
        <v>88.883849499377661</v>
      </c>
      <c r="S99" s="177">
        <f t="shared" si="38"/>
        <v>88.883849499377661</v>
      </c>
      <c r="T99" s="177">
        <f t="shared" si="39"/>
        <v>88.883849499377661</v>
      </c>
      <c r="U99" s="172">
        <f>IF(VLEESKALKOENEN!$H$15="ja",L99-((E99-G99*95%-I99)/E99*L99)*$R$6,L99-((E99-G99*80%-I99)/E99*L99)*$R$6)</f>
        <v>88.883849499377661</v>
      </c>
      <c r="V99" s="109">
        <f t="shared" si="40"/>
        <v>88.883849499377661</v>
      </c>
      <c r="W99" s="188">
        <f t="shared" si="41"/>
        <v>88.883849499377661</v>
      </c>
      <c r="X99" s="217"/>
    </row>
    <row r="100" spans="1:24" x14ac:dyDescent="0.2">
      <c r="A100" s="1">
        <v>91</v>
      </c>
      <c r="B100" s="1">
        <v>8.2200000000000006</v>
      </c>
      <c r="E100" s="7">
        <f t="shared" si="42"/>
        <v>9.4529999999999994</v>
      </c>
      <c r="F100" s="7">
        <f t="shared" si="29"/>
        <v>9.4529999999999994</v>
      </c>
      <c r="G100" s="179">
        <f t="shared" si="30"/>
        <v>0</v>
      </c>
      <c r="H100" s="179">
        <f t="shared" si="31"/>
        <v>0</v>
      </c>
      <c r="I100" s="179">
        <f t="shared" si="32"/>
        <v>0</v>
      </c>
      <c r="J100" s="6">
        <f t="shared" si="43"/>
        <v>1.1108704277836907</v>
      </c>
      <c r="K100" s="129">
        <v>1</v>
      </c>
      <c r="L100" s="6">
        <f t="shared" si="44"/>
        <v>91.98926942763164</v>
      </c>
      <c r="M100" s="191">
        <f t="shared" si="33"/>
        <v>91.98926942763164</v>
      </c>
      <c r="N100" s="131">
        <f t="shared" si="34"/>
        <v>91.98926942763164</v>
      </c>
      <c r="O100" s="191">
        <f t="shared" si="35"/>
        <v>91.98926942763164</v>
      </c>
      <c r="P100" s="191">
        <f t="shared" si="36"/>
        <v>91.98926942763164</v>
      </c>
      <c r="Q100" s="6">
        <f t="shared" si="45"/>
        <v>91.98926942763164</v>
      </c>
      <c r="R100" s="177">
        <f t="shared" si="37"/>
        <v>91.98926942763164</v>
      </c>
      <c r="S100" s="177">
        <f t="shared" si="38"/>
        <v>91.98926942763164</v>
      </c>
      <c r="T100" s="177">
        <f t="shared" si="39"/>
        <v>91.98926942763164</v>
      </c>
      <c r="U100" s="172">
        <f>IF(VLEESKALKOENEN!$H$15="ja",L100-((E100-G100*95%-I100)/E100*L100)*$R$6,L100-((E100-G100*80%-I100)/E100*L100)*$R$6)</f>
        <v>91.98926942763164</v>
      </c>
      <c r="V100" s="109">
        <f t="shared" si="40"/>
        <v>91.98926942763164</v>
      </c>
      <c r="W100" s="188">
        <f t="shared" si="41"/>
        <v>91.98926942763164</v>
      </c>
      <c r="X100" s="217"/>
    </row>
    <row r="101" spans="1:24" x14ac:dyDescent="0.2">
      <c r="A101" s="1">
        <v>92</v>
      </c>
      <c r="B101" s="1">
        <v>8.35</v>
      </c>
      <c r="E101" s="7">
        <f t="shared" si="42"/>
        <v>9.6024999999999991</v>
      </c>
      <c r="F101" s="7">
        <f t="shared" si="29"/>
        <v>9.6024999999999991</v>
      </c>
      <c r="G101" s="179">
        <f t="shared" si="30"/>
        <v>0</v>
      </c>
      <c r="H101" s="179">
        <f t="shared" si="31"/>
        <v>0</v>
      </c>
      <c r="I101" s="179">
        <f t="shared" si="32"/>
        <v>0</v>
      </c>
      <c r="J101" s="6">
        <f t="shared" si="43"/>
        <v>1.1314996504879373</v>
      </c>
      <c r="K101" s="129">
        <v>1</v>
      </c>
      <c r="L101" s="6">
        <f t="shared" si="44"/>
        <v>95.179374449779246</v>
      </c>
      <c r="M101" s="191">
        <f t="shared" si="33"/>
        <v>95.179374449779246</v>
      </c>
      <c r="N101" s="131">
        <f t="shared" si="34"/>
        <v>95.179374449779246</v>
      </c>
      <c r="O101" s="191">
        <f t="shared" si="35"/>
        <v>95.179374449779246</v>
      </c>
      <c r="P101" s="191">
        <f t="shared" si="36"/>
        <v>95.179374449779246</v>
      </c>
      <c r="Q101" s="6">
        <f t="shared" si="45"/>
        <v>95.179374449779246</v>
      </c>
      <c r="R101" s="177">
        <f t="shared" si="37"/>
        <v>95.179374449779246</v>
      </c>
      <c r="S101" s="177">
        <f t="shared" si="38"/>
        <v>95.179374449779246</v>
      </c>
      <c r="T101" s="177">
        <f t="shared" si="39"/>
        <v>95.179374449779246</v>
      </c>
      <c r="U101" s="172">
        <f>IF(VLEESKALKOENEN!$H$15="ja",L101-((E101-G101*95%-I101)/E101*L101)*$R$6,L101-((E101-G101*80%-I101)/E101*L101)*$R$6)</f>
        <v>95.179374449779246</v>
      </c>
      <c r="V101" s="109">
        <f t="shared" si="40"/>
        <v>95.179374449779246</v>
      </c>
      <c r="W101" s="188">
        <f t="shared" si="41"/>
        <v>95.179374449779246</v>
      </c>
      <c r="X101" s="217"/>
    </row>
    <row r="102" spans="1:24" x14ac:dyDescent="0.2">
      <c r="A102" s="1">
        <v>93</v>
      </c>
      <c r="B102" s="1">
        <v>8.4700000000000006</v>
      </c>
      <c r="E102" s="7">
        <f t="shared" si="42"/>
        <v>9.7405000000000008</v>
      </c>
      <c r="F102" s="7">
        <f t="shared" si="29"/>
        <v>9.7405000000000008</v>
      </c>
      <c r="G102" s="179">
        <f t="shared" si="30"/>
        <v>0</v>
      </c>
      <c r="H102" s="179">
        <f t="shared" si="31"/>
        <v>0</v>
      </c>
      <c r="I102" s="179">
        <f t="shared" si="32"/>
        <v>0</v>
      </c>
      <c r="J102" s="6">
        <f t="shared" si="43"/>
        <v>1.1525119645219535</v>
      </c>
      <c r="K102" s="129">
        <v>1</v>
      </c>
      <c r="L102" s="6">
        <f t="shared" si="44"/>
        <v>98.340134844132535</v>
      </c>
      <c r="M102" s="191">
        <f t="shared" si="33"/>
        <v>98.340134844132535</v>
      </c>
      <c r="N102" s="131">
        <f t="shared" si="34"/>
        <v>98.340134844132535</v>
      </c>
      <c r="O102" s="191">
        <f t="shared" si="35"/>
        <v>98.340134844132535</v>
      </c>
      <c r="P102" s="191">
        <f t="shared" si="36"/>
        <v>98.340134844132535</v>
      </c>
      <c r="Q102" s="6">
        <f t="shared" si="45"/>
        <v>98.340134844132535</v>
      </c>
      <c r="R102" s="177">
        <f t="shared" si="37"/>
        <v>98.340134844132535</v>
      </c>
      <c r="S102" s="177">
        <f t="shared" si="38"/>
        <v>98.340134844132535</v>
      </c>
      <c r="T102" s="177">
        <f t="shared" si="39"/>
        <v>98.340134844132535</v>
      </c>
      <c r="U102" s="172">
        <f>IF(VLEESKALKOENEN!$H$15="ja",L102-((E102-G102*95%-I102)/E102*L102)*$R$6,L102-((E102-G102*80%-I102)/E102*L102)*$R$6)</f>
        <v>98.340134844132535</v>
      </c>
      <c r="V102" s="109">
        <f t="shared" si="40"/>
        <v>98.340134844132535</v>
      </c>
      <c r="W102" s="188">
        <f t="shared" si="41"/>
        <v>98.340134844132535</v>
      </c>
      <c r="X102" s="217"/>
    </row>
    <row r="103" spans="1:24" x14ac:dyDescent="0.2">
      <c r="A103" s="1">
        <v>94</v>
      </c>
      <c r="B103" s="1">
        <v>8.6</v>
      </c>
      <c r="E103" s="7">
        <f t="shared" si="42"/>
        <v>9.8899999999999988</v>
      </c>
      <c r="F103" s="7">
        <f t="shared" si="29"/>
        <v>9.8899999999999988</v>
      </c>
      <c r="G103" s="179">
        <f t="shared" si="30"/>
        <v>0</v>
      </c>
      <c r="H103" s="179">
        <f t="shared" si="31"/>
        <v>0</v>
      </c>
      <c r="I103" s="179">
        <f t="shared" si="32"/>
        <v>0</v>
      </c>
      <c r="J103" s="6">
        <f t="shared" si="43"/>
        <v>1.1739144840154885</v>
      </c>
      <c r="K103" s="129">
        <v>1</v>
      </c>
      <c r="L103" s="6">
        <f t="shared" si="44"/>
        <v>101.70372480295947</v>
      </c>
      <c r="M103" s="191">
        <f t="shared" si="33"/>
        <v>101.70372480295947</v>
      </c>
      <c r="N103" s="131">
        <f t="shared" si="34"/>
        <v>101.70372480295947</v>
      </c>
      <c r="O103" s="191">
        <f t="shared" si="35"/>
        <v>101.70372480295947</v>
      </c>
      <c r="P103" s="191">
        <f t="shared" si="36"/>
        <v>101.70372480295947</v>
      </c>
      <c r="Q103" s="6">
        <f t="shared" si="45"/>
        <v>101.70372480295947</v>
      </c>
      <c r="R103" s="177">
        <f t="shared" si="37"/>
        <v>101.70372480295947</v>
      </c>
      <c r="S103" s="177">
        <f t="shared" si="38"/>
        <v>101.70372480295947</v>
      </c>
      <c r="T103" s="177">
        <f t="shared" si="39"/>
        <v>101.70372480295947</v>
      </c>
      <c r="U103" s="172">
        <f>IF(VLEESKALKOENEN!$H$15="ja",L103-((E103-G103*95%-I103)/E103*L103)*$R$6,L103-((E103-G103*80%-I103)/E103*L103)*$R$6)</f>
        <v>101.70372480295947</v>
      </c>
      <c r="V103" s="109">
        <f t="shared" si="40"/>
        <v>101.70372480295947</v>
      </c>
      <c r="W103" s="188">
        <f t="shared" si="41"/>
        <v>101.70372480295947</v>
      </c>
      <c r="X103" s="217"/>
    </row>
    <row r="104" spans="1:24" x14ac:dyDescent="0.2">
      <c r="A104" s="1">
        <v>95</v>
      </c>
      <c r="B104" s="1">
        <v>8.7200000000000006</v>
      </c>
      <c r="E104" s="7">
        <f t="shared" si="42"/>
        <v>10.028</v>
      </c>
      <c r="F104" s="7">
        <f t="shared" si="29"/>
        <v>10.028</v>
      </c>
      <c r="G104" s="179">
        <f t="shared" si="30"/>
        <v>0</v>
      </c>
      <c r="H104" s="179">
        <f t="shared" si="31"/>
        <v>0</v>
      </c>
      <c r="I104" s="179">
        <f t="shared" si="32"/>
        <v>0</v>
      </c>
      <c r="J104" s="6">
        <f t="shared" si="43"/>
        <v>1.1957144552099792</v>
      </c>
      <c r="K104" s="129">
        <v>1</v>
      </c>
      <c r="L104" s="6">
        <f t="shared" si="44"/>
        <v>105.03787111796808</v>
      </c>
      <c r="M104" s="191">
        <f t="shared" si="33"/>
        <v>105.03787111796808</v>
      </c>
      <c r="N104" s="131">
        <f t="shared" si="34"/>
        <v>105.03787111796808</v>
      </c>
      <c r="O104" s="191">
        <f t="shared" si="35"/>
        <v>105.03787111796808</v>
      </c>
      <c r="P104" s="191">
        <f t="shared" si="36"/>
        <v>105.03787111796808</v>
      </c>
      <c r="Q104" s="6">
        <f t="shared" si="45"/>
        <v>105.03787111796808</v>
      </c>
      <c r="R104" s="177">
        <f t="shared" si="37"/>
        <v>105.03787111796808</v>
      </c>
      <c r="S104" s="177">
        <f t="shared" si="38"/>
        <v>105.03787111796808</v>
      </c>
      <c r="T104" s="177">
        <f t="shared" si="39"/>
        <v>105.03787111796808</v>
      </c>
      <c r="U104" s="172">
        <f>IF(VLEESKALKOENEN!$H$15="ja",L104-((E104-G104*95%-I104)/E104*L104)*$R$6,L104-((E104-G104*80%-I104)/E104*L104)*$R$6)</f>
        <v>105.03787111796808</v>
      </c>
      <c r="V104" s="109">
        <f t="shared" si="40"/>
        <v>105.03787111796808</v>
      </c>
      <c r="W104" s="188">
        <f t="shared" si="41"/>
        <v>105.03787111796808</v>
      </c>
      <c r="X104" s="217"/>
    </row>
    <row r="105" spans="1:24" x14ac:dyDescent="0.2">
      <c r="A105" s="1">
        <v>96</v>
      </c>
      <c r="B105" s="1">
        <v>8.85</v>
      </c>
      <c r="E105" s="7">
        <f t="shared" si="42"/>
        <v>10.177499999999998</v>
      </c>
      <c r="F105" s="7">
        <f t="shared" si="29"/>
        <v>10.177499999999998</v>
      </c>
      <c r="G105" s="179">
        <f t="shared" si="30"/>
        <v>0</v>
      </c>
      <c r="H105" s="179">
        <f t="shared" si="31"/>
        <v>0</v>
      </c>
      <c r="I105" s="179">
        <f t="shared" si="32"/>
        <v>0</v>
      </c>
      <c r="J105" s="6">
        <f t="shared" si="43"/>
        <v>1.2179192589119072</v>
      </c>
      <c r="K105" s="129">
        <v>1</v>
      </c>
      <c r="L105" s="6">
        <f t="shared" si="44"/>
        <v>108.58346973636516</v>
      </c>
      <c r="M105" s="191">
        <f t="shared" si="33"/>
        <v>108.58346973636516</v>
      </c>
      <c r="N105" s="131">
        <f t="shared" si="34"/>
        <v>108.58346973636516</v>
      </c>
      <c r="O105" s="191">
        <f t="shared" si="35"/>
        <v>108.58346973636516</v>
      </c>
      <c r="P105" s="191">
        <f t="shared" si="36"/>
        <v>108.58346973636516</v>
      </c>
      <c r="Q105" s="6">
        <f t="shared" si="45"/>
        <v>108.58346973636516</v>
      </c>
      <c r="R105" s="177">
        <f t="shared" si="37"/>
        <v>108.58346973636516</v>
      </c>
      <c r="S105" s="177">
        <f t="shared" si="38"/>
        <v>108.58346973636516</v>
      </c>
      <c r="T105" s="177">
        <f t="shared" si="39"/>
        <v>108.58346973636516</v>
      </c>
      <c r="U105" s="172">
        <f>IF(VLEESKALKOENEN!$H$15="ja",L105-((E105-G105*95%-I105)/E105*L105)*$R$6,L105-((E105-G105*80%-I105)/E105*L105)*$R$6)</f>
        <v>108.58346973636516</v>
      </c>
      <c r="V105" s="109">
        <f t="shared" si="40"/>
        <v>108.58346973636516</v>
      </c>
      <c r="W105" s="188">
        <f t="shared" si="41"/>
        <v>108.58346973636516</v>
      </c>
      <c r="X105" s="217"/>
    </row>
    <row r="106" spans="1:24" x14ac:dyDescent="0.2">
      <c r="A106" s="1">
        <v>97</v>
      </c>
      <c r="B106" s="1">
        <v>8.9700000000000006</v>
      </c>
      <c r="E106" s="7">
        <f t="shared" si="42"/>
        <v>10.3155</v>
      </c>
      <c r="F106" s="7">
        <f t="shared" si="29"/>
        <v>10.3155</v>
      </c>
      <c r="G106" s="179">
        <f t="shared" si="30"/>
        <v>0</v>
      </c>
      <c r="H106" s="179">
        <f t="shared" si="31"/>
        <v>0</v>
      </c>
      <c r="I106" s="179">
        <f t="shared" si="32"/>
        <v>0</v>
      </c>
      <c r="J106" s="6">
        <f t="shared" si="43"/>
        <v>1.2405364129917138</v>
      </c>
      <c r="K106" s="129">
        <v>1</v>
      </c>
      <c r="L106" s="6">
        <f t="shared" si="44"/>
        <v>112.09955950557237</v>
      </c>
      <c r="M106" s="191">
        <f t="shared" si="33"/>
        <v>112.09955950557237</v>
      </c>
      <c r="N106" s="131">
        <f t="shared" si="34"/>
        <v>112.09955950557237</v>
      </c>
      <c r="O106" s="191">
        <f t="shared" si="35"/>
        <v>112.09955950557237</v>
      </c>
      <c r="P106" s="191">
        <f t="shared" si="36"/>
        <v>112.09955950557237</v>
      </c>
      <c r="Q106" s="6">
        <f t="shared" si="45"/>
        <v>112.09955950557237</v>
      </c>
      <c r="R106" s="177">
        <f t="shared" si="37"/>
        <v>112.09955950557237</v>
      </c>
      <c r="S106" s="177">
        <f t="shared" si="38"/>
        <v>112.09955950557237</v>
      </c>
      <c r="T106" s="177">
        <f t="shared" si="39"/>
        <v>112.09955950557237</v>
      </c>
      <c r="U106" s="172">
        <f>IF(VLEESKALKOENEN!$H$15="ja",L106-((E106-G106*95%-I106)/E106*L106)*$R$6,L106-((E106-G106*80%-I106)/E106*L106)*$R$6)</f>
        <v>112.09955950557237</v>
      </c>
      <c r="V106" s="109">
        <f t="shared" si="40"/>
        <v>112.09955950557237</v>
      </c>
      <c r="W106" s="188">
        <f t="shared" si="41"/>
        <v>112.09955950557237</v>
      </c>
      <c r="X106" s="217"/>
    </row>
    <row r="107" spans="1:24" x14ac:dyDescent="0.2">
      <c r="A107" s="1">
        <v>98</v>
      </c>
      <c r="B107" s="1">
        <v>9.09</v>
      </c>
      <c r="E107" s="7">
        <f t="shared" si="42"/>
        <v>10.453499999999998</v>
      </c>
      <c r="F107" s="7">
        <f t="shared" si="29"/>
        <v>10.453499999999998</v>
      </c>
      <c r="G107" s="179">
        <f t="shared" si="30"/>
        <v>0</v>
      </c>
      <c r="H107" s="179">
        <f t="shared" si="31"/>
        <v>0</v>
      </c>
      <c r="I107" s="179">
        <f t="shared" si="32"/>
        <v>0</v>
      </c>
      <c r="J107" s="6">
        <f t="shared" si="43"/>
        <v>1.2635735749291241</v>
      </c>
      <c r="K107" s="129">
        <v>1</v>
      </c>
      <c r="L107" s="6">
        <f t="shared" si="44"/>
        <v>115.70879336196919</v>
      </c>
      <c r="M107" s="191">
        <f t="shared" si="33"/>
        <v>115.70879336196919</v>
      </c>
      <c r="N107" s="131">
        <f t="shared" si="34"/>
        <v>115.70879336196919</v>
      </c>
      <c r="O107" s="191">
        <f t="shared" si="35"/>
        <v>115.70879336196919</v>
      </c>
      <c r="P107" s="191">
        <f t="shared" si="36"/>
        <v>115.70879336196919</v>
      </c>
      <c r="Q107" s="6">
        <f t="shared" si="45"/>
        <v>115.70879336196919</v>
      </c>
      <c r="R107" s="177">
        <f t="shared" si="37"/>
        <v>115.70879336196919</v>
      </c>
      <c r="S107" s="177">
        <f t="shared" si="38"/>
        <v>115.70879336196919</v>
      </c>
      <c r="T107" s="177">
        <f t="shared" si="39"/>
        <v>115.70879336196919</v>
      </c>
      <c r="U107" s="172">
        <f>IF(VLEESKALKOENEN!$H$15="ja",L107-((E107-G107*95%-I107)/E107*L107)*$R$6,L107-((E107-G107*80%-I107)/E107*L107)*$R$6)</f>
        <v>115.70879336196919</v>
      </c>
      <c r="V107" s="109">
        <f t="shared" si="40"/>
        <v>115.70879336196919</v>
      </c>
      <c r="W107" s="188">
        <f t="shared" si="41"/>
        <v>115.70879336196919</v>
      </c>
      <c r="X107" s="217"/>
    </row>
    <row r="108" spans="1:24" x14ac:dyDescent="0.2">
      <c r="A108" s="1">
        <v>99</v>
      </c>
      <c r="B108" s="1">
        <v>9.2200000000000006</v>
      </c>
      <c r="E108" s="7">
        <f t="shared" si="42"/>
        <v>10.603</v>
      </c>
      <c r="F108" s="7">
        <f t="shared" si="29"/>
        <v>10.603</v>
      </c>
      <c r="G108" s="179">
        <f t="shared" si="30"/>
        <v>0</v>
      </c>
      <c r="H108" s="179">
        <f t="shared" si="31"/>
        <v>0</v>
      </c>
      <c r="I108" s="179">
        <f t="shared" si="32"/>
        <v>0</v>
      </c>
      <c r="J108" s="6">
        <f t="shared" si="43"/>
        <v>1.2870385444057348</v>
      </c>
      <c r="K108" s="129">
        <v>1</v>
      </c>
      <c r="L108" s="6">
        <f t="shared" si="44"/>
        <v>119.54307445228591</v>
      </c>
      <c r="M108" s="191">
        <f t="shared" si="33"/>
        <v>119.54307445228591</v>
      </c>
      <c r="N108" s="131">
        <f t="shared" si="34"/>
        <v>119.54307445228591</v>
      </c>
      <c r="O108" s="191">
        <f t="shared" si="35"/>
        <v>119.54307445228591</v>
      </c>
      <c r="P108" s="191">
        <f t="shared" si="36"/>
        <v>119.54307445228591</v>
      </c>
      <c r="Q108" s="6">
        <f t="shared" si="45"/>
        <v>119.54307445228591</v>
      </c>
      <c r="R108" s="177">
        <f t="shared" si="37"/>
        <v>119.54307445228591</v>
      </c>
      <c r="S108" s="177">
        <f t="shared" si="38"/>
        <v>119.54307445228591</v>
      </c>
      <c r="T108" s="177">
        <f t="shared" si="39"/>
        <v>119.54307445228591</v>
      </c>
      <c r="U108" s="172">
        <f>IF(VLEESKALKOENEN!$H$15="ja",L108-((E108-G108*95%-I108)/E108*L108)*$R$6,L108-((E108-G108*80%-I108)/E108*L108)*$R$6)</f>
        <v>119.54307445228591</v>
      </c>
      <c r="V108" s="109">
        <f t="shared" si="40"/>
        <v>119.54307445228591</v>
      </c>
      <c r="W108" s="188">
        <f t="shared" si="41"/>
        <v>119.54307445228591</v>
      </c>
      <c r="X108" s="217"/>
    </row>
    <row r="109" spans="1:24" x14ac:dyDescent="0.2">
      <c r="A109" s="1">
        <v>100</v>
      </c>
      <c r="B109" s="1">
        <v>9.34</v>
      </c>
      <c r="E109" s="7">
        <f t="shared" si="42"/>
        <v>10.741</v>
      </c>
      <c r="F109" s="7">
        <f t="shared" si="29"/>
        <v>10.741</v>
      </c>
      <c r="G109" s="179">
        <f t="shared" si="30"/>
        <v>0</v>
      </c>
      <c r="H109" s="179">
        <f t="shared" si="31"/>
        <v>0</v>
      </c>
      <c r="I109" s="179">
        <f t="shared" si="32"/>
        <v>0</v>
      </c>
      <c r="J109" s="6">
        <f t="shared" si="43"/>
        <v>1.3109392659457497</v>
      </c>
      <c r="K109" s="129">
        <v>1</v>
      </c>
      <c r="L109" s="6">
        <f t="shared" si="44"/>
        <v>123.34779622238409</v>
      </c>
      <c r="M109" s="191">
        <f t="shared" si="33"/>
        <v>123.34779622238409</v>
      </c>
      <c r="N109" s="131">
        <f t="shared" si="34"/>
        <v>123.34779622238409</v>
      </c>
      <c r="O109" s="191">
        <f t="shared" si="35"/>
        <v>123.34779622238409</v>
      </c>
      <c r="P109" s="191">
        <f t="shared" si="36"/>
        <v>123.34779622238409</v>
      </c>
      <c r="Q109" s="6">
        <f t="shared" si="45"/>
        <v>123.34779622238409</v>
      </c>
      <c r="R109" s="177">
        <f t="shared" si="37"/>
        <v>123.34779622238409</v>
      </c>
      <c r="S109" s="177">
        <f t="shared" si="38"/>
        <v>123.34779622238409</v>
      </c>
      <c r="T109" s="177">
        <f t="shared" si="39"/>
        <v>123.34779622238409</v>
      </c>
      <c r="U109" s="172">
        <f>IF(VLEESKALKOENEN!$H$15="ja",L109-((E109-G109*95%-I109)/E109*L109)*$R$6,L109-((E109-G109*80%-I109)/E109*L109)*$R$6)</f>
        <v>123.34779622238409</v>
      </c>
      <c r="V109" s="109">
        <f t="shared" si="40"/>
        <v>123.34779622238409</v>
      </c>
      <c r="W109" s="188">
        <f t="shared" si="41"/>
        <v>123.34779622238409</v>
      </c>
      <c r="X109" s="217"/>
    </row>
    <row r="110" spans="1:24" x14ac:dyDescent="0.2">
      <c r="A110" s="1">
        <v>101</v>
      </c>
      <c r="B110" s="1">
        <v>9.4600000000000009</v>
      </c>
      <c r="E110" s="7">
        <f t="shared" si="42"/>
        <v>10.879</v>
      </c>
      <c r="F110" s="7">
        <f t="shared" si="29"/>
        <v>10.879</v>
      </c>
      <c r="G110" s="179">
        <f t="shared" si="30"/>
        <v>0</v>
      </c>
      <c r="H110" s="179">
        <f t="shared" si="31"/>
        <v>0</v>
      </c>
      <c r="I110" s="179">
        <f t="shared" si="32"/>
        <v>0</v>
      </c>
      <c r="J110" s="6">
        <f t="shared" si="43"/>
        <v>1.3352838316057536</v>
      </c>
      <c r="K110" s="129">
        <v>1</v>
      </c>
      <c r="L110" s="6">
        <f t="shared" si="44"/>
        <v>127.25260256338156</v>
      </c>
      <c r="M110" s="191">
        <f t="shared" si="33"/>
        <v>127.25260256338156</v>
      </c>
      <c r="N110" s="131">
        <f t="shared" si="34"/>
        <v>127.25260256338156</v>
      </c>
      <c r="O110" s="191">
        <f t="shared" si="35"/>
        <v>127.25260256338156</v>
      </c>
      <c r="P110" s="191">
        <f t="shared" si="36"/>
        <v>127.25260256338156</v>
      </c>
      <c r="Q110" s="6">
        <f t="shared" si="45"/>
        <v>127.25260256338156</v>
      </c>
      <c r="R110" s="177">
        <f t="shared" si="37"/>
        <v>127.25260256338156</v>
      </c>
      <c r="S110" s="177">
        <f t="shared" si="38"/>
        <v>127.25260256338156</v>
      </c>
      <c r="T110" s="177">
        <f t="shared" si="39"/>
        <v>127.25260256338156</v>
      </c>
      <c r="U110" s="172">
        <f>IF(VLEESKALKOENEN!$H$15="ja",L110-((E110-G110*95%-I110)/E110*L110)*$R$6,L110-((E110-G110*80%-I110)/E110*L110)*$R$6)</f>
        <v>127.25260256338156</v>
      </c>
      <c r="V110" s="109">
        <f t="shared" si="40"/>
        <v>127.25260256338156</v>
      </c>
      <c r="W110" s="188">
        <f t="shared" si="41"/>
        <v>127.25260256338156</v>
      </c>
      <c r="X110" s="217"/>
    </row>
    <row r="111" spans="1:24" x14ac:dyDescent="0.2">
      <c r="A111" s="1">
        <v>102</v>
      </c>
      <c r="B111" s="1">
        <v>9.58</v>
      </c>
      <c r="E111" s="7">
        <f t="shared" si="42"/>
        <v>11.016999999999999</v>
      </c>
      <c r="F111" s="7">
        <f t="shared" si="29"/>
        <v>11.016999999999999</v>
      </c>
      <c r="G111" s="179">
        <f t="shared" si="30"/>
        <v>0</v>
      </c>
      <c r="H111" s="179">
        <f t="shared" si="31"/>
        <v>0</v>
      </c>
      <c r="I111" s="179">
        <f t="shared" si="32"/>
        <v>0</v>
      </c>
      <c r="J111" s="6">
        <f t="shared" si="43"/>
        <v>1.3600804837144354</v>
      </c>
      <c r="K111" s="129">
        <v>1</v>
      </c>
      <c r="L111" s="6">
        <f t="shared" si="44"/>
        <v>131.25989859635774</v>
      </c>
      <c r="M111" s="191">
        <f t="shared" si="33"/>
        <v>131.25989859635774</v>
      </c>
      <c r="N111" s="131">
        <f t="shared" si="34"/>
        <v>131.25989859635774</v>
      </c>
      <c r="O111" s="191">
        <f t="shared" si="35"/>
        <v>131.25989859635774</v>
      </c>
      <c r="P111" s="191">
        <f t="shared" si="36"/>
        <v>131.25989859635774</v>
      </c>
      <c r="Q111" s="6">
        <f t="shared" si="45"/>
        <v>131.25989859635774</v>
      </c>
      <c r="R111" s="177">
        <f t="shared" si="37"/>
        <v>131.25989859635774</v>
      </c>
      <c r="S111" s="177">
        <f t="shared" si="38"/>
        <v>131.25989859635774</v>
      </c>
      <c r="T111" s="177">
        <f t="shared" si="39"/>
        <v>131.25989859635774</v>
      </c>
      <c r="U111" s="172">
        <f>IF(VLEESKALKOENEN!$H$15="ja",L111-((E111-G111*95%-I111)/E111*L111)*$R$6,L111-((E111-G111*80%-I111)/E111*L111)*$R$6)</f>
        <v>131.25989859635774</v>
      </c>
      <c r="V111" s="109">
        <f t="shared" si="40"/>
        <v>131.25989859635774</v>
      </c>
      <c r="W111" s="188">
        <f t="shared" si="41"/>
        <v>131.25989859635774</v>
      </c>
      <c r="X111" s="217"/>
    </row>
    <row r="112" spans="1:24" x14ac:dyDescent="0.2">
      <c r="A112" s="1">
        <v>103</v>
      </c>
      <c r="B112" s="1">
        <v>9.6999999999999993</v>
      </c>
      <c r="E112" s="7">
        <f t="shared" si="42"/>
        <v>11.154999999999998</v>
      </c>
      <c r="F112" s="7">
        <f t="shared" si="29"/>
        <v>11.154999999999998</v>
      </c>
      <c r="G112" s="179">
        <f t="shared" si="30"/>
        <v>0</v>
      </c>
      <c r="H112" s="179">
        <f t="shared" si="31"/>
        <v>0</v>
      </c>
      <c r="I112" s="179">
        <f t="shared" si="32"/>
        <v>0</v>
      </c>
      <c r="J112" s="6">
        <f t="shared" si="43"/>
        <v>1.3853376176631913</v>
      </c>
      <c r="K112" s="129">
        <v>1</v>
      </c>
      <c r="L112" s="6">
        <f t="shared" si="44"/>
        <v>135.37214425528816</v>
      </c>
      <c r="M112" s="191">
        <f t="shared" si="33"/>
        <v>135.37214425528816</v>
      </c>
      <c r="N112" s="131">
        <f t="shared" si="34"/>
        <v>135.37214425528816</v>
      </c>
      <c r="O112" s="191">
        <f t="shared" si="35"/>
        <v>135.37214425528816</v>
      </c>
      <c r="P112" s="191">
        <f t="shared" si="36"/>
        <v>135.37214425528816</v>
      </c>
      <c r="Q112" s="6">
        <f t="shared" si="45"/>
        <v>135.37214425528816</v>
      </c>
      <c r="R112" s="177">
        <f t="shared" si="37"/>
        <v>135.37214425528816</v>
      </c>
      <c r="S112" s="177">
        <f t="shared" si="38"/>
        <v>135.37214425528816</v>
      </c>
      <c r="T112" s="177">
        <f t="shared" si="39"/>
        <v>135.37214425528816</v>
      </c>
      <c r="U112" s="172">
        <f>IF(VLEESKALKOENEN!$H$15="ja",L112-((E112-G112*95%-I112)/E112*L112)*$R$6,L112-((E112-G112*80%-I112)/E112*L112)*$R$6)</f>
        <v>135.37214425528816</v>
      </c>
      <c r="V112" s="109">
        <f t="shared" si="40"/>
        <v>135.37214425528816</v>
      </c>
      <c r="W112" s="188">
        <f t="shared" si="41"/>
        <v>135.37214425528816</v>
      </c>
      <c r="X112" s="217"/>
    </row>
    <row r="113" spans="1:24" x14ac:dyDescent="0.2">
      <c r="A113" s="1">
        <v>104</v>
      </c>
      <c r="B113" s="1">
        <v>9.82</v>
      </c>
      <c r="E113" s="7">
        <f t="shared" si="42"/>
        <v>11.292999999999999</v>
      </c>
      <c r="F113" s="7">
        <f t="shared" si="29"/>
        <v>11.292999999999999</v>
      </c>
      <c r="G113" s="179">
        <f t="shared" si="30"/>
        <v>0</v>
      </c>
      <c r="H113" s="179">
        <f t="shared" si="31"/>
        <v>0</v>
      </c>
      <c r="I113" s="179">
        <f t="shared" si="32"/>
        <v>0</v>
      </c>
      <c r="J113" s="6">
        <f t="shared" si="43"/>
        <v>1.4110637847485474</v>
      </c>
      <c r="K113" s="129">
        <v>1</v>
      </c>
      <c r="L113" s="6">
        <f t="shared" si="44"/>
        <v>139.59185549340842</v>
      </c>
      <c r="M113" s="191">
        <f t="shared" si="33"/>
        <v>139.59185549340842</v>
      </c>
      <c r="N113" s="131">
        <f t="shared" si="34"/>
        <v>139.59185549340842</v>
      </c>
      <c r="O113" s="191">
        <f t="shared" si="35"/>
        <v>139.59185549340842</v>
      </c>
      <c r="P113" s="191">
        <f t="shared" si="36"/>
        <v>139.59185549340842</v>
      </c>
      <c r="Q113" s="6">
        <f t="shared" si="45"/>
        <v>139.59185549340842</v>
      </c>
      <c r="R113" s="177">
        <f t="shared" si="37"/>
        <v>139.59185549340842</v>
      </c>
      <c r="S113" s="177">
        <f t="shared" si="38"/>
        <v>139.59185549340842</v>
      </c>
      <c r="T113" s="177">
        <f t="shared" si="39"/>
        <v>139.59185549340842</v>
      </c>
      <c r="U113" s="172">
        <f>IF(VLEESKALKOENEN!$H$15="ja",L113-((E113-G113*95%-I113)/E113*L113)*$R$6,L113-((E113-G113*80%-I113)/E113*L113)*$R$6)</f>
        <v>139.59185549340842</v>
      </c>
      <c r="V113" s="109">
        <f t="shared" si="40"/>
        <v>139.59185549340842</v>
      </c>
      <c r="W113" s="188">
        <f t="shared" si="41"/>
        <v>139.59185549340842</v>
      </c>
      <c r="X113" s="217"/>
    </row>
    <row r="114" spans="1:24" x14ac:dyDescent="0.2">
      <c r="A114" s="1">
        <v>105</v>
      </c>
      <c r="B114" s="1">
        <v>9.94</v>
      </c>
      <c r="E114" s="7">
        <f t="shared" si="42"/>
        <v>11.430999999999999</v>
      </c>
      <c r="F114" s="7">
        <f t="shared" si="29"/>
        <v>11.430999999999999</v>
      </c>
      <c r="G114" s="179">
        <f t="shared" si="30"/>
        <v>0</v>
      </c>
      <c r="H114" s="179">
        <f t="shared" si="31"/>
        <v>0</v>
      </c>
      <c r="I114" s="179">
        <f t="shared" si="32"/>
        <v>0</v>
      </c>
      <c r="J114" s="6">
        <f t="shared" si="43"/>
        <v>1.4372676950673688</v>
      </c>
      <c r="K114" s="129">
        <v>1</v>
      </c>
      <c r="L114" s="6">
        <f t="shared" si="44"/>
        <v>143.92160551548019</v>
      </c>
      <c r="M114" s="191">
        <f t="shared" si="33"/>
        <v>143.92160551548019</v>
      </c>
      <c r="N114" s="131">
        <f t="shared" si="34"/>
        <v>143.92160551548019</v>
      </c>
      <c r="O114" s="191">
        <f t="shared" si="35"/>
        <v>143.92160551548019</v>
      </c>
      <c r="P114" s="191">
        <f t="shared" si="36"/>
        <v>143.92160551548019</v>
      </c>
      <c r="Q114" s="6">
        <f t="shared" si="45"/>
        <v>143.92160551548019</v>
      </c>
      <c r="R114" s="177">
        <f t="shared" si="37"/>
        <v>143.92160551548019</v>
      </c>
      <c r="S114" s="177">
        <f t="shared" si="38"/>
        <v>143.92160551548019</v>
      </c>
      <c r="T114" s="177">
        <f t="shared" si="39"/>
        <v>143.92160551548019</v>
      </c>
      <c r="U114" s="172">
        <f>IF(VLEESKALKOENEN!$H$15="ja",L114-((E114-G114*95%-I114)/E114*L114)*$R$6,L114-((E114-G114*80%-I114)/E114*L114)*$R$6)</f>
        <v>143.92160551548019</v>
      </c>
      <c r="V114" s="109">
        <f t="shared" si="40"/>
        <v>143.92160551548019</v>
      </c>
      <c r="W114" s="188">
        <f t="shared" si="41"/>
        <v>143.92160551548019</v>
      </c>
      <c r="X114" s="217"/>
    </row>
    <row r="115" spans="1:24" x14ac:dyDescent="0.2">
      <c r="A115" s="1">
        <v>106</v>
      </c>
      <c r="B115" s="1">
        <v>10.050000000000001</v>
      </c>
      <c r="E115" s="7">
        <f t="shared" si="42"/>
        <v>11.557499999999999</v>
      </c>
      <c r="F115" s="7">
        <f t="shared" si="29"/>
        <v>11.557499999999999</v>
      </c>
      <c r="G115" s="179">
        <f t="shared" si="30"/>
        <v>0</v>
      </c>
      <c r="H115" s="179">
        <f t="shared" si="31"/>
        <v>0</v>
      </c>
      <c r="I115" s="179">
        <f t="shared" si="32"/>
        <v>0</v>
      </c>
      <c r="J115" s="6">
        <f t="shared" si="43"/>
        <v>1.4639582204658335</v>
      </c>
      <c r="K115" s="129">
        <v>1</v>
      </c>
      <c r="L115" s="6">
        <f t="shared" si="44"/>
        <v>148.21654688537669</v>
      </c>
      <c r="M115" s="191">
        <f t="shared" si="33"/>
        <v>148.21654688537669</v>
      </c>
      <c r="N115" s="131">
        <f t="shared" si="34"/>
        <v>148.21654688537669</v>
      </c>
      <c r="O115" s="191">
        <f t="shared" si="35"/>
        <v>148.21654688537669</v>
      </c>
      <c r="P115" s="191">
        <f t="shared" si="36"/>
        <v>148.21654688537669</v>
      </c>
      <c r="Q115" s="6">
        <f t="shared" si="45"/>
        <v>148.21654688537669</v>
      </c>
      <c r="R115" s="177">
        <f t="shared" si="37"/>
        <v>148.21654688537669</v>
      </c>
      <c r="S115" s="177">
        <f t="shared" si="38"/>
        <v>148.21654688537669</v>
      </c>
      <c r="T115" s="177">
        <f t="shared" si="39"/>
        <v>148.21654688537669</v>
      </c>
      <c r="U115" s="172">
        <f>IF(VLEESKALKOENEN!$H$15="ja",L115-((E115-G115*95%-I115)/E115*L115)*$R$6,L115-((E115-G115*80%-I115)/E115*L115)*$R$6)</f>
        <v>148.21654688537669</v>
      </c>
      <c r="V115" s="109">
        <f t="shared" si="40"/>
        <v>148.21654688537669</v>
      </c>
      <c r="W115" s="188">
        <f t="shared" si="41"/>
        <v>148.21654688537669</v>
      </c>
      <c r="X115" s="217"/>
    </row>
    <row r="116" spans="1:24" x14ac:dyDescent="0.2">
      <c r="A116" s="1">
        <v>107</v>
      </c>
      <c r="B116" s="1">
        <v>10.17</v>
      </c>
      <c r="E116" s="7">
        <f t="shared" si="42"/>
        <v>11.695499999999999</v>
      </c>
      <c r="F116" s="7">
        <f t="shared" ref="F116:F121" si="46">E116-G116</f>
        <v>11.695499999999999</v>
      </c>
      <c r="G116" s="179">
        <f t="shared" ref="G116:G121" si="47">IF($R$4&gt;0&lt;E116,E116,IF($R$4&gt;E116,E116,$R$4))</f>
        <v>0</v>
      </c>
      <c r="H116" s="179">
        <f t="shared" ref="H116:H121" si="48">IF(E116&lt;$R$5,E116-G116,$R$5)</f>
        <v>0</v>
      </c>
      <c r="I116" s="179">
        <f t="shared" ref="I116:I121" si="49">MIN(R$5,E116-G116)</f>
        <v>0</v>
      </c>
      <c r="J116" s="6">
        <f t="shared" si="43"/>
        <v>1.4911443975431682</v>
      </c>
      <c r="K116" s="129">
        <v>1</v>
      </c>
      <c r="L116" s="6">
        <f t="shared" si="44"/>
        <v>152.77159068084325</v>
      </c>
      <c r="M116" s="191">
        <f t="shared" ref="M116:M121" si="50">IF(E116&gt;$R$5,L116-(R$5)/E116*L116*99%,L116-(E116)/E116*L116*99%)</f>
        <v>152.77159068084325</v>
      </c>
      <c r="N116" s="131">
        <f t="shared" ref="N116:N121" si="51">(((($J116*(1-$R$2))-$J$3)/1000*$F116*24*365*$K116)*(1-R$5))+(((($J116*(1-$R$2))-$J$3)/1000*$G116*24*365*$K116)*(1-R$3))</f>
        <v>152.77159068084325</v>
      </c>
      <c r="O116" s="191">
        <f t="shared" ref="O116:O121" si="52">(((($J116)-$J$3)/1000*$F116*24*365*$K116))+(((($J116*(1-$R$2))-$J$3)/1000*$G116*24*365*$K116)*(1-R$3))</f>
        <v>152.77159068084325</v>
      </c>
      <c r="P116" s="191">
        <f t="shared" ref="P116:P121" si="53">IF(I116=0,L116,IF(I116&gt;$R$5,L116-(R$5)/E116*L116*99%,L116-(I116)/E116*L116*99%))</f>
        <v>152.77159068084325</v>
      </c>
      <c r="Q116" s="6">
        <f t="shared" si="45"/>
        <v>152.77159068084325</v>
      </c>
      <c r="R116" s="177">
        <f t="shared" ref="R116:R121" si="54">IF(E116-G116-H116&gt;=0,L116-((E116-G116*80%-H116*95%)/E116*L116)*$R$6,IF(G116&gt;H116,L116-((E116-G116)/E116*L116)*$R$6,L116-((E116-H116)/E116*L116)*$R$6))</f>
        <v>152.77159068084325</v>
      </c>
      <c r="S116" s="177">
        <f t="shared" ref="S116:S121" si="55">IF(E116-G116-H116&gt;=0,L116-((E116-G116-H116)/E116*L116)*$R$6,IF(G116&gt;H116,L116-((E116-G116)/E116*L116)*$R$6,L116-((E116-H116)/E116*L116)*$R$6))</f>
        <v>152.77159068084325</v>
      </c>
      <c r="T116" s="177">
        <f t="shared" ref="T116:T121" si="56">L116-(E116-H116)/E116*L116*$R$6</f>
        <v>152.77159068084325</v>
      </c>
      <c r="U116" s="172">
        <f>IF(VLEESKALKOENEN!$H$15="ja",L116-((E116-G116*95%-I116)/E116*L116)*$R$6,L116-((E116-G116*80%-I116)/E116*L116)*$R$6)</f>
        <v>152.77159068084325</v>
      </c>
      <c r="V116" s="109">
        <f t="shared" ref="V116:V121" si="57">L116-((E116-G116-I116)/E116*L116)*$R$6</f>
        <v>152.77159068084325</v>
      </c>
      <c r="W116" s="188">
        <f t="shared" ref="W116:W121" si="58">L116-(E116-H116)/E116*L116*$R$6</f>
        <v>152.77159068084325</v>
      </c>
      <c r="X116" s="217"/>
    </row>
    <row r="117" spans="1:24" x14ac:dyDescent="0.2">
      <c r="A117" s="1">
        <v>108</v>
      </c>
      <c r="B117" s="1">
        <v>10.29</v>
      </c>
      <c r="E117" s="7">
        <f t="shared" si="42"/>
        <v>11.833499999999997</v>
      </c>
      <c r="F117" s="7">
        <f t="shared" si="46"/>
        <v>11.833499999999997</v>
      </c>
      <c r="G117" s="179">
        <f t="shared" si="47"/>
        <v>0</v>
      </c>
      <c r="H117" s="179">
        <f t="shared" si="48"/>
        <v>0</v>
      </c>
      <c r="I117" s="179">
        <f t="shared" si="49"/>
        <v>0</v>
      </c>
      <c r="J117" s="6">
        <f t="shared" si="43"/>
        <v>1.5188354307111678</v>
      </c>
      <c r="K117" s="129">
        <v>1</v>
      </c>
      <c r="L117" s="6">
        <f t="shared" si="44"/>
        <v>157.44469824724845</v>
      </c>
      <c r="M117" s="191">
        <f t="shared" si="50"/>
        <v>157.44469824724845</v>
      </c>
      <c r="N117" s="131">
        <f t="shared" si="51"/>
        <v>157.44469824724845</v>
      </c>
      <c r="O117" s="191">
        <f t="shared" si="52"/>
        <v>157.44469824724845</v>
      </c>
      <c r="P117" s="191">
        <f t="shared" si="53"/>
        <v>157.44469824724845</v>
      </c>
      <c r="Q117" s="6">
        <f t="shared" si="45"/>
        <v>157.44469824724845</v>
      </c>
      <c r="R117" s="177">
        <f t="shared" si="54"/>
        <v>157.44469824724845</v>
      </c>
      <c r="S117" s="177">
        <f t="shared" si="55"/>
        <v>157.44469824724845</v>
      </c>
      <c r="T117" s="177">
        <f t="shared" si="56"/>
        <v>157.44469824724845</v>
      </c>
      <c r="U117" s="172">
        <f>IF(VLEESKALKOENEN!$H$15="ja",L117-((E117-G117*95%-I117)/E117*L117)*$R$6,L117-((E117-G117*80%-I117)/E117*L117)*$R$6)</f>
        <v>157.44469824724845</v>
      </c>
      <c r="V117" s="109">
        <f t="shared" si="57"/>
        <v>157.44469824724845</v>
      </c>
      <c r="W117" s="188">
        <f t="shared" si="58"/>
        <v>157.44469824724845</v>
      </c>
      <c r="X117" s="217"/>
    </row>
    <row r="118" spans="1:24" x14ac:dyDescent="0.2">
      <c r="A118" s="1">
        <v>109</v>
      </c>
      <c r="B118" s="1">
        <v>10.4</v>
      </c>
      <c r="E118" s="7">
        <f t="shared" si="42"/>
        <v>11.959999999999999</v>
      </c>
      <c r="F118" s="7">
        <f t="shared" si="46"/>
        <v>11.959999999999999</v>
      </c>
      <c r="G118" s="179">
        <f t="shared" si="47"/>
        <v>0</v>
      </c>
      <c r="H118" s="179">
        <f t="shared" si="48"/>
        <v>0</v>
      </c>
      <c r="I118" s="179">
        <f t="shared" si="49"/>
        <v>0</v>
      </c>
      <c r="J118" s="6">
        <f t="shared" si="43"/>
        <v>1.5470406953105251</v>
      </c>
      <c r="K118" s="129">
        <v>1</v>
      </c>
      <c r="L118" s="6">
        <f t="shared" si="44"/>
        <v>162.08283483140559</v>
      </c>
      <c r="M118" s="191">
        <f t="shared" si="50"/>
        <v>162.08283483140559</v>
      </c>
      <c r="N118" s="131">
        <f t="shared" si="51"/>
        <v>162.08283483140559</v>
      </c>
      <c r="O118" s="191">
        <f t="shared" si="52"/>
        <v>162.08283483140559</v>
      </c>
      <c r="P118" s="191">
        <f t="shared" si="53"/>
        <v>162.08283483140559</v>
      </c>
      <c r="Q118" s="6">
        <f t="shared" si="45"/>
        <v>162.08283483140559</v>
      </c>
      <c r="R118" s="177">
        <f t="shared" si="54"/>
        <v>162.08283483140559</v>
      </c>
      <c r="S118" s="177">
        <f t="shared" si="55"/>
        <v>162.08283483140559</v>
      </c>
      <c r="T118" s="177">
        <f t="shared" si="56"/>
        <v>162.08283483140559</v>
      </c>
      <c r="U118" s="172">
        <f>IF(VLEESKALKOENEN!$H$15="ja",L118-((E118-G118*95%-I118)/E118*L118)*$R$6,L118-((E118-G118*80%-I118)/E118*L118)*$R$6)</f>
        <v>162.08283483140559</v>
      </c>
      <c r="V118" s="109">
        <f t="shared" si="57"/>
        <v>162.08283483140559</v>
      </c>
      <c r="W118" s="188">
        <f t="shared" si="58"/>
        <v>162.08283483140559</v>
      </c>
      <c r="X118" s="217"/>
    </row>
    <row r="119" spans="1:24" x14ac:dyDescent="0.2">
      <c r="A119" s="1">
        <v>110</v>
      </c>
      <c r="B119" s="1">
        <v>10.52</v>
      </c>
      <c r="E119" s="7">
        <f t="shared" si="42"/>
        <v>12.097999999999999</v>
      </c>
      <c r="F119" s="7">
        <f t="shared" si="46"/>
        <v>12.097999999999999</v>
      </c>
      <c r="G119" s="179">
        <f t="shared" si="47"/>
        <v>0</v>
      </c>
      <c r="H119" s="179">
        <f t="shared" si="48"/>
        <v>0</v>
      </c>
      <c r="I119" s="179">
        <f t="shared" si="49"/>
        <v>0</v>
      </c>
      <c r="J119" s="6">
        <f t="shared" si="43"/>
        <v>1.5757697407850417</v>
      </c>
      <c r="K119" s="129">
        <v>1</v>
      </c>
      <c r="L119" s="6">
        <f t="shared" si="44"/>
        <v>166.99768195839272</v>
      </c>
      <c r="M119" s="191">
        <f t="shared" si="50"/>
        <v>166.99768195839272</v>
      </c>
      <c r="N119" s="131">
        <f t="shared" si="51"/>
        <v>166.99768195839272</v>
      </c>
      <c r="O119" s="191">
        <f t="shared" si="52"/>
        <v>166.99768195839272</v>
      </c>
      <c r="P119" s="191">
        <f t="shared" si="53"/>
        <v>166.99768195839272</v>
      </c>
      <c r="Q119" s="6">
        <f t="shared" si="45"/>
        <v>166.99768195839272</v>
      </c>
      <c r="R119" s="177">
        <f t="shared" si="54"/>
        <v>166.99768195839272</v>
      </c>
      <c r="S119" s="177">
        <f t="shared" si="55"/>
        <v>166.99768195839272</v>
      </c>
      <c r="T119" s="177">
        <f t="shared" si="56"/>
        <v>166.99768195839272</v>
      </c>
      <c r="U119" s="172">
        <f>IF(VLEESKALKOENEN!$H$15="ja",L119-((E119-G119*95%-I119)/E119*L119)*$R$6,L119-((E119-G119*80%-I119)/E119*L119)*$R$6)</f>
        <v>166.99768195839272</v>
      </c>
      <c r="V119" s="109">
        <f t="shared" si="57"/>
        <v>166.99768195839272</v>
      </c>
      <c r="W119" s="188">
        <f t="shared" si="58"/>
        <v>166.99768195839272</v>
      </c>
      <c r="X119" s="217"/>
    </row>
    <row r="120" spans="1:24" x14ac:dyDescent="0.2">
      <c r="A120" s="1">
        <v>111</v>
      </c>
      <c r="B120" s="1">
        <v>10.63</v>
      </c>
      <c r="E120" s="7">
        <f t="shared" si="42"/>
        <v>12.224500000000001</v>
      </c>
      <c r="F120" s="7">
        <f t="shared" si="46"/>
        <v>12.224500000000001</v>
      </c>
      <c r="G120" s="179">
        <f t="shared" si="47"/>
        <v>0</v>
      </c>
      <c r="H120" s="179">
        <f t="shared" si="48"/>
        <v>0</v>
      </c>
      <c r="I120" s="179">
        <f t="shared" si="49"/>
        <v>0</v>
      </c>
      <c r="J120" s="6">
        <f t="shared" si="43"/>
        <v>1.6050322939147728</v>
      </c>
      <c r="K120" s="129">
        <v>1</v>
      </c>
      <c r="L120" s="6">
        <f t="shared" si="44"/>
        <v>171.87748334617959</v>
      </c>
      <c r="M120" s="191">
        <f t="shared" si="50"/>
        <v>171.87748334617959</v>
      </c>
      <c r="N120" s="131">
        <f t="shared" si="51"/>
        <v>171.87748334617959</v>
      </c>
      <c r="O120" s="191">
        <f t="shared" si="52"/>
        <v>171.87748334617959</v>
      </c>
      <c r="P120" s="191">
        <f t="shared" si="53"/>
        <v>171.87748334617959</v>
      </c>
      <c r="Q120" s="6">
        <f t="shared" si="45"/>
        <v>171.87748334617959</v>
      </c>
      <c r="R120" s="177">
        <f t="shared" si="54"/>
        <v>171.87748334617959</v>
      </c>
      <c r="S120" s="177">
        <f t="shared" si="55"/>
        <v>171.87748334617959</v>
      </c>
      <c r="T120" s="177">
        <f t="shared" si="56"/>
        <v>171.87748334617959</v>
      </c>
      <c r="U120" s="172">
        <f>IF(VLEESKALKOENEN!$H$15="ja",L120-((E120-G120*95%-I120)/E120*L120)*$R$6,L120-((E120-G120*80%-I120)/E120*L120)*$R$6)</f>
        <v>171.87748334617959</v>
      </c>
      <c r="V120" s="109">
        <f t="shared" si="57"/>
        <v>171.87748334617959</v>
      </c>
      <c r="W120" s="188">
        <f t="shared" si="58"/>
        <v>171.87748334617959</v>
      </c>
      <c r="X120" s="217"/>
    </row>
    <row r="121" spans="1:24" x14ac:dyDescent="0.2">
      <c r="A121" s="1">
        <v>112</v>
      </c>
      <c r="B121" s="1">
        <v>10.74</v>
      </c>
      <c r="E121" s="7">
        <f t="shared" si="42"/>
        <v>12.350999999999999</v>
      </c>
      <c r="F121" s="7">
        <f t="shared" si="46"/>
        <v>12.350999999999999</v>
      </c>
      <c r="G121" s="179">
        <f t="shared" si="47"/>
        <v>0</v>
      </c>
      <c r="H121" s="179">
        <f t="shared" si="48"/>
        <v>0</v>
      </c>
      <c r="I121" s="179">
        <f t="shared" si="49"/>
        <v>0</v>
      </c>
      <c r="J121" s="6">
        <f t="shared" si="43"/>
        <v>1.6348382621092228</v>
      </c>
      <c r="K121" s="129">
        <v>1</v>
      </c>
      <c r="L121" s="6">
        <f t="shared" si="44"/>
        <v>176.88093340772446</v>
      </c>
      <c r="M121" s="191">
        <f t="shared" si="50"/>
        <v>176.88093340772446</v>
      </c>
      <c r="N121" s="131">
        <f t="shared" si="51"/>
        <v>176.88093340772446</v>
      </c>
      <c r="O121" s="191">
        <f t="shared" si="52"/>
        <v>176.88093340772446</v>
      </c>
      <c r="P121" s="191">
        <f t="shared" si="53"/>
        <v>176.88093340772446</v>
      </c>
      <c r="Q121" s="6">
        <f t="shared" si="45"/>
        <v>176.88093340772446</v>
      </c>
      <c r="R121" s="177">
        <f t="shared" si="54"/>
        <v>176.88093340772446</v>
      </c>
      <c r="S121" s="177">
        <f t="shared" si="55"/>
        <v>176.88093340772446</v>
      </c>
      <c r="T121" s="177">
        <f t="shared" si="56"/>
        <v>176.88093340772446</v>
      </c>
      <c r="U121" s="172">
        <f>IF(VLEESKALKOENEN!$H$15="ja",L121-((E121-G121*95%-I121)/E121*L121)*$R$6,L121-((E121-G121*80%-I121)/E121*L121)*$R$6)</f>
        <v>176.88093340772446</v>
      </c>
      <c r="V121" s="109">
        <f t="shared" si="57"/>
        <v>176.88093340772446</v>
      </c>
      <c r="W121" s="188">
        <f t="shared" si="58"/>
        <v>176.88093340772446</v>
      </c>
      <c r="X121" s="217"/>
    </row>
    <row r="122" spans="1:24" x14ac:dyDescent="0.2">
      <c r="A122" s="1">
        <v>113</v>
      </c>
      <c r="E122" s="7"/>
      <c r="F122" s="7"/>
      <c r="G122" s="179"/>
      <c r="H122" s="179"/>
      <c r="I122" s="179"/>
      <c r="J122" s="6"/>
      <c r="K122" s="13"/>
      <c r="L122" s="6"/>
      <c r="M122" s="191"/>
      <c r="N122" s="131"/>
      <c r="O122" s="191"/>
      <c r="P122" s="191"/>
      <c r="Q122" s="6"/>
      <c r="R122" s="177"/>
      <c r="S122" s="177"/>
      <c r="T122" s="177"/>
      <c r="U122" s="172"/>
      <c r="V122" s="109"/>
      <c r="W122" s="188"/>
      <c r="X122" s="217"/>
    </row>
    <row r="123" spans="1:24" x14ac:dyDescent="0.2">
      <c r="E123" s="7"/>
      <c r="F123" s="7"/>
      <c r="G123" s="179"/>
      <c r="H123" s="179"/>
      <c r="I123" s="179"/>
      <c r="J123" s="6"/>
      <c r="K123" s="13"/>
      <c r="L123" s="6"/>
      <c r="M123" s="191"/>
      <c r="N123" s="131"/>
      <c r="O123" s="191"/>
      <c r="P123" s="191"/>
      <c r="Q123" s="6"/>
      <c r="R123" s="177"/>
      <c r="S123" s="177"/>
      <c r="T123" s="177"/>
      <c r="U123" s="172"/>
      <c r="V123" s="109"/>
      <c r="W123" s="188"/>
      <c r="X123" s="217"/>
    </row>
    <row r="124" spans="1:24" x14ac:dyDescent="0.2">
      <c r="E124" s="7"/>
      <c r="F124" s="7"/>
      <c r="G124" s="179"/>
      <c r="H124" s="179"/>
      <c r="I124" s="179"/>
      <c r="J124" s="6"/>
      <c r="K124" s="13"/>
      <c r="L124" s="6"/>
      <c r="M124" s="191"/>
      <c r="N124" s="131"/>
      <c r="O124" s="191"/>
      <c r="P124" s="191"/>
      <c r="Q124" s="6"/>
      <c r="R124" s="177"/>
      <c r="S124" s="177"/>
      <c r="T124" s="177"/>
      <c r="U124" s="172"/>
      <c r="V124" s="109"/>
      <c r="W124" s="188"/>
      <c r="X124" s="217"/>
    </row>
    <row r="125" spans="1:24" x14ac:dyDescent="0.2">
      <c r="M125" s="17" t="s">
        <v>33</v>
      </c>
      <c r="O125" s="190" t="s">
        <v>33</v>
      </c>
      <c r="P125" s="199"/>
      <c r="Q125" s="1">
        <f>I50/(E50-G50)*(L50-(L50-O50)/80%)*5%</f>
        <v>0</v>
      </c>
      <c r="R125" s="33" t="s">
        <v>33</v>
      </c>
      <c r="S125" s="108"/>
      <c r="T125" s="108"/>
      <c r="U125" s="173"/>
      <c r="W125" s="32" t="s">
        <v>33</v>
      </c>
    </row>
    <row r="126" spans="1:24" x14ac:dyDescent="0.2">
      <c r="B126" s="5">
        <f>AVERAGE(B9:B51)</f>
        <v>0.83619047619047626</v>
      </c>
      <c r="E126" s="7">
        <f>AVERAGE(E10:E51)</f>
        <v>0.96161904761904771</v>
      </c>
      <c r="G126" s="1" t="s">
        <v>33</v>
      </c>
      <c r="L126" s="1" t="s">
        <v>33</v>
      </c>
      <c r="M126" s="190"/>
      <c r="O126" s="17"/>
      <c r="P126" s="200">
        <f>IF(R$5&lt;E5,R$5/E47*(L47-(L47-O47)/80%)*95%,E$5/E47*(L47-(L47-O47)/80%)*95%)</f>
        <v>0</v>
      </c>
      <c r="Q126" s="1">
        <f>L51-I51/(E51)*(L51-(L51-O51)/80%)*95%</f>
        <v>10.130020176281718</v>
      </c>
      <c r="R126" s="1">
        <f>(L45-(L45-O45)/80%)</f>
        <v>6.7932220039058997</v>
      </c>
      <c r="S126" s="107">
        <f>5%*R126</f>
        <v>0.339661100195295</v>
      </c>
      <c r="T126" s="107" t="s">
        <v>33</v>
      </c>
      <c r="U126" s="174" t="s">
        <v>33</v>
      </c>
    </row>
    <row r="127" spans="1:24" x14ac:dyDescent="0.2">
      <c r="D127" s="1" t="s">
        <v>185</v>
      </c>
      <c r="F127" s="157">
        <v>0</v>
      </c>
      <c r="H127" s="1" t="s">
        <v>33</v>
      </c>
      <c r="M127" s="17"/>
      <c r="O127" s="191"/>
      <c r="P127" s="17">
        <f>L51-R$5/E51*L51*95%</f>
        <v>10.130020176281718</v>
      </c>
      <c r="Q127" s="1">
        <f>E49/(E49-G49)*(L49-(L49-O49)/80%)*(1-95%)</f>
        <v>0.44441576103149782</v>
      </c>
      <c r="R127" s="1">
        <f>I51/(E51-G51)</f>
        <v>0</v>
      </c>
      <c r="U127" s="173"/>
    </row>
    <row r="128" spans="1:24" x14ac:dyDescent="0.2">
      <c r="E128" s="7">
        <f>SUM(E10:E51)</f>
        <v>40.388000000000005</v>
      </c>
      <c r="F128" s="7">
        <f>SUM(F10:F51)</f>
        <v>40.388000000000005</v>
      </c>
      <c r="G128" s="7">
        <f>SUM(G10:G51)</f>
        <v>0</v>
      </c>
      <c r="H128" s="7"/>
      <c r="I128" s="7"/>
      <c r="K128" s="33" t="s">
        <v>186</v>
      </c>
      <c r="L128" s="7">
        <f>AVERAGE(L10:L122)</f>
        <v>44.443554272820244</v>
      </c>
      <c r="M128" s="23">
        <f>AVERAGE(M10:M122)</f>
        <v>44.443554272820244</v>
      </c>
      <c r="N128" s="158">
        <f>AVERAGE(N10:N122)</f>
        <v>44.443554272820244</v>
      </c>
      <c r="O128" s="23">
        <f>AVERAGE(O10:O125)</f>
        <v>44.443554272820244</v>
      </c>
      <c r="P128" s="23">
        <f>AVERAGE(P10:P125)</f>
        <v>44.443554272820244</v>
      </c>
      <c r="Q128" s="158">
        <f t="shared" ref="Q128:W128" si="59">AVERAGE(Q10:Q122)</f>
        <v>44.443554272820244</v>
      </c>
      <c r="R128" s="158">
        <f t="shared" si="59"/>
        <v>44.443554272820244</v>
      </c>
      <c r="S128" s="158">
        <f t="shared" si="59"/>
        <v>44.443554272820244</v>
      </c>
      <c r="T128" s="158">
        <f t="shared" si="59"/>
        <v>44.443554272820244</v>
      </c>
      <c r="U128" s="158">
        <f t="shared" si="59"/>
        <v>44.443554272820244</v>
      </c>
      <c r="V128" s="158">
        <f t="shared" si="59"/>
        <v>44.443554272820244</v>
      </c>
      <c r="W128" s="158">
        <f t="shared" si="59"/>
        <v>44.443554272820244</v>
      </c>
      <c r="X128" s="33" t="s">
        <v>33</v>
      </c>
    </row>
    <row r="129" spans="4:23" x14ac:dyDescent="0.2">
      <c r="F129" s="13">
        <f>F128/$E$128</f>
        <v>1</v>
      </c>
      <c r="G129" s="13">
        <f>G128/$E$128</f>
        <v>0</v>
      </c>
      <c r="H129" s="13"/>
      <c r="I129" s="13"/>
      <c r="K129" s="33" t="s">
        <v>187</v>
      </c>
      <c r="L129" s="7">
        <f t="shared" ref="L129" si="60">L128*0.81</f>
        <v>35.999278960984398</v>
      </c>
      <c r="M129" s="23">
        <f t="shared" ref="M129:N129" si="61">M128*0.81</f>
        <v>35.999278960984398</v>
      </c>
      <c r="N129" s="158">
        <f t="shared" si="61"/>
        <v>35.999278960984398</v>
      </c>
      <c r="O129" s="23">
        <f t="shared" ref="O129:Q129" si="62">O128*0.81</f>
        <v>35.999278960984398</v>
      </c>
      <c r="P129" s="23">
        <f t="shared" si="62"/>
        <v>35.999278960984398</v>
      </c>
      <c r="Q129" s="158">
        <f t="shared" si="62"/>
        <v>35.999278960984398</v>
      </c>
      <c r="R129" s="158">
        <f t="shared" ref="R129:W129" si="63">R128*0.81</f>
        <v>35.999278960984398</v>
      </c>
      <c r="S129" s="158">
        <f t="shared" si="63"/>
        <v>35.999278960984398</v>
      </c>
      <c r="T129" s="158">
        <f t="shared" si="63"/>
        <v>35.999278960984398</v>
      </c>
      <c r="U129" s="175">
        <f t="shared" si="63"/>
        <v>35.999278960984398</v>
      </c>
      <c r="V129" s="158">
        <f t="shared" si="63"/>
        <v>35.999278960984398</v>
      </c>
      <c r="W129" s="158">
        <f t="shared" si="63"/>
        <v>35.999278960984398</v>
      </c>
    </row>
    <row r="130" spans="4:23" x14ac:dyDescent="0.2">
      <c r="D130" s="1" t="s">
        <v>188</v>
      </c>
      <c r="K130" s="1" t="s">
        <v>184</v>
      </c>
      <c r="L130" s="159">
        <f t="shared" ref="L130:V130" si="64">1-(L129/$L$129)</f>
        <v>0</v>
      </c>
      <c r="M130" s="192">
        <f t="shared" si="64"/>
        <v>0</v>
      </c>
      <c r="N130" s="159">
        <f t="shared" si="64"/>
        <v>0</v>
      </c>
      <c r="O130" s="192">
        <f t="shared" ref="O130:Q130" si="65">1-(O129/$L$129)</f>
        <v>0</v>
      </c>
      <c r="P130" s="192">
        <f>1-(P129/($L$129))</f>
        <v>0</v>
      </c>
      <c r="Q130" s="159">
        <f t="shared" si="65"/>
        <v>0</v>
      </c>
      <c r="R130" s="159">
        <f>1-(R129/$L$129)</f>
        <v>0</v>
      </c>
      <c r="S130" s="159">
        <f>1-(S129/$L$129)</f>
        <v>0</v>
      </c>
      <c r="T130" s="159">
        <f>1-(T129/$L$129)</f>
        <v>0</v>
      </c>
      <c r="U130" s="176">
        <f t="shared" si="64"/>
        <v>0</v>
      </c>
      <c r="V130" s="159">
        <f t="shared" si="64"/>
        <v>0</v>
      </c>
      <c r="W130" s="159">
        <f t="shared" ref="W130" si="66">1-(W129/$L$129)</f>
        <v>0</v>
      </c>
    </row>
    <row r="131" spans="4:23" x14ac:dyDescent="0.2">
      <c r="P131" s="218">
        <f>M130-P130</f>
        <v>0</v>
      </c>
    </row>
    <row r="132" spans="4:23" x14ac:dyDescent="0.2">
      <c r="D132" s="157"/>
      <c r="O132" s="6">
        <f>O51+P51</f>
        <v>20.260040352563436</v>
      </c>
      <c r="P132" s="1">
        <f>(L51-I51/(E51-G51)*(L51-(L51-O51)/80%))*95%</f>
        <v>9.6235191674676326</v>
      </c>
      <c r="W132" s="32" t="s">
        <v>33</v>
      </c>
    </row>
    <row r="133" spans="4:23" x14ac:dyDescent="0.2">
      <c r="E133" s="7"/>
      <c r="P133" s="1">
        <f>(L51-I51/(E51-G51))*(1-95%)</f>
        <v>0.50650100881408633</v>
      </c>
      <c r="Q133" s="1" t="s">
        <v>33</v>
      </c>
    </row>
    <row r="134" spans="4:23" x14ac:dyDescent="0.2">
      <c r="P134" s="1">
        <f>(L51-I51/(E51-G51))*5%</f>
        <v>0.50650100881408588</v>
      </c>
    </row>
    <row r="135" spans="4:23" x14ac:dyDescent="0.2">
      <c r="P135" s="1">
        <f>(O51-(L51-O51)/80%)</f>
        <v>10.130020176281718</v>
      </c>
    </row>
    <row r="136" spans="4:23" x14ac:dyDescent="0.2">
      <c r="P136" s="1">
        <f>I51/(E51-G51)</f>
        <v>0</v>
      </c>
    </row>
    <row r="137" spans="4:23" x14ac:dyDescent="0.2">
      <c r="N137" s="1">
        <f>20%*O137</f>
        <v>0</v>
      </c>
      <c r="O137" s="6">
        <f>L51-O51</f>
        <v>0</v>
      </c>
    </row>
    <row r="138" spans="4:23" x14ac:dyDescent="0.2">
      <c r="N138" s="6">
        <f>O51-N137</f>
        <v>10.130020176281718</v>
      </c>
      <c r="O138" s="1">
        <f>O137/95%</f>
        <v>0</v>
      </c>
    </row>
    <row r="139" spans="4:23" x14ac:dyDescent="0.2">
      <c r="N139" s="1">
        <f>95%*N138</f>
        <v>9.6235191674676326</v>
      </c>
      <c r="O139" s="6">
        <f>L51-O138</f>
        <v>10.130020176281718</v>
      </c>
    </row>
    <row r="140" spans="4:23" x14ac:dyDescent="0.2">
      <c r="N140" s="6">
        <f>L51-P51</f>
        <v>0</v>
      </c>
      <c r="O140" s="1">
        <f>5%*O139</f>
        <v>0.50650100881408588</v>
      </c>
    </row>
    <row r="141" spans="4:23" x14ac:dyDescent="0.2">
      <c r="O141" s="217">
        <f>5.95/L51</f>
        <v>0.58736309468871972</v>
      </c>
    </row>
    <row r="142" spans="4:23" x14ac:dyDescent="0.2">
      <c r="N142" s="1">
        <f>95%*P51</f>
        <v>9.6235191674676326</v>
      </c>
    </row>
  </sheetData>
  <sheetProtection algorithmName="SHA-512" hashValue="g037hTJq+WuSFZG/1IurkCjAIhHRibnae9A8QZ/ptRZ+XcSTJNmkVSUg0yW003vWR9xT5myvxMCe0bKVoy56eA==" saltValue="hSaF/HFeO4CIrB8XwXc8lw==" spinCount="100000" sheet="1" objects="1" scenarios="1"/>
  <mergeCells count="3">
    <mergeCell ref="AB1:AF1"/>
    <mergeCell ref="AC4:AD4"/>
    <mergeCell ref="AE4:AF4"/>
  </mergeCells>
  <printOptions gridLines="1"/>
  <pageMargins left="0.2" right="0.21" top="0.18" bottom="0.17" header="0.17" footer="0.17"/>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77"/>
  <sheetViews>
    <sheetView zoomScale="80" zoomScaleNormal="80" workbookViewId="0">
      <pane xSplit="1" ySplit="8" topLeftCell="G9" activePane="bottomRight" state="frozen"/>
      <selection pane="topRight" activeCell="B1" sqref="B1"/>
      <selection pane="bottomLeft" activeCell="A9" sqref="A9"/>
      <selection pane="bottomRight" sqref="A1:AG1048576"/>
    </sheetView>
  </sheetViews>
  <sheetFormatPr defaultColWidth="8.42578125" defaultRowHeight="12.75" x14ac:dyDescent="0.2"/>
  <cols>
    <col min="1" max="2" width="0" style="1" hidden="1" customWidth="1"/>
    <col min="3" max="3" width="0" style="6" hidden="1" customWidth="1"/>
    <col min="4" max="22" width="0" style="1" hidden="1" customWidth="1"/>
    <col min="23" max="23" width="0" hidden="1" customWidth="1"/>
    <col min="24" max="33" width="0" style="1" hidden="1" customWidth="1"/>
    <col min="34" max="16384" width="8.42578125" style="1"/>
  </cols>
  <sheetData>
    <row r="1" spans="1:32" s="10" customFormat="1" ht="73.150000000000006" customHeight="1" x14ac:dyDescent="0.2">
      <c r="A1" s="10" t="s">
        <v>145</v>
      </c>
      <c r="B1" s="10" t="s">
        <v>218</v>
      </c>
      <c r="C1" s="110" t="s">
        <v>146</v>
      </c>
      <c r="D1" s="10" t="s">
        <v>147</v>
      </c>
      <c r="E1" s="10" t="s">
        <v>148</v>
      </c>
      <c r="F1" s="10" t="s">
        <v>149</v>
      </c>
      <c r="G1" s="10" t="s">
        <v>150</v>
      </c>
      <c r="H1" s="10" t="s">
        <v>203</v>
      </c>
      <c r="I1" s="10" t="s">
        <v>204</v>
      </c>
      <c r="J1" s="10" t="s">
        <v>151</v>
      </c>
      <c r="K1" s="10" t="s">
        <v>152</v>
      </c>
      <c r="L1" s="10" t="s">
        <v>153</v>
      </c>
      <c r="M1" s="19" t="s">
        <v>192</v>
      </c>
      <c r="N1" s="234" t="s">
        <v>154</v>
      </c>
      <c r="O1" s="19" t="s">
        <v>193</v>
      </c>
      <c r="P1" s="19" t="s">
        <v>202</v>
      </c>
      <c r="Q1" s="234" t="s">
        <v>205</v>
      </c>
      <c r="R1" s="15" t="s">
        <v>195</v>
      </c>
      <c r="X1" s="112"/>
      <c r="Y1" s="112"/>
      <c r="Z1" s="112"/>
      <c r="AA1" s="112"/>
      <c r="AB1" s="290" t="s">
        <v>155</v>
      </c>
      <c r="AC1" s="290"/>
      <c r="AD1" s="290"/>
      <c r="AE1" s="290"/>
      <c r="AF1" s="290"/>
    </row>
    <row r="2" spans="1:32" s="10" customFormat="1" ht="16.899999999999999" customHeight="1" x14ac:dyDescent="0.2">
      <c r="C2" s="110"/>
      <c r="J2" s="1" t="s">
        <v>156</v>
      </c>
      <c r="M2" s="19"/>
      <c r="O2" s="19"/>
      <c r="P2" s="19"/>
      <c r="R2" s="113">
        <v>0</v>
      </c>
      <c r="S2" s="114" t="s">
        <v>157</v>
      </c>
      <c r="T2" s="114"/>
      <c r="X2" s="112"/>
      <c r="Y2" s="112"/>
      <c r="Z2" s="112"/>
      <c r="AA2" s="112"/>
      <c r="AB2" s="233"/>
      <c r="AC2" s="233"/>
      <c r="AD2" s="233"/>
      <c r="AE2" s="233"/>
      <c r="AF2" s="233"/>
    </row>
    <row r="3" spans="1:32" s="10" customFormat="1" ht="17.45" customHeight="1" x14ac:dyDescent="0.2">
      <c r="C3" s="110"/>
      <c r="J3" s="1">
        <f>+J4</f>
        <v>0</v>
      </c>
      <c r="M3" s="19"/>
      <c r="O3" s="19"/>
      <c r="P3" s="19"/>
      <c r="R3" s="113">
        <v>0.8</v>
      </c>
      <c r="S3" s="114" t="s">
        <v>189</v>
      </c>
      <c r="T3" s="114"/>
    </row>
    <row r="4" spans="1:32" s="10" customFormat="1" ht="17.45" customHeight="1" x14ac:dyDescent="0.2">
      <c r="C4" s="110"/>
      <c r="M4" s="19"/>
      <c r="O4" s="19"/>
      <c r="P4" s="19"/>
      <c r="R4" s="160">
        <f>IF(VLEESKALKOENEN!$H$16=0,VLEESKALKOENEN!F14,VLEESKALKOENEN!$H$16)</f>
        <v>0</v>
      </c>
      <c r="S4" s="114" t="s">
        <v>158</v>
      </c>
      <c r="T4" s="114"/>
      <c r="AC4" s="291" t="s">
        <v>159</v>
      </c>
      <c r="AD4" s="291"/>
      <c r="AE4" s="292" t="s">
        <v>160</v>
      </c>
      <c r="AF4" s="292"/>
    </row>
    <row r="5" spans="1:32" s="10" customFormat="1" ht="17.45" customHeight="1" x14ac:dyDescent="0.2">
      <c r="C5" s="110"/>
      <c r="M5" s="19"/>
      <c r="O5" s="19"/>
      <c r="P5" s="19"/>
      <c r="R5" s="160">
        <f>VLEESKALKOENEN!$F$20</f>
        <v>0</v>
      </c>
      <c r="S5" s="114" t="s">
        <v>201</v>
      </c>
      <c r="T5" s="114"/>
      <c r="Y5" s="117"/>
      <c r="Z5" s="117"/>
      <c r="AB5" t="s">
        <v>161</v>
      </c>
      <c r="AC5" s="118" t="s">
        <v>162</v>
      </c>
      <c r="AD5" s="119" t="s">
        <v>163</v>
      </c>
      <c r="AE5" s="118" t="s">
        <v>162</v>
      </c>
      <c r="AF5" s="119" t="s">
        <v>163</v>
      </c>
    </row>
    <row r="6" spans="1:32" s="33" customFormat="1" x14ac:dyDescent="0.2">
      <c r="A6" s="10"/>
      <c r="B6" s="10"/>
      <c r="C6" s="110"/>
      <c r="D6" s="10"/>
      <c r="E6" s="10"/>
      <c r="F6" s="10"/>
      <c r="G6" s="10"/>
      <c r="H6" s="10"/>
      <c r="I6" s="10"/>
      <c r="J6" s="10"/>
      <c r="K6" s="10"/>
      <c r="L6" s="10"/>
      <c r="M6" s="19"/>
      <c r="N6" s="10"/>
      <c r="O6" s="19"/>
      <c r="P6" s="201"/>
      <c r="Q6" s="10"/>
      <c r="R6" s="116">
        <f>IF(VLEESKALKOENEN!$L$20="chemische wasser",35%,IF(VLEESKALKOENEN!$L$20="bio wasser 60%",60%,IF(VLEESKALKOENEN!$L$20="bio wasser 75%",75%,IF(VLEESKALKOENEN!$L$20="biofilter",80%,IF(VLEESKALKOENEN!$L$20="waterluchtwassysteem",33%,IF(VLEESKALKOENEN!$L$20="droogfilterwand",40%,IF(VLEESKALKOENEN!$L$20="ionisatiefilter",57%,IF(VLEESKALKOENEN!$L$20="LUCHTCONDITIONERINGSUNIT",IF(VLEESKALKOENEN!$F$24="Niet alle lucht gaat door luchtconditioneringsunit, dus niet combineren met droog stoffilter","error",80%),0))))))))</f>
        <v>0</v>
      </c>
      <c r="S6" s="114" t="s">
        <v>191</v>
      </c>
      <c r="T6" s="114"/>
      <c r="W6" s="33" t="s">
        <v>33</v>
      </c>
      <c r="X6" s="10"/>
      <c r="AB6"/>
      <c r="AC6" s="120"/>
      <c r="AD6" s="121"/>
      <c r="AE6" s="120"/>
      <c r="AF6" s="121"/>
    </row>
    <row r="7" spans="1:32" x14ac:dyDescent="0.2">
      <c r="A7" s="10"/>
      <c r="B7" s="10"/>
      <c r="C7" s="110"/>
      <c r="D7" s="10"/>
      <c r="E7" s="10"/>
      <c r="F7" s="10"/>
      <c r="G7" s="10"/>
      <c r="H7" s="10"/>
      <c r="I7" s="10"/>
      <c r="J7" s="10"/>
      <c r="K7" s="10"/>
      <c r="L7" s="10"/>
      <c r="M7" s="19"/>
      <c r="N7" s="10"/>
      <c r="O7" s="19"/>
      <c r="P7" s="204">
        <f>Q8+P8</f>
        <v>0</v>
      </c>
      <c r="Q7" s="243">
        <f>Q163</f>
        <v>0</v>
      </c>
      <c r="R7" s="203">
        <f>VLEESKALKOENEN!$F$14</f>
        <v>0</v>
      </c>
      <c r="S7" s="114" t="s">
        <v>206</v>
      </c>
      <c r="T7" s="114"/>
      <c r="V7" s="162"/>
      <c r="W7" s="36"/>
      <c r="X7" s="10"/>
      <c r="AA7" s="10" t="s">
        <v>164</v>
      </c>
      <c r="AB7" s="122" t="s">
        <v>165</v>
      </c>
      <c r="AC7" s="123"/>
      <c r="AD7" s="124"/>
      <c r="AE7" s="123"/>
      <c r="AF7" s="124"/>
    </row>
    <row r="8" spans="1:32" x14ac:dyDescent="0.2">
      <c r="A8" s="10"/>
      <c r="B8" s="10"/>
      <c r="C8" s="110"/>
      <c r="D8" s="10"/>
      <c r="E8" s="10"/>
      <c r="F8" s="10"/>
      <c r="G8" s="10"/>
      <c r="H8" s="10"/>
      <c r="I8" s="10"/>
      <c r="J8" s="10"/>
      <c r="K8" s="10"/>
      <c r="L8" s="168">
        <f>$L$163+1</f>
        <v>1</v>
      </c>
      <c r="M8" s="189">
        <f>MIN(95%,$M$163)</f>
        <v>0</v>
      </c>
      <c r="N8" s="116">
        <f>$N$163</f>
        <v>0</v>
      </c>
      <c r="O8" s="189">
        <f>IF(O163&lt;22%,O163/90%,IF(O163&lt;35%,$O$163/94%,O163/100.5%))</f>
        <v>0</v>
      </c>
      <c r="P8" s="189">
        <f>$P$163</f>
        <v>0</v>
      </c>
      <c r="Q8" s="168">
        <f>MIN((IF(Q163&lt;22%,Q163/94%,IF(Q163&lt;33%,$Q$163/93.5%,IF(Q163&lt;42%,$Q$163/93%,IF(Q163&lt;55%,$Q$163/94.5%,IF(Q163&lt;65%,$Q$163/96%,IF(Q163&lt;76%,$Q$163/96.78%,IF(Q163&lt;85%,$Q$163/98.3%,Q163/99.4%)))))))),95%)</f>
        <v>0</v>
      </c>
      <c r="R8" s="168">
        <f>ROUND($R$163,3)</f>
        <v>0</v>
      </c>
      <c r="S8" s="168">
        <f>ROUND($S$163,3)</f>
        <v>0</v>
      </c>
      <c r="T8" s="168">
        <f>ROUND($T$163,3)</f>
        <v>0</v>
      </c>
      <c r="U8" s="193">
        <f>$U$163</f>
        <v>0</v>
      </c>
      <c r="V8" s="168">
        <f>$V$163</f>
        <v>0</v>
      </c>
      <c r="W8" s="168">
        <f>$W$163</f>
        <v>0</v>
      </c>
      <c r="X8" s="125" t="s">
        <v>166</v>
      </c>
      <c r="AB8" s="126" t="s">
        <v>167</v>
      </c>
      <c r="AC8" s="127">
        <v>13</v>
      </c>
      <c r="AD8" s="128">
        <v>19</v>
      </c>
      <c r="AE8" s="127">
        <v>13</v>
      </c>
      <c r="AF8" s="128">
        <v>19</v>
      </c>
    </row>
    <row r="9" spans="1:32" ht="57" customHeight="1" x14ac:dyDescent="0.2">
      <c r="A9" s="33">
        <v>0</v>
      </c>
      <c r="B9" s="33"/>
      <c r="C9" s="108"/>
      <c r="D9" s="33"/>
      <c r="E9" s="33"/>
      <c r="F9" s="33"/>
      <c r="G9" s="33"/>
      <c r="H9" s="33"/>
      <c r="I9" s="33"/>
      <c r="J9" s="33"/>
      <c r="K9" s="129">
        <v>1</v>
      </c>
      <c r="L9" s="33"/>
      <c r="M9" s="190"/>
      <c r="N9" s="33"/>
      <c r="O9" s="190" t="s">
        <v>33</v>
      </c>
      <c r="P9" s="202">
        <f>O8+P8</f>
        <v>0</v>
      </c>
      <c r="Q9" s="33" t="s">
        <v>33</v>
      </c>
      <c r="R9" s="169" t="s">
        <v>200</v>
      </c>
      <c r="S9" s="164" t="s">
        <v>194</v>
      </c>
      <c r="T9" s="164" t="s">
        <v>196</v>
      </c>
      <c r="U9" s="171" t="s">
        <v>208</v>
      </c>
      <c r="V9" s="165" t="s">
        <v>190</v>
      </c>
      <c r="W9" s="187" t="s">
        <v>198</v>
      </c>
      <c r="X9" s="33"/>
      <c r="AB9" s="130" t="s">
        <v>168</v>
      </c>
      <c r="AC9" s="127">
        <v>3</v>
      </c>
      <c r="AD9" s="128">
        <v>3</v>
      </c>
      <c r="AE9" s="127">
        <v>3</v>
      </c>
      <c r="AF9" s="128">
        <v>3</v>
      </c>
    </row>
    <row r="10" spans="1:32" x14ac:dyDescent="0.2">
      <c r="A10" s="1">
        <v>1</v>
      </c>
      <c r="B10" s="7">
        <v>0.06</v>
      </c>
      <c r="E10" s="7">
        <f>B10*1.15</f>
        <v>6.8999999999999992E-2</v>
      </c>
      <c r="F10" s="7">
        <f>E10-G10</f>
        <v>6.8999999999999992E-2</v>
      </c>
      <c r="G10" s="179">
        <f t="shared" ref="G10:G35" si="0">IF($R$4&gt;0&lt;E10,E10,IF($R$4&gt;E10,E10,$R$4))</f>
        <v>0</v>
      </c>
      <c r="H10" s="179">
        <f t="shared" ref="H10:H34" si="1">IF(E10&lt;$R$5,E10-G10,$R$5)</f>
        <v>0</v>
      </c>
      <c r="I10" s="179">
        <f t="shared" ref="I10:I50" si="2">MIN(R$5,E10-G10)</f>
        <v>0</v>
      </c>
      <c r="J10" s="6">
        <f>0.2082*EXP(0.0184*A10)</f>
        <v>0.21206634125781271</v>
      </c>
      <c r="K10" s="129">
        <v>1</v>
      </c>
      <c r="L10" s="6">
        <f>J10/1000*E10*24*365</f>
        <v>0.12818137930987231</v>
      </c>
      <c r="M10" s="191">
        <f>IF(E10&gt;$R$5,L10-(R$5)/E10*L10*99%,L10-(E10)/E10*L10*99%)</f>
        <v>0.12818137930987231</v>
      </c>
      <c r="N10" s="131">
        <f t="shared" ref="N10:N37" si="3">(((($J10*(1-$R$2))-$J$3)/1000*$F10*24*365*$K10)*(1-R$5))+(((($J10*(1-$R$2))-$J$3)/1000*$G10*24*365*$K10)*(1-R$3))</f>
        <v>0.12818137930987231</v>
      </c>
      <c r="O10" s="191">
        <f>(((($J10)-$J$3)/1000*$F10*24*365*$K10))+(((($J10)-$J$3)/1000*$G10*24*365*$K10)*(1-R$3))</f>
        <v>0.12818137930987231</v>
      </c>
      <c r="P10" s="191">
        <f t="shared" ref="P10:P50" si="4">IF(I10=0,L10,IF(I10&gt;$R$5,L10-(R$5)/E10*L10*99%,L10-(I10)/E10*L10*99%))</f>
        <v>0.12818137930987231</v>
      </c>
      <c r="Q10" s="6">
        <f>(((($J10)-$J$3)/1000*$F10*24*365*$K10))+(((($J10)-$J$3)/1000*$G10*24*365*$K10)*(1-95%))</f>
        <v>0.12818137930987231</v>
      </c>
      <c r="R10" s="177">
        <f>IF(E10-G10-H10&gt;=0,L10-((E10-G10*80%-H10*95%)/E10*L10)*$R$6,IF(G10&gt;H10,L10-((E10-G10)/E10*L10)*$R$6,L10-((E10-H10)/E10*L10)*$R$6))</f>
        <v>0.12818137930987231</v>
      </c>
      <c r="S10" s="177">
        <f>IF(E10-G10-H10&gt;=0,L10-((E10-G10-H10)/E10*L10)*$R$6,IF(G10&gt;H10,L10-((E10-G10)/E10*L10)*$R$6,L10-((E10-H10)/E10*L10)*$R$6))</f>
        <v>0.12818137930987231</v>
      </c>
      <c r="T10" s="177">
        <f>L10-(E10-H10)/E10*L10*$R$6</f>
        <v>0.12818137930987231</v>
      </c>
      <c r="U10" s="172">
        <f>IF(VLEESKALKOENEN!$H$15="ja",L10-((E10-G10*95%-I10)/E10*L10)*$R$6,L10-((E10-G10*80%-I10)/E10*L10)*$R$6)</f>
        <v>0.12818137930987231</v>
      </c>
      <c r="V10" s="109">
        <f t="shared" ref="V10:V33" si="5">L10-((E10-G10-I10)/E10*L10)*$R$6</f>
        <v>0.12818137930987231</v>
      </c>
      <c r="W10" s="188">
        <f>L10-(E10-H10)/E10*L10*$R$6</f>
        <v>0.12818137930987231</v>
      </c>
      <c r="X10" s="217">
        <f>M10/L10</f>
        <v>1</v>
      </c>
      <c r="AB10" s="130" t="s">
        <v>169</v>
      </c>
      <c r="AC10" s="127">
        <f t="shared" ref="AC10:AD10" si="6">AC11-AC8-AC9</f>
        <v>3</v>
      </c>
      <c r="AD10" s="128">
        <f t="shared" si="6"/>
        <v>11</v>
      </c>
      <c r="AE10" s="127">
        <f>AE11-AE8-AE9</f>
        <v>3</v>
      </c>
      <c r="AF10" s="128">
        <f t="shared" ref="AF10" si="7">AF11-AF8-AF9</f>
        <v>11</v>
      </c>
    </row>
    <row r="11" spans="1:32" x14ac:dyDescent="0.2">
      <c r="A11" s="1">
        <v>2</v>
      </c>
      <c r="B11" s="7">
        <v>7.0000000000000007E-2</v>
      </c>
      <c r="E11" s="7">
        <f t="shared" ref="E11:E74" si="8">B11*1.15</f>
        <v>8.0500000000000002E-2</v>
      </c>
      <c r="F11" s="7">
        <f t="shared" ref="F11:F74" si="9">E11-G11</f>
        <v>8.0500000000000002E-2</v>
      </c>
      <c r="G11" s="179">
        <f t="shared" si="0"/>
        <v>0</v>
      </c>
      <c r="H11" s="179">
        <f t="shared" si="1"/>
        <v>0</v>
      </c>
      <c r="I11" s="179">
        <f t="shared" si="2"/>
        <v>0</v>
      </c>
      <c r="J11" s="6">
        <f t="shared" ref="J11:J74" si="10">0.2082*EXP(0.0184*A11)</f>
        <v>0.21600448172178227</v>
      </c>
      <c r="K11" s="129">
        <v>1</v>
      </c>
      <c r="L11" s="6">
        <f t="shared" ref="L11:L74" si="11">J11/1000*E11*24*365</f>
        <v>0.15232204042056643</v>
      </c>
      <c r="M11" s="191">
        <f t="shared" ref="M11:M74" si="12">IF(E11&gt;$R$5,L11-(R$5)/E11*L11*99%,L11-(E11)/E11*L11*99%)</f>
        <v>0.15232204042056643</v>
      </c>
      <c r="N11" s="131">
        <f t="shared" si="3"/>
        <v>0.15232204042056643</v>
      </c>
      <c r="O11" s="191">
        <f t="shared" ref="O11:O74" si="13">(((($J11)-$J$3)/1000*$F11*24*365*$K11))+(((($J11*(1-$R$2))-$J$3)/1000*$G11*24*365*$K11)*(1-R$3))</f>
        <v>0.15232204042056643</v>
      </c>
      <c r="P11" s="191">
        <f t="shared" si="4"/>
        <v>0.15232204042056643</v>
      </c>
      <c r="Q11" s="6">
        <f t="shared" ref="Q11:Q74" si="14">(((($J11)-$J$3)/1000*$F11*24*365*$K11))+(((($J11)-$J$3)/1000*$G11*24*365*$K11)*(1-95%))</f>
        <v>0.15232204042056643</v>
      </c>
      <c r="R11" s="177">
        <f t="shared" ref="R11:R50" si="15">IF(E11-G11-H11&gt;=0,L11-((E11-G11*80%-H11*95%)/E11*L11)*$R$6,IF(G11&gt;H11,L11-((E11-G11)/E11*L11)*$R$6,L11-((E11-H11)/E11*L11)*$R$6))</f>
        <v>0.15232204042056643</v>
      </c>
      <c r="S11" s="177">
        <f t="shared" ref="S11:S74" si="16">IF(E11-G11-H11&gt;=0,L11-((E11-G11-H11)/E11*L11)*$R$6,IF(G11&gt;H11,L11-((E11-G11)/E11*L11)*$R$6,L11-((E11-H11)/E11*L11)*$R$6))</f>
        <v>0.15232204042056643</v>
      </c>
      <c r="T11" s="177">
        <f t="shared" ref="T11:T74" si="17">L11-(E11-H11)/E11*L11*$R$6</f>
        <v>0.15232204042056643</v>
      </c>
      <c r="U11" s="172">
        <f>IF(VLEESKALKOENEN!$H$15="ja",L11-((E11-G11*95%-I11)/E11*L11)*$R$6,L11-((E11-G11*80%-I11)/E11*L11)*$R$6)</f>
        <v>0.15232204042056643</v>
      </c>
      <c r="V11" s="109">
        <f t="shared" si="5"/>
        <v>0.15232204042056643</v>
      </c>
      <c r="W11" s="188">
        <f t="shared" ref="W11:W74" si="18">L11-(E11-H11)/E11*L11*$R$6</f>
        <v>0.15232204042056643</v>
      </c>
      <c r="X11" s="217">
        <f t="shared" ref="X11:X51" si="19">M11/L11</f>
        <v>1</v>
      </c>
      <c r="AB11" s="130" t="s">
        <v>170</v>
      </c>
      <c r="AC11" s="120">
        <v>19</v>
      </c>
      <c r="AD11" s="121">
        <v>33</v>
      </c>
      <c r="AE11" s="120">
        <v>19</v>
      </c>
      <c r="AF11" s="121">
        <v>33</v>
      </c>
    </row>
    <row r="12" spans="1:32" x14ac:dyDescent="0.2">
      <c r="A12" s="1">
        <v>3</v>
      </c>
      <c r="B12" s="7">
        <v>0.09</v>
      </c>
      <c r="E12" s="7">
        <f t="shared" si="8"/>
        <v>0.10349999999999999</v>
      </c>
      <c r="F12" s="7">
        <f t="shared" si="9"/>
        <v>0.10349999999999999</v>
      </c>
      <c r="G12" s="179">
        <f t="shared" si="0"/>
        <v>0</v>
      </c>
      <c r="H12" s="179">
        <f t="shared" si="1"/>
        <v>0</v>
      </c>
      <c r="I12" s="179">
        <f t="shared" si="2"/>
        <v>0</v>
      </c>
      <c r="J12" s="6">
        <f t="shared" si="10"/>
        <v>0.22001575472636142</v>
      </c>
      <c r="K12" s="129">
        <v>1</v>
      </c>
      <c r="L12" s="6">
        <f t="shared" si="11"/>
        <v>0.19947948418020284</v>
      </c>
      <c r="M12" s="191">
        <f t="shared" si="12"/>
        <v>0.19947948418020284</v>
      </c>
      <c r="N12" s="131">
        <f t="shared" si="3"/>
        <v>0.19947948418020284</v>
      </c>
      <c r="O12" s="191">
        <f t="shared" si="13"/>
        <v>0.19947948418020284</v>
      </c>
      <c r="P12" s="191">
        <f t="shared" si="4"/>
        <v>0.19947948418020284</v>
      </c>
      <c r="Q12" s="6">
        <f t="shared" si="14"/>
        <v>0.19947948418020284</v>
      </c>
      <c r="R12" s="177">
        <f t="shared" si="15"/>
        <v>0.19947948418020284</v>
      </c>
      <c r="S12" s="177">
        <f t="shared" si="16"/>
        <v>0.19947948418020284</v>
      </c>
      <c r="T12" s="177">
        <f t="shared" si="17"/>
        <v>0.19947948418020284</v>
      </c>
      <c r="U12" s="172">
        <f>IF(VLEESKALKOENEN!$H$15="ja",L12-((E12-G12*95%-I12)/E12*L12)*$R$6,L12-((E12-G12*80%-I12)/E12*L12)*$R$6)</f>
        <v>0.19947948418020284</v>
      </c>
      <c r="V12" s="109">
        <f t="shared" si="5"/>
        <v>0.19947948418020284</v>
      </c>
      <c r="W12" s="188">
        <f t="shared" si="18"/>
        <v>0.19947948418020284</v>
      </c>
      <c r="X12" s="217">
        <f t="shared" si="19"/>
        <v>1</v>
      </c>
      <c r="AB12" s="130" t="s">
        <v>171</v>
      </c>
      <c r="AC12" s="133">
        <f t="shared" ref="AC12:AD12" si="20">365/AC11</f>
        <v>19.210526315789473</v>
      </c>
      <c r="AD12" s="134">
        <f t="shared" si="20"/>
        <v>11.060606060606061</v>
      </c>
      <c r="AE12" s="133">
        <f>365/AE11</f>
        <v>19.210526315789473</v>
      </c>
      <c r="AF12" s="134">
        <f t="shared" ref="AF12" si="21">365/AF11</f>
        <v>11.060606060606061</v>
      </c>
    </row>
    <row r="13" spans="1:32" x14ac:dyDescent="0.2">
      <c r="A13" s="1">
        <v>4</v>
      </c>
      <c r="B13" s="7">
        <v>0.1</v>
      </c>
      <c r="E13" s="7">
        <f t="shared" si="8"/>
        <v>0.11499999999999999</v>
      </c>
      <c r="F13" s="7">
        <f t="shared" si="9"/>
        <v>0.11499999999999999</v>
      </c>
      <c r="G13" s="179">
        <f t="shared" si="0"/>
        <v>0</v>
      </c>
      <c r="H13" s="179">
        <f t="shared" si="1"/>
        <v>0</v>
      </c>
      <c r="I13" s="179">
        <f t="shared" si="2"/>
        <v>0</v>
      </c>
      <c r="J13" s="6">
        <f t="shared" si="10"/>
        <v>0.22410151836645426</v>
      </c>
      <c r="K13" s="129">
        <v>1</v>
      </c>
      <c r="L13" s="6">
        <f t="shared" si="11"/>
        <v>0.22575986960236602</v>
      </c>
      <c r="M13" s="191">
        <f t="shared" si="12"/>
        <v>0.22575986960236602</v>
      </c>
      <c r="N13" s="131">
        <f t="shared" si="3"/>
        <v>0.22575986960236602</v>
      </c>
      <c r="O13" s="191">
        <f t="shared" si="13"/>
        <v>0.22575986960236602</v>
      </c>
      <c r="P13" s="191">
        <f t="shared" si="4"/>
        <v>0.22575986960236602</v>
      </c>
      <c r="Q13" s="6">
        <f t="shared" si="14"/>
        <v>0.22575986960236602</v>
      </c>
      <c r="R13" s="177">
        <f t="shared" si="15"/>
        <v>0.22575986960236602</v>
      </c>
      <c r="S13" s="177">
        <f t="shared" si="16"/>
        <v>0.22575986960236602</v>
      </c>
      <c r="T13" s="177">
        <f t="shared" si="17"/>
        <v>0.22575986960236602</v>
      </c>
      <c r="U13" s="172">
        <f>IF(VLEESKALKOENEN!$H$15="ja",L13-((E13-G13*95%-I13)/E13*L13)*$R$6,L13-((E13-G13*80%-I13)/E13*L13)*$R$6)</f>
        <v>0.22575986960236602</v>
      </c>
      <c r="V13" s="109">
        <f t="shared" si="5"/>
        <v>0.22575986960236602</v>
      </c>
      <c r="W13" s="188">
        <f t="shared" si="18"/>
        <v>0.22575986960236602</v>
      </c>
      <c r="X13" s="217">
        <f t="shared" si="19"/>
        <v>1</v>
      </c>
      <c r="AB13" s="126" t="s">
        <v>172</v>
      </c>
      <c r="AC13" s="133">
        <f>AVERAGE(L10:L22)/$AA$23</f>
        <v>6.2358574176964096E-2</v>
      </c>
      <c r="AD13" s="134">
        <f>AVERAGE(L10:L28)/$AA$23</f>
        <v>0.10758544808195439</v>
      </c>
      <c r="AE13" s="133">
        <f>AVERAGE(N10:N22)/$AA$23</f>
        <v>6.2358574176964096E-2</v>
      </c>
      <c r="AF13" s="134">
        <f>AVERAGE(N10:N28)/$AA$23</f>
        <v>0.10758544808195439</v>
      </c>
    </row>
    <row r="14" spans="1:32" x14ac:dyDescent="0.2">
      <c r="A14" s="1">
        <v>5</v>
      </c>
      <c r="B14" s="7">
        <v>0.12</v>
      </c>
      <c r="E14" s="7">
        <f t="shared" si="8"/>
        <v>0.13799999999999998</v>
      </c>
      <c r="F14" s="7">
        <f t="shared" si="9"/>
        <v>0.13799999999999998</v>
      </c>
      <c r="G14" s="179">
        <f t="shared" si="0"/>
        <v>0</v>
      </c>
      <c r="H14" s="179">
        <f t="shared" si="1"/>
        <v>0</v>
      </c>
      <c r="I14" s="179">
        <f t="shared" si="2"/>
        <v>0</v>
      </c>
      <c r="J14" s="6">
        <f t="shared" si="10"/>
        <v>0.22826315595722607</v>
      </c>
      <c r="K14" s="129">
        <v>1</v>
      </c>
      <c r="L14" s="6">
        <f t="shared" si="11"/>
        <v>0.27594276397357137</v>
      </c>
      <c r="M14" s="191">
        <f t="shared" si="12"/>
        <v>0.27594276397357137</v>
      </c>
      <c r="N14" s="131">
        <f t="shared" si="3"/>
        <v>0.27594276397357137</v>
      </c>
      <c r="O14" s="191">
        <f t="shared" si="13"/>
        <v>0.27594276397357137</v>
      </c>
      <c r="P14" s="191">
        <f t="shared" si="4"/>
        <v>0.27594276397357137</v>
      </c>
      <c r="Q14" s="6">
        <f t="shared" si="14"/>
        <v>0.27594276397357137</v>
      </c>
      <c r="R14" s="177">
        <f t="shared" si="15"/>
        <v>0.27594276397357137</v>
      </c>
      <c r="S14" s="177">
        <f t="shared" si="16"/>
        <v>0.27594276397357137</v>
      </c>
      <c r="T14" s="177">
        <f t="shared" si="17"/>
        <v>0.27594276397357137</v>
      </c>
      <c r="U14" s="172">
        <f>IF(VLEESKALKOENEN!$H$15="ja",L14-((E14-G14*95%-I14)/E14*L14)*$R$6,L14-((E14-G14*80%-I14)/E14*L14)*$R$6)</f>
        <v>0.27594276397357137</v>
      </c>
      <c r="V14" s="109">
        <f t="shared" si="5"/>
        <v>0.27594276397357137</v>
      </c>
      <c r="W14" s="188">
        <f t="shared" si="18"/>
        <v>0.27594276397357137</v>
      </c>
      <c r="X14" s="217">
        <f t="shared" si="19"/>
        <v>1</v>
      </c>
      <c r="AB14" s="135" t="s">
        <v>173</v>
      </c>
      <c r="AC14" s="136">
        <f>AC13*AC12</f>
        <v>1.1979410302416786</v>
      </c>
      <c r="AD14" s="137">
        <f>AD13*AD12</f>
        <v>1.1899602590882834</v>
      </c>
      <c r="AE14" s="136">
        <f>AE13*AE12</f>
        <v>1.1979410302416786</v>
      </c>
      <c r="AF14" s="137">
        <f>AF13*AF12</f>
        <v>1.1899602590882834</v>
      </c>
    </row>
    <row r="15" spans="1:32" x14ac:dyDescent="0.2">
      <c r="A15" s="1">
        <v>6</v>
      </c>
      <c r="B15" s="7">
        <v>0.14000000000000001</v>
      </c>
      <c r="E15" s="7">
        <f t="shared" si="8"/>
        <v>0.161</v>
      </c>
      <c r="F15" s="7">
        <f t="shared" si="9"/>
        <v>0.161</v>
      </c>
      <c r="G15" s="179">
        <f t="shared" si="0"/>
        <v>0</v>
      </c>
      <c r="H15" s="179">
        <f t="shared" si="1"/>
        <v>0</v>
      </c>
      <c r="I15" s="179">
        <f t="shared" si="2"/>
        <v>0</v>
      </c>
      <c r="J15" s="6">
        <f t="shared" si="10"/>
        <v>0.23250207650245164</v>
      </c>
      <c r="K15" s="129">
        <v>1</v>
      </c>
      <c r="L15" s="6">
        <f t="shared" si="11"/>
        <v>0.32791162861599771</v>
      </c>
      <c r="M15" s="191">
        <f t="shared" si="12"/>
        <v>0.32791162861599771</v>
      </c>
      <c r="N15" s="131">
        <f t="shared" si="3"/>
        <v>0.32791162861599771</v>
      </c>
      <c r="O15" s="191">
        <f t="shared" si="13"/>
        <v>0.32791162861599771</v>
      </c>
      <c r="P15" s="191">
        <f t="shared" si="4"/>
        <v>0.32791162861599771</v>
      </c>
      <c r="Q15" s="6">
        <f t="shared" si="14"/>
        <v>0.32791162861599771</v>
      </c>
      <c r="R15" s="177">
        <f t="shared" si="15"/>
        <v>0.32791162861599771</v>
      </c>
      <c r="S15" s="177">
        <f t="shared" si="16"/>
        <v>0.32791162861599771</v>
      </c>
      <c r="T15" s="177">
        <f t="shared" si="17"/>
        <v>0.32791162861599771</v>
      </c>
      <c r="U15" s="172">
        <f>IF(VLEESKALKOENEN!$H$15="ja",L15-((E15-G15*95%-I15)/E15*L15)*$R$6,L15-((E15-G15*80%-I15)/E15*L15)*$R$6)</f>
        <v>0.32791162861599771</v>
      </c>
      <c r="V15" s="109">
        <f t="shared" si="5"/>
        <v>0.32791162861599771</v>
      </c>
      <c r="W15" s="188">
        <f t="shared" si="18"/>
        <v>0.32791162861599771</v>
      </c>
      <c r="X15" s="217">
        <f t="shared" si="19"/>
        <v>1</v>
      </c>
      <c r="AB15" s="122" t="s">
        <v>174</v>
      </c>
      <c r="AC15" s="138"/>
      <c r="AD15" s="139"/>
      <c r="AE15" s="138"/>
      <c r="AF15" s="139"/>
    </row>
    <row r="16" spans="1:32" x14ac:dyDescent="0.2">
      <c r="A16" s="1">
        <v>7</v>
      </c>
      <c r="B16" s="7">
        <v>0.16</v>
      </c>
      <c r="E16" s="7">
        <f t="shared" si="8"/>
        <v>0.184</v>
      </c>
      <c r="F16" s="7">
        <f t="shared" si="9"/>
        <v>0.184</v>
      </c>
      <c r="G16" s="179">
        <f t="shared" si="0"/>
        <v>0</v>
      </c>
      <c r="H16" s="179">
        <f t="shared" si="1"/>
        <v>0</v>
      </c>
      <c r="I16" s="179">
        <f t="shared" si="2"/>
        <v>0</v>
      </c>
      <c r="J16" s="6">
        <f t="shared" si="10"/>
        <v>0.23681971517156092</v>
      </c>
      <c r="K16" s="129">
        <v>1</v>
      </c>
      <c r="L16" s="6">
        <f t="shared" si="11"/>
        <v>0.38171548970212871</v>
      </c>
      <c r="M16" s="191">
        <f t="shared" si="12"/>
        <v>0.38171548970212871</v>
      </c>
      <c r="N16" s="131">
        <f t="shared" si="3"/>
        <v>0.38171548970212871</v>
      </c>
      <c r="O16" s="191">
        <f t="shared" si="13"/>
        <v>0.38171548970212871</v>
      </c>
      <c r="P16" s="191">
        <f t="shared" si="4"/>
        <v>0.38171548970212871</v>
      </c>
      <c r="Q16" s="6">
        <f t="shared" si="14"/>
        <v>0.38171548970212871</v>
      </c>
      <c r="R16" s="177">
        <f t="shared" si="15"/>
        <v>0.38171548970212871</v>
      </c>
      <c r="S16" s="177">
        <f t="shared" si="16"/>
        <v>0.38171548970212871</v>
      </c>
      <c r="T16" s="177">
        <f t="shared" si="17"/>
        <v>0.38171548970212871</v>
      </c>
      <c r="U16" s="172">
        <f>IF(VLEESKALKOENEN!$H$15="ja",L16-((E16-G16*95%-I16)/E16*L16)*$R$6,L16-((E16-G16*80%-I16)/E16*L16)*$R$6)</f>
        <v>0.38171548970212871</v>
      </c>
      <c r="V16" s="109">
        <f t="shared" si="5"/>
        <v>0.38171548970212871</v>
      </c>
      <c r="W16" s="188">
        <f t="shared" si="18"/>
        <v>0.38171548970212871</v>
      </c>
      <c r="X16" s="217">
        <f t="shared" si="19"/>
        <v>1</v>
      </c>
      <c r="AB16" s="130" t="s">
        <v>175</v>
      </c>
      <c r="AC16" s="120"/>
      <c r="AD16" s="121"/>
      <c r="AE16" s="120"/>
      <c r="AF16" s="121"/>
    </row>
    <row r="17" spans="1:32" x14ac:dyDescent="0.2">
      <c r="A17" s="1">
        <v>8</v>
      </c>
      <c r="B17" s="7">
        <v>0.18</v>
      </c>
      <c r="E17" s="7">
        <f t="shared" si="8"/>
        <v>0.20699999999999999</v>
      </c>
      <c r="F17" s="7">
        <f t="shared" si="9"/>
        <v>0.20699999999999999</v>
      </c>
      <c r="G17" s="179">
        <f t="shared" si="0"/>
        <v>0</v>
      </c>
      <c r="H17" s="179">
        <f t="shared" si="1"/>
        <v>0</v>
      </c>
      <c r="I17" s="179">
        <f t="shared" si="2"/>
        <v>0</v>
      </c>
      <c r="J17" s="6">
        <f t="shared" si="10"/>
        <v>0.24121753378554392</v>
      </c>
      <c r="K17" s="129">
        <v>1</v>
      </c>
      <c r="L17" s="6">
        <f t="shared" si="11"/>
        <v>0.43740457836400248</v>
      </c>
      <c r="M17" s="191">
        <f t="shared" si="12"/>
        <v>0.43740457836400248</v>
      </c>
      <c r="N17" s="131">
        <f t="shared" si="3"/>
        <v>0.43740457836400248</v>
      </c>
      <c r="O17" s="191">
        <f t="shared" si="13"/>
        <v>0.43740457836400248</v>
      </c>
      <c r="P17" s="191">
        <f t="shared" si="4"/>
        <v>0.43740457836400248</v>
      </c>
      <c r="Q17" s="6">
        <f t="shared" si="14"/>
        <v>0.43740457836400248</v>
      </c>
      <c r="R17" s="177">
        <f t="shared" si="15"/>
        <v>0.43740457836400248</v>
      </c>
      <c r="S17" s="177">
        <f t="shared" si="16"/>
        <v>0.43740457836400248</v>
      </c>
      <c r="T17" s="177">
        <f t="shared" si="17"/>
        <v>0.43740457836400248</v>
      </c>
      <c r="U17" s="172">
        <f>IF(VLEESKALKOENEN!$H$15="ja",L17-((E17-G17*95%-I17)/E17*L17)*$R$6,L17-((E17-G17*80%-I17)/E17*L17)*$R$6)</f>
        <v>0.43740457836400248</v>
      </c>
      <c r="V17" s="109">
        <f t="shared" si="5"/>
        <v>0.43740457836400248</v>
      </c>
      <c r="W17" s="188">
        <f t="shared" si="18"/>
        <v>0.43740457836400248</v>
      </c>
      <c r="X17" s="217">
        <f t="shared" si="19"/>
        <v>1</v>
      </c>
      <c r="AB17" s="130" t="s">
        <v>176</v>
      </c>
      <c r="AC17" s="120">
        <v>42</v>
      </c>
      <c r="AD17" s="121">
        <v>42</v>
      </c>
      <c r="AE17" s="120">
        <v>42</v>
      </c>
      <c r="AF17" s="121">
        <v>42</v>
      </c>
    </row>
    <row r="18" spans="1:32" x14ac:dyDescent="0.2">
      <c r="A18" s="1">
        <v>9</v>
      </c>
      <c r="B18" s="7">
        <v>0.21</v>
      </c>
      <c r="E18" s="7">
        <f t="shared" si="8"/>
        <v>0.24149999999999996</v>
      </c>
      <c r="F18" s="7">
        <f t="shared" si="9"/>
        <v>0.24149999999999996</v>
      </c>
      <c r="G18" s="179">
        <f t="shared" si="0"/>
        <v>0</v>
      </c>
      <c r="H18" s="179">
        <f t="shared" si="1"/>
        <v>0</v>
      </c>
      <c r="I18" s="179">
        <f t="shared" si="2"/>
        <v>0</v>
      </c>
      <c r="J18" s="6">
        <f t="shared" si="10"/>
        <v>0.24569702131187857</v>
      </c>
      <c r="K18" s="129">
        <v>1</v>
      </c>
      <c r="L18" s="6">
        <f t="shared" si="11"/>
        <v>0.51978187646613139</v>
      </c>
      <c r="M18" s="191">
        <f t="shared" si="12"/>
        <v>0.51978187646613139</v>
      </c>
      <c r="N18" s="131">
        <f t="shared" si="3"/>
        <v>0.51978187646613139</v>
      </c>
      <c r="O18" s="191">
        <f t="shared" si="13"/>
        <v>0.51978187646613139</v>
      </c>
      <c r="P18" s="191">
        <f t="shared" si="4"/>
        <v>0.51978187646613139</v>
      </c>
      <c r="Q18" s="6">
        <f t="shared" si="14"/>
        <v>0.51978187646613139</v>
      </c>
      <c r="R18" s="177">
        <f t="shared" si="15"/>
        <v>0.51978187646613139</v>
      </c>
      <c r="S18" s="177">
        <f t="shared" si="16"/>
        <v>0.51978187646613139</v>
      </c>
      <c r="T18" s="177">
        <f t="shared" si="17"/>
        <v>0.51978187646613139</v>
      </c>
      <c r="U18" s="172">
        <f>IF(VLEESKALKOENEN!$H$15="ja",L18-((E18-G18*95%-I18)/E18*L18)*$R$6,L18-((E18-G18*80%-I18)/E18*L18)*$R$6)</f>
        <v>0.51978187646613139</v>
      </c>
      <c r="V18" s="109">
        <f t="shared" si="5"/>
        <v>0.51978187646613139</v>
      </c>
      <c r="W18" s="188">
        <f t="shared" si="18"/>
        <v>0.51978187646613139</v>
      </c>
      <c r="X18" s="217">
        <f t="shared" si="19"/>
        <v>1</v>
      </c>
      <c r="AB18" s="130" t="s">
        <v>177</v>
      </c>
      <c r="AC18" s="120">
        <f>+AC8</f>
        <v>13</v>
      </c>
      <c r="AD18" s="121">
        <f>+AD8</f>
        <v>19</v>
      </c>
      <c r="AE18" s="120">
        <f>+AE8</f>
        <v>13</v>
      </c>
      <c r="AF18" s="121">
        <f>+AF8</f>
        <v>19</v>
      </c>
    </row>
    <row r="19" spans="1:32" x14ac:dyDescent="0.2">
      <c r="A19" s="1">
        <v>10</v>
      </c>
      <c r="B19" s="7">
        <v>0.24</v>
      </c>
      <c r="E19" s="7">
        <f t="shared" si="8"/>
        <v>0.27599999999999997</v>
      </c>
      <c r="F19" s="7">
        <f t="shared" si="9"/>
        <v>0.27599999999999997</v>
      </c>
      <c r="G19" s="179">
        <f t="shared" si="0"/>
        <v>0</v>
      </c>
      <c r="H19" s="179">
        <f t="shared" si="1"/>
        <v>0</v>
      </c>
      <c r="I19" s="179">
        <f t="shared" si="2"/>
        <v>0</v>
      </c>
      <c r="J19" s="6">
        <f t="shared" si="10"/>
        <v>0.25025969436864992</v>
      </c>
      <c r="K19" s="129">
        <v>1</v>
      </c>
      <c r="L19" s="6">
        <f t="shared" si="11"/>
        <v>0.60506787865674694</v>
      </c>
      <c r="M19" s="191">
        <f t="shared" si="12"/>
        <v>0.60506787865674694</v>
      </c>
      <c r="N19" s="131">
        <f t="shared" si="3"/>
        <v>0.60506787865674694</v>
      </c>
      <c r="O19" s="191">
        <f t="shared" si="13"/>
        <v>0.60506787865674694</v>
      </c>
      <c r="P19" s="191">
        <f t="shared" si="4"/>
        <v>0.60506787865674694</v>
      </c>
      <c r="Q19" s="6">
        <f t="shared" si="14"/>
        <v>0.60506787865674694</v>
      </c>
      <c r="R19" s="177">
        <f t="shared" si="15"/>
        <v>0.60506787865674694</v>
      </c>
      <c r="S19" s="177">
        <f t="shared" si="16"/>
        <v>0.60506787865674694</v>
      </c>
      <c r="T19" s="177">
        <f t="shared" si="17"/>
        <v>0.60506787865674694</v>
      </c>
      <c r="U19" s="172">
        <f>IF(VLEESKALKOENEN!$H$15="ja",L19-((E19-G19*95%-I19)/E19*L19)*$R$6,L19-((E19-G19*80%-I19)/E19*L19)*$R$6)</f>
        <v>0.60506787865674694</v>
      </c>
      <c r="V19" s="109">
        <f t="shared" si="5"/>
        <v>0.60506787865674694</v>
      </c>
      <c r="W19" s="188">
        <f t="shared" si="18"/>
        <v>0.60506787865674694</v>
      </c>
      <c r="X19" s="217">
        <f t="shared" si="19"/>
        <v>1</v>
      </c>
      <c r="AA19" s="1">
        <v>42</v>
      </c>
      <c r="AB19" s="130" t="s">
        <v>178</v>
      </c>
      <c r="AC19" s="140">
        <f t="shared" ref="AC19:AD19" si="22">AC17-AC18</f>
        <v>29</v>
      </c>
      <c r="AD19" s="141">
        <f t="shared" si="22"/>
        <v>23</v>
      </c>
      <c r="AE19" s="140">
        <f>AE17-AE18</f>
        <v>29</v>
      </c>
      <c r="AF19" s="141">
        <f t="shared" ref="AF19" si="23">AF17-AF18</f>
        <v>23</v>
      </c>
    </row>
    <row r="20" spans="1:32" x14ac:dyDescent="0.2">
      <c r="A20" s="1">
        <v>11</v>
      </c>
      <c r="B20" s="7">
        <v>0.27</v>
      </c>
      <c r="E20" s="7">
        <f t="shared" si="8"/>
        <v>0.3105</v>
      </c>
      <c r="F20" s="7">
        <f t="shared" si="9"/>
        <v>0.3105</v>
      </c>
      <c r="G20" s="179">
        <f t="shared" si="0"/>
        <v>0</v>
      </c>
      <c r="H20" s="179">
        <f t="shared" si="1"/>
        <v>0</v>
      </c>
      <c r="I20" s="179">
        <f t="shared" si="2"/>
        <v>0</v>
      </c>
      <c r="J20" s="6">
        <f t="shared" si="10"/>
        <v>0.25490709773803089</v>
      </c>
      <c r="K20" s="129">
        <v>1</v>
      </c>
      <c r="L20" s="6">
        <f t="shared" si="11"/>
        <v>0.69334220770548938</v>
      </c>
      <c r="M20" s="191">
        <f t="shared" si="12"/>
        <v>0.69334220770548938</v>
      </c>
      <c r="N20" s="131">
        <f t="shared" si="3"/>
        <v>0.69334220770548938</v>
      </c>
      <c r="O20" s="191">
        <f t="shared" si="13"/>
        <v>0.69334220770548938</v>
      </c>
      <c r="P20" s="191">
        <f t="shared" si="4"/>
        <v>0.69334220770548938</v>
      </c>
      <c r="Q20" s="6">
        <f t="shared" si="14"/>
        <v>0.69334220770548938</v>
      </c>
      <c r="R20" s="177">
        <f t="shared" si="15"/>
        <v>0.69334220770548938</v>
      </c>
      <c r="S20" s="177">
        <f t="shared" si="16"/>
        <v>0.69334220770548938</v>
      </c>
      <c r="T20" s="177">
        <f t="shared" si="17"/>
        <v>0.69334220770548938</v>
      </c>
      <c r="U20" s="172">
        <f>IF(VLEESKALKOENEN!$H$15="ja",L20-((E20-G20*95%-I20)/E20*L20)*$R$6,L20-((E20-G20*80%-I20)/E20*L20)*$R$6)</f>
        <v>0.69334220770548938</v>
      </c>
      <c r="V20" s="109">
        <f t="shared" si="5"/>
        <v>0.69334220770548938</v>
      </c>
      <c r="W20" s="188">
        <f t="shared" si="18"/>
        <v>0.69334220770548938</v>
      </c>
      <c r="X20" s="217">
        <f t="shared" si="19"/>
        <v>1</v>
      </c>
      <c r="AA20" s="1">
        <v>0</v>
      </c>
      <c r="AB20" s="130" t="s">
        <v>179</v>
      </c>
      <c r="AC20" s="142">
        <v>10</v>
      </c>
      <c r="AD20" s="143">
        <v>10</v>
      </c>
      <c r="AE20" s="142">
        <v>10</v>
      </c>
      <c r="AF20" s="143">
        <v>10</v>
      </c>
    </row>
    <row r="21" spans="1:32" x14ac:dyDescent="0.2">
      <c r="A21" s="1">
        <v>12</v>
      </c>
      <c r="B21" s="7">
        <v>0.31</v>
      </c>
      <c r="E21" s="7">
        <f t="shared" si="8"/>
        <v>0.35649999999999998</v>
      </c>
      <c r="F21" s="7">
        <f t="shared" si="9"/>
        <v>0.35649999999999998</v>
      </c>
      <c r="G21" s="179">
        <f t="shared" si="0"/>
        <v>0</v>
      </c>
      <c r="H21" s="179">
        <f t="shared" si="1"/>
        <v>0</v>
      </c>
      <c r="I21" s="179">
        <f t="shared" si="2"/>
        <v>0</v>
      </c>
      <c r="J21" s="6">
        <f t="shared" si="10"/>
        <v>0.25964080488929814</v>
      </c>
      <c r="K21" s="129">
        <v>1</v>
      </c>
      <c r="L21" s="6">
        <f t="shared" si="11"/>
        <v>0.81084265522098464</v>
      </c>
      <c r="M21" s="191">
        <f t="shared" si="12"/>
        <v>0.81084265522098464</v>
      </c>
      <c r="N21" s="131">
        <f t="shared" si="3"/>
        <v>0.81084265522098464</v>
      </c>
      <c r="O21" s="191">
        <f t="shared" si="13"/>
        <v>0.81084265522098464</v>
      </c>
      <c r="P21" s="191">
        <f t="shared" si="4"/>
        <v>0.81084265522098464</v>
      </c>
      <c r="Q21" s="6">
        <f t="shared" si="14"/>
        <v>0.81084265522098464</v>
      </c>
      <c r="R21" s="177">
        <f t="shared" si="15"/>
        <v>0.81084265522098464</v>
      </c>
      <c r="S21" s="177">
        <f t="shared" si="16"/>
        <v>0.81084265522098464</v>
      </c>
      <c r="T21" s="177">
        <f t="shared" si="17"/>
        <v>0.81084265522098464</v>
      </c>
      <c r="U21" s="172">
        <f>IF(VLEESKALKOENEN!$H$15="ja",L21-((E21-G21*95%-I21)/E21*L21)*$R$6,L21-((E21-G21*80%-I21)/E21*L21)*$R$6)</f>
        <v>0.81084265522098464</v>
      </c>
      <c r="V21" s="109">
        <f t="shared" si="5"/>
        <v>0.81084265522098464</v>
      </c>
      <c r="W21" s="188">
        <f t="shared" si="18"/>
        <v>0.81084265522098464</v>
      </c>
      <c r="X21" s="217">
        <f t="shared" si="19"/>
        <v>1</v>
      </c>
      <c r="AA21" s="1">
        <v>42</v>
      </c>
      <c r="AB21" s="130" t="s">
        <v>180</v>
      </c>
      <c r="AC21" s="144">
        <f>365/(AC19+AC20)</f>
        <v>9.3589743589743595</v>
      </c>
      <c r="AD21" s="145">
        <f>365/(AD19+AD20)</f>
        <v>11.060606060606061</v>
      </c>
      <c r="AE21" s="144">
        <f>365/(AE19+AE20)</f>
        <v>9.3589743589743595</v>
      </c>
      <c r="AF21" s="145">
        <f>365/(AF19+AF20)</f>
        <v>11.060606060606061</v>
      </c>
    </row>
    <row r="22" spans="1:32" x14ac:dyDescent="0.2">
      <c r="A22" s="146">
        <v>13</v>
      </c>
      <c r="B22" s="7">
        <v>0.35</v>
      </c>
      <c r="C22" s="148"/>
      <c r="D22" s="147"/>
      <c r="E22" s="7">
        <f t="shared" si="8"/>
        <v>0.40249999999999997</v>
      </c>
      <c r="F22" s="149">
        <f t="shared" si="9"/>
        <v>0.40249999999999997</v>
      </c>
      <c r="G22" s="179">
        <f t="shared" si="0"/>
        <v>0</v>
      </c>
      <c r="H22" s="179">
        <f t="shared" si="1"/>
        <v>0</v>
      </c>
      <c r="I22" s="179">
        <f t="shared" si="2"/>
        <v>0</v>
      </c>
      <c r="J22" s="6">
        <f t="shared" si="10"/>
        <v>0.26446241851156127</v>
      </c>
      <c r="K22" s="129">
        <v>1</v>
      </c>
      <c r="L22" s="6">
        <f t="shared" si="11"/>
        <v>0.9324680414299138</v>
      </c>
      <c r="M22" s="191">
        <f t="shared" si="12"/>
        <v>0.9324680414299138</v>
      </c>
      <c r="N22" s="131">
        <f t="shared" si="3"/>
        <v>0.9324680414299138</v>
      </c>
      <c r="O22" s="191">
        <f t="shared" si="13"/>
        <v>0.9324680414299138</v>
      </c>
      <c r="P22" s="191">
        <f t="shared" si="4"/>
        <v>0.9324680414299138</v>
      </c>
      <c r="Q22" s="6">
        <f t="shared" si="14"/>
        <v>0.9324680414299138</v>
      </c>
      <c r="R22" s="177">
        <f t="shared" si="15"/>
        <v>0.9324680414299138</v>
      </c>
      <c r="S22" s="177">
        <f t="shared" si="16"/>
        <v>0.9324680414299138</v>
      </c>
      <c r="T22" s="177">
        <f t="shared" si="17"/>
        <v>0.9324680414299138</v>
      </c>
      <c r="U22" s="172">
        <f>IF(VLEESKALKOENEN!$H$15="ja",L22-((E22-G22*95%-I22)/E22*L22)*$R$6,L22-((E22-G22*80%-I22)/E22*L22)*$R$6)</f>
        <v>0.9324680414299138</v>
      </c>
      <c r="V22" s="109">
        <f t="shared" si="5"/>
        <v>0.9324680414299138</v>
      </c>
      <c r="W22" s="188">
        <f t="shared" si="18"/>
        <v>0.9324680414299138</v>
      </c>
      <c r="X22" s="217">
        <f t="shared" si="19"/>
        <v>1</v>
      </c>
      <c r="AA22" s="1">
        <v>10</v>
      </c>
      <c r="AB22" s="126" t="s">
        <v>181</v>
      </c>
      <c r="AC22" s="133">
        <f>AVERAGE(L23:L51)/$AA$23</f>
        <v>0.75565890366702149</v>
      </c>
      <c r="AD22" s="134">
        <f>AVERAGE(L29:L51)/$AA$23</f>
        <v>0.89915852856900091</v>
      </c>
      <c r="AE22" s="133">
        <f>AVERAGE(N23:N51)/$AA$23</f>
        <v>0.75565890366702149</v>
      </c>
      <c r="AF22" s="134">
        <f>AVERAGE(N29:N51)/$AA$23</f>
        <v>0.89915852856900091</v>
      </c>
    </row>
    <row r="23" spans="1:32" x14ac:dyDescent="0.2">
      <c r="A23" s="1">
        <v>14</v>
      </c>
      <c r="B23" s="7">
        <v>0.39</v>
      </c>
      <c r="E23" s="7">
        <f t="shared" si="8"/>
        <v>0.44849999999999995</v>
      </c>
      <c r="F23" s="7">
        <f t="shared" si="9"/>
        <v>0.44849999999999995</v>
      </c>
      <c r="G23" s="179">
        <f t="shared" si="0"/>
        <v>0</v>
      </c>
      <c r="H23" s="179">
        <f t="shared" si="1"/>
        <v>0</v>
      </c>
      <c r="I23" s="179">
        <f t="shared" si="2"/>
        <v>0</v>
      </c>
      <c r="J23" s="6">
        <f t="shared" si="10"/>
        <v>0.26937357105638443</v>
      </c>
      <c r="K23" s="129">
        <v>1</v>
      </c>
      <c r="L23" s="6">
        <f t="shared" si="11"/>
        <v>1.0583310483805863</v>
      </c>
      <c r="M23" s="191">
        <f t="shared" si="12"/>
        <v>1.0583310483805863</v>
      </c>
      <c r="N23" s="131">
        <f t="shared" si="3"/>
        <v>1.0583310483805863</v>
      </c>
      <c r="O23" s="191">
        <f t="shared" si="13"/>
        <v>1.0583310483805863</v>
      </c>
      <c r="P23" s="191">
        <f t="shared" si="4"/>
        <v>1.0583310483805863</v>
      </c>
      <c r="Q23" s="6">
        <f t="shared" si="14"/>
        <v>1.0583310483805863</v>
      </c>
      <c r="R23" s="177">
        <f t="shared" si="15"/>
        <v>1.0583310483805863</v>
      </c>
      <c r="S23" s="177">
        <f t="shared" si="16"/>
        <v>1.0583310483805863</v>
      </c>
      <c r="T23" s="177">
        <f t="shared" si="17"/>
        <v>1.0583310483805863</v>
      </c>
      <c r="U23" s="172">
        <f>IF(VLEESKALKOENEN!$H$15="ja",L23-((E23-G23*95%-I23)/E23*L23)*$R$6,L23-((E23-G23*80%-I23)/E23*L23)*$R$6)</f>
        <v>1.0583310483805863</v>
      </c>
      <c r="V23" s="109">
        <f t="shared" si="5"/>
        <v>1.0583310483805863</v>
      </c>
      <c r="W23" s="188">
        <f t="shared" si="18"/>
        <v>1.0583310483805863</v>
      </c>
      <c r="X23" s="217">
        <f t="shared" si="19"/>
        <v>1</v>
      </c>
      <c r="AA23" s="5">
        <f>365/(AA21+AA22)</f>
        <v>7.0192307692307692</v>
      </c>
      <c r="AB23" s="135" t="s">
        <v>173</v>
      </c>
      <c r="AC23" s="136">
        <f>AC22*AC21</f>
        <v>7.07219230355033</v>
      </c>
      <c r="AD23" s="137">
        <f>AD22*AD21</f>
        <v>9.9452382705359188</v>
      </c>
      <c r="AE23" s="136">
        <f>AE22*AE21</f>
        <v>7.07219230355033</v>
      </c>
      <c r="AF23" s="137">
        <f>AF22*AF21</f>
        <v>9.9452382705359188</v>
      </c>
    </row>
    <row r="24" spans="1:32" x14ac:dyDescent="0.2">
      <c r="A24" s="1">
        <v>15</v>
      </c>
      <c r="B24" s="7">
        <v>0.43</v>
      </c>
      <c r="E24" s="7">
        <f t="shared" si="8"/>
        <v>0.49449999999999994</v>
      </c>
      <c r="F24" s="7">
        <f t="shared" si="9"/>
        <v>0.49449999999999994</v>
      </c>
      <c r="G24" s="179">
        <f t="shared" si="0"/>
        <v>0</v>
      </c>
      <c r="H24" s="179">
        <f t="shared" si="1"/>
        <v>0</v>
      </c>
      <c r="I24" s="179">
        <f t="shared" si="2"/>
        <v>0</v>
      </c>
      <c r="J24" s="6">
        <f t="shared" si="10"/>
        <v>0.27437592529048455</v>
      </c>
      <c r="K24" s="129">
        <v>1</v>
      </c>
      <c r="L24" s="6">
        <f t="shared" si="11"/>
        <v>1.1885471206918263</v>
      </c>
      <c r="M24" s="191">
        <f t="shared" si="12"/>
        <v>1.1885471206918263</v>
      </c>
      <c r="N24" s="131">
        <f t="shared" si="3"/>
        <v>1.1885471206918263</v>
      </c>
      <c r="O24" s="191">
        <f t="shared" si="13"/>
        <v>1.1885471206918263</v>
      </c>
      <c r="P24" s="191">
        <f t="shared" si="4"/>
        <v>1.1885471206918263</v>
      </c>
      <c r="Q24" s="6">
        <f t="shared" si="14"/>
        <v>1.1885471206918263</v>
      </c>
      <c r="R24" s="177">
        <f t="shared" si="15"/>
        <v>1.1885471206918263</v>
      </c>
      <c r="S24" s="177">
        <f t="shared" si="16"/>
        <v>1.1885471206918263</v>
      </c>
      <c r="T24" s="177">
        <f t="shared" si="17"/>
        <v>1.1885471206918263</v>
      </c>
      <c r="U24" s="172">
        <f>IF(VLEESKALKOENEN!$H$15="ja",L24-((E24-G24*95%-I24)/E24*L24)*$R$6,L24-((E24-G24*80%-I24)/E24*L24)*$R$6)</f>
        <v>1.1885471206918263</v>
      </c>
      <c r="V24" s="109">
        <f t="shared" si="5"/>
        <v>1.1885471206918263</v>
      </c>
      <c r="W24" s="188">
        <f t="shared" si="18"/>
        <v>1.1885471206918263</v>
      </c>
      <c r="X24" s="217">
        <f t="shared" si="19"/>
        <v>1</v>
      </c>
      <c r="AA24" s="132">
        <f>AA22/(AA21+AA22)</f>
        <v>0.19230769230769232</v>
      </c>
      <c r="AB24" s="150" t="s">
        <v>182</v>
      </c>
      <c r="AC24" s="151">
        <f>(AC14+(AC23*2))/3</f>
        <v>5.1141085457807796</v>
      </c>
      <c r="AD24" s="152">
        <f>(AD14+AD23)/2</f>
        <v>5.5675992648121007</v>
      </c>
      <c r="AE24" s="151">
        <f>(AE14+(AE23*2))/3</f>
        <v>5.1141085457807796</v>
      </c>
      <c r="AF24" s="152">
        <f>(AF14+AF23)/2</f>
        <v>5.5675992648121007</v>
      </c>
    </row>
    <row r="25" spans="1:32" x14ac:dyDescent="0.2">
      <c r="A25" s="1">
        <v>16</v>
      </c>
      <c r="B25" s="7">
        <v>0.48</v>
      </c>
      <c r="E25" s="7">
        <f t="shared" si="8"/>
        <v>0.55199999999999994</v>
      </c>
      <c r="F25" s="7">
        <f t="shared" si="9"/>
        <v>0.55199999999999994</v>
      </c>
      <c r="G25" s="179">
        <f t="shared" si="0"/>
        <v>0</v>
      </c>
      <c r="H25" s="179">
        <f t="shared" si="1"/>
        <v>0</v>
      </c>
      <c r="I25" s="179">
        <f t="shared" si="2"/>
        <v>0</v>
      </c>
      <c r="J25" s="6">
        <f t="shared" si="10"/>
        <v>0.27947117485869366</v>
      </c>
      <c r="K25" s="129">
        <v>1</v>
      </c>
      <c r="L25" s="6">
        <f t="shared" si="11"/>
        <v>1.3513884554527102</v>
      </c>
      <c r="M25" s="191">
        <f t="shared" si="12"/>
        <v>1.3513884554527102</v>
      </c>
      <c r="N25" s="131">
        <f t="shared" si="3"/>
        <v>1.3513884554527102</v>
      </c>
      <c r="O25" s="191">
        <f t="shared" si="13"/>
        <v>1.3513884554527102</v>
      </c>
      <c r="P25" s="191">
        <f t="shared" si="4"/>
        <v>1.3513884554527102</v>
      </c>
      <c r="Q25" s="6">
        <f t="shared" si="14"/>
        <v>1.3513884554527102</v>
      </c>
      <c r="R25" s="177">
        <f t="shared" si="15"/>
        <v>1.3513884554527102</v>
      </c>
      <c r="S25" s="177">
        <f t="shared" si="16"/>
        <v>1.3513884554527102</v>
      </c>
      <c r="T25" s="177">
        <f t="shared" si="17"/>
        <v>1.3513884554527102</v>
      </c>
      <c r="U25" s="172">
        <f>IF(VLEESKALKOENEN!$H$15="ja",L25-((E25-G25*95%-I25)/E25*L25)*$R$6,L25-((E25-G25*80%-I25)/E25*L25)*$R$6)</f>
        <v>1.3513884554527102</v>
      </c>
      <c r="V25" s="109">
        <f t="shared" si="5"/>
        <v>1.3513884554527102</v>
      </c>
      <c r="W25" s="188">
        <f t="shared" si="18"/>
        <v>1.3513884554527102</v>
      </c>
      <c r="X25" s="217">
        <f t="shared" si="19"/>
        <v>1</v>
      </c>
      <c r="AB25" s="153" t="s">
        <v>183</v>
      </c>
      <c r="AC25" s="154">
        <f>(AC24/$L$162)</f>
        <v>4.1747844589419943E-2</v>
      </c>
      <c r="AD25" s="154">
        <f>(AD24/$L$162)</f>
        <v>4.5449811391920315E-2</v>
      </c>
    </row>
    <row r="26" spans="1:32" x14ac:dyDescent="0.2">
      <c r="A26" s="1">
        <v>17</v>
      </c>
      <c r="B26" s="7">
        <v>0.52</v>
      </c>
      <c r="E26" s="7">
        <f t="shared" si="8"/>
        <v>0.59799999999999998</v>
      </c>
      <c r="F26" s="7">
        <f t="shared" si="9"/>
        <v>0.59799999999999998</v>
      </c>
      <c r="G26" s="179">
        <f t="shared" si="0"/>
        <v>0</v>
      </c>
      <c r="H26" s="179">
        <f t="shared" si="1"/>
        <v>0</v>
      </c>
      <c r="I26" s="179">
        <f t="shared" si="2"/>
        <v>0</v>
      </c>
      <c r="J26" s="6">
        <f t="shared" si="10"/>
        <v>0.28466104485737542</v>
      </c>
      <c r="K26" s="129">
        <v>1</v>
      </c>
      <c r="L26" s="6">
        <f t="shared" si="11"/>
        <v>1.4911911902644641</v>
      </c>
      <c r="M26" s="191">
        <f t="shared" si="12"/>
        <v>1.4911911902644641</v>
      </c>
      <c r="N26" s="131">
        <f t="shared" si="3"/>
        <v>1.4911911902644641</v>
      </c>
      <c r="O26" s="191">
        <f t="shared" si="13"/>
        <v>1.4911911902644641</v>
      </c>
      <c r="P26" s="191">
        <f t="shared" si="4"/>
        <v>1.4911911902644641</v>
      </c>
      <c r="Q26" s="6">
        <f t="shared" si="14"/>
        <v>1.4911911902644641</v>
      </c>
      <c r="R26" s="177">
        <f t="shared" si="15"/>
        <v>1.4911911902644641</v>
      </c>
      <c r="S26" s="177">
        <f t="shared" si="16"/>
        <v>1.4911911902644641</v>
      </c>
      <c r="T26" s="177">
        <f t="shared" si="17"/>
        <v>1.4911911902644641</v>
      </c>
      <c r="U26" s="172">
        <f>IF(VLEESKALKOENEN!$H$15="ja",L26-((E26-G26*95%-I26)/E26*L26)*$R$6,L26-((E26-G26*80%-I26)/E26*L26)*$R$6)</f>
        <v>1.4911911902644641</v>
      </c>
      <c r="V26" s="109">
        <f t="shared" si="5"/>
        <v>1.4911911902644641</v>
      </c>
      <c r="W26" s="188">
        <f t="shared" si="18"/>
        <v>1.4911911902644641</v>
      </c>
      <c r="X26" s="217">
        <f t="shared" si="19"/>
        <v>1</v>
      </c>
      <c r="AB26" s="155" t="s">
        <v>184</v>
      </c>
      <c r="AE26" s="156">
        <f>(AC24-AE24)/AC24</f>
        <v>0</v>
      </c>
      <c r="AF26" s="156">
        <f>(AD24-AF24)/AD24</f>
        <v>0</v>
      </c>
    </row>
    <row r="27" spans="1:32" x14ac:dyDescent="0.2">
      <c r="A27" s="1">
        <v>18</v>
      </c>
      <c r="B27" s="7">
        <v>0.57999999999999996</v>
      </c>
      <c r="E27" s="7">
        <f t="shared" si="8"/>
        <v>0.66699999999999993</v>
      </c>
      <c r="F27" s="7">
        <f t="shared" si="9"/>
        <v>0.66699999999999993</v>
      </c>
      <c r="G27" s="179">
        <f t="shared" si="0"/>
        <v>0</v>
      </c>
      <c r="H27" s="179">
        <f t="shared" si="1"/>
        <v>0</v>
      </c>
      <c r="I27" s="179">
        <f t="shared" si="2"/>
        <v>0</v>
      </c>
      <c r="J27" s="6">
        <f t="shared" si="10"/>
        <v>0.28994729241849049</v>
      </c>
      <c r="K27" s="129">
        <v>1</v>
      </c>
      <c r="L27" s="6">
        <f t="shared" si="11"/>
        <v>1.6941388338178462</v>
      </c>
      <c r="M27" s="191">
        <f t="shared" si="12"/>
        <v>1.6941388338178462</v>
      </c>
      <c r="N27" s="131">
        <f t="shared" si="3"/>
        <v>1.6941388338178462</v>
      </c>
      <c r="O27" s="191">
        <f t="shared" si="13"/>
        <v>1.6941388338178462</v>
      </c>
      <c r="P27" s="191">
        <f t="shared" si="4"/>
        <v>1.6941388338178462</v>
      </c>
      <c r="Q27" s="6">
        <f t="shared" si="14"/>
        <v>1.6941388338178462</v>
      </c>
      <c r="R27" s="177">
        <f t="shared" si="15"/>
        <v>1.6941388338178462</v>
      </c>
      <c r="S27" s="177">
        <f t="shared" si="16"/>
        <v>1.6941388338178462</v>
      </c>
      <c r="T27" s="177">
        <f t="shared" si="17"/>
        <v>1.6941388338178462</v>
      </c>
      <c r="U27" s="172">
        <f>IF(VLEESKALKOENEN!$H$15="ja",L27-((E27-G27*95%-I27)/E27*L27)*$R$6,L27-((E27-G27*80%-I27)/E27*L27)*$R$6)</f>
        <v>1.6941388338178462</v>
      </c>
      <c r="V27" s="109">
        <f t="shared" si="5"/>
        <v>1.6941388338178462</v>
      </c>
      <c r="W27" s="188">
        <f t="shared" si="18"/>
        <v>1.6941388338178462</v>
      </c>
      <c r="X27" s="217">
        <f t="shared" si="19"/>
        <v>1</v>
      </c>
    </row>
    <row r="28" spans="1:32" x14ac:dyDescent="0.2">
      <c r="A28" s="146">
        <v>19</v>
      </c>
      <c r="B28" s="7">
        <v>0.63</v>
      </c>
      <c r="C28" s="148"/>
      <c r="D28" s="147"/>
      <c r="E28" s="7">
        <f t="shared" si="8"/>
        <v>0.72449999999999992</v>
      </c>
      <c r="F28" s="149">
        <f t="shared" si="9"/>
        <v>0.72449999999999992</v>
      </c>
      <c r="G28" s="179">
        <f t="shared" si="0"/>
        <v>0</v>
      </c>
      <c r="H28" s="179">
        <f t="shared" si="1"/>
        <v>0</v>
      </c>
      <c r="I28" s="179">
        <f t="shared" si="2"/>
        <v>0</v>
      </c>
      <c r="J28" s="6">
        <f t="shared" si="10"/>
        <v>0.29533170730450725</v>
      </c>
      <c r="K28" s="129">
        <v>1</v>
      </c>
      <c r="L28" s="6">
        <f t="shared" si="11"/>
        <v>1.8743581202129316</v>
      </c>
      <c r="M28" s="191">
        <f t="shared" si="12"/>
        <v>1.8743581202129316</v>
      </c>
      <c r="N28" s="131">
        <f t="shared" si="3"/>
        <v>1.8743581202129316</v>
      </c>
      <c r="O28" s="191">
        <f t="shared" si="13"/>
        <v>1.8743581202129316</v>
      </c>
      <c r="P28" s="191">
        <f t="shared" si="4"/>
        <v>1.8743581202129316</v>
      </c>
      <c r="Q28" s="6">
        <f t="shared" si="14"/>
        <v>1.8743581202129316</v>
      </c>
      <c r="R28" s="177">
        <f t="shared" si="15"/>
        <v>1.8743581202129316</v>
      </c>
      <c r="S28" s="177">
        <f t="shared" si="16"/>
        <v>1.8743581202129316</v>
      </c>
      <c r="T28" s="177">
        <f t="shared" si="17"/>
        <v>1.8743581202129316</v>
      </c>
      <c r="U28" s="172">
        <f>IF(VLEESKALKOENEN!$H$15="ja",L28-((E28-G28*95%-I28)/E28*L28)*$R$6,L28-((E28-G28*80%-I28)/E28*L28)*$R$6)</f>
        <v>1.8743581202129316</v>
      </c>
      <c r="V28" s="109">
        <f t="shared" si="5"/>
        <v>1.8743581202129316</v>
      </c>
      <c r="W28" s="188">
        <f t="shared" si="18"/>
        <v>1.8743581202129316</v>
      </c>
      <c r="X28" s="217">
        <f t="shared" si="19"/>
        <v>1</v>
      </c>
    </row>
    <row r="29" spans="1:32" x14ac:dyDescent="0.2">
      <c r="A29" s="1">
        <v>20</v>
      </c>
      <c r="B29" s="7">
        <v>0.69</v>
      </c>
      <c r="E29" s="7">
        <f t="shared" si="8"/>
        <v>0.79349999999999987</v>
      </c>
      <c r="F29" s="7">
        <f t="shared" si="9"/>
        <v>0.79349999999999987</v>
      </c>
      <c r="G29" s="179">
        <f t="shared" si="0"/>
        <v>0</v>
      </c>
      <c r="H29" s="179">
        <f t="shared" si="1"/>
        <v>0</v>
      </c>
      <c r="I29" s="179">
        <f t="shared" si="2"/>
        <v>0</v>
      </c>
      <c r="J29" s="6">
        <f t="shared" si="10"/>
        <v>0.30081611251436158</v>
      </c>
      <c r="K29" s="129">
        <v>1</v>
      </c>
      <c r="L29" s="6">
        <f t="shared" si="11"/>
        <v>2.0909908470540777</v>
      </c>
      <c r="M29" s="191">
        <f t="shared" si="12"/>
        <v>2.0909908470540777</v>
      </c>
      <c r="N29" s="131">
        <f t="shared" si="3"/>
        <v>2.0909908470540777</v>
      </c>
      <c r="O29" s="191">
        <f t="shared" si="13"/>
        <v>2.0909908470540777</v>
      </c>
      <c r="P29" s="191">
        <f t="shared" si="4"/>
        <v>2.0909908470540777</v>
      </c>
      <c r="Q29" s="6">
        <f t="shared" si="14"/>
        <v>2.0909908470540777</v>
      </c>
      <c r="R29" s="177">
        <f t="shared" si="15"/>
        <v>2.0909908470540777</v>
      </c>
      <c r="S29" s="177">
        <f t="shared" si="16"/>
        <v>2.0909908470540777</v>
      </c>
      <c r="T29" s="177">
        <f t="shared" si="17"/>
        <v>2.0909908470540777</v>
      </c>
      <c r="U29" s="172">
        <f>IF(VLEESKALKOENEN!$H$15="ja",L29-((E29-G29*95%-I29)/E29*L29)*$R$6,L29-((E29-G29*80%-I29)/E29*L29)*$R$6)</f>
        <v>2.0909908470540777</v>
      </c>
      <c r="V29" s="109">
        <f t="shared" si="5"/>
        <v>2.0909908470540777</v>
      </c>
      <c r="W29" s="188">
        <f t="shared" si="18"/>
        <v>2.0909908470540777</v>
      </c>
      <c r="X29" s="217">
        <f t="shared" si="19"/>
        <v>1</v>
      </c>
    </row>
    <row r="30" spans="1:32" x14ac:dyDescent="0.2">
      <c r="A30" s="1">
        <v>21</v>
      </c>
      <c r="B30" s="7">
        <v>0.75</v>
      </c>
      <c r="E30" s="7">
        <f t="shared" si="8"/>
        <v>0.86249999999999993</v>
      </c>
      <c r="F30" s="7">
        <f t="shared" si="9"/>
        <v>0.86249999999999993</v>
      </c>
      <c r="G30" s="179">
        <f t="shared" si="0"/>
        <v>0</v>
      </c>
      <c r="H30" s="179">
        <f t="shared" si="1"/>
        <v>0</v>
      </c>
      <c r="I30" s="179">
        <f t="shared" si="2"/>
        <v>0</v>
      </c>
      <c r="J30" s="6">
        <f t="shared" si="10"/>
        <v>0.30640236490066852</v>
      </c>
      <c r="K30" s="129">
        <v>1</v>
      </c>
      <c r="L30" s="6">
        <f t="shared" si="11"/>
        <v>2.315023068007001</v>
      </c>
      <c r="M30" s="191">
        <f t="shared" si="12"/>
        <v>2.315023068007001</v>
      </c>
      <c r="N30" s="131">
        <f t="shared" si="3"/>
        <v>2.315023068007001</v>
      </c>
      <c r="O30" s="191">
        <f t="shared" si="13"/>
        <v>2.315023068007001</v>
      </c>
      <c r="P30" s="191">
        <f t="shared" si="4"/>
        <v>2.315023068007001</v>
      </c>
      <c r="Q30" s="6">
        <f t="shared" si="14"/>
        <v>2.315023068007001</v>
      </c>
      <c r="R30" s="177">
        <f t="shared" si="15"/>
        <v>2.315023068007001</v>
      </c>
      <c r="S30" s="177">
        <f t="shared" si="16"/>
        <v>2.315023068007001</v>
      </c>
      <c r="T30" s="177">
        <f t="shared" si="17"/>
        <v>2.315023068007001</v>
      </c>
      <c r="U30" s="172">
        <f>IF(VLEESKALKOENEN!$H$15="ja",L30-((E30-G30*95%-I30)/E30*L30)*$R$6,L30-((E30-G30*80%-I30)/E30*L30)*$R$6)</f>
        <v>2.315023068007001</v>
      </c>
      <c r="V30" s="109">
        <f t="shared" si="5"/>
        <v>2.315023068007001</v>
      </c>
      <c r="W30" s="188">
        <f t="shared" si="18"/>
        <v>2.315023068007001</v>
      </c>
      <c r="X30" s="217">
        <f t="shared" si="19"/>
        <v>1</v>
      </c>
    </row>
    <row r="31" spans="1:32" x14ac:dyDescent="0.2">
      <c r="A31" s="1">
        <v>22</v>
      </c>
      <c r="B31" s="7">
        <v>0.82</v>
      </c>
      <c r="E31" s="7">
        <f t="shared" si="8"/>
        <v>0.94299999999999984</v>
      </c>
      <c r="F31" s="7">
        <f t="shared" si="9"/>
        <v>0.94299999999999984</v>
      </c>
      <c r="G31" s="179">
        <f t="shared" si="0"/>
        <v>0</v>
      </c>
      <c r="H31" s="179">
        <f t="shared" si="1"/>
        <v>0</v>
      </c>
      <c r="I31" s="179">
        <f t="shared" si="2"/>
        <v>0</v>
      </c>
      <c r="J31" s="6">
        <f t="shared" si="10"/>
        <v>0.31209235579839589</v>
      </c>
      <c r="K31" s="129">
        <v>1</v>
      </c>
      <c r="L31" s="6">
        <f t="shared" si="11"/>
        <v>2.5780950816966923</v>
      </c>
      <c r="M31" s="191">
        <f t="shared" si="12"/>
        <v>2.5780950816966923</v>
      </c>
      <c r="N31" s="131">
        <f t="shared" si="3"/>
        <v>2.5780950816966923</v>
      </c>
      <c r="O31" s="191">
        <f t="shared" si="13"/>
        <v>2.5780950816966923</v>
      </c>
      <c r="P31" s="191">
        <f t="shared" si="4"/>
        <v>2.5780950816966923</v>
      </c>
      <c r="Q31" s="6">
        <f t="shared" si="14"/>
        <v>2.5780950816966923</v>
      </c>
      <c r="R31" s="177">
        <f t="shared" si="15"/>
        <v>2.5780950816966923</v>
      </c>
      <c r="S31" s="177">
        <f t="shared" si="16"/>
        <v>2.5780950816966923</v>
      </c>
      <c r="T31" s="177">
        <f t="shared" si="17"/>
        <v>2.5780950816966923</v>
      </c>
      <c r="U31" s="172">
        <f>IF(VLEESKALKOENEN!$H$15="ja",L31-((E31-G31*95%-I31)/E31*L31)*$R$6,L31-((E31-G31*80%-I31)/E31*L31)*$R$6)</f>
        <v>2.5780950816966923</v>
      </c>
      <c r="V31" s="109">
        <f t="shared" si="5"/>
        <v>2.5780950816966923</v>
      </c>
      <c r="W31" s="188">
        <f t="shared" si="18"/>
        <v>2.5780950816966923</v>
      </c>
      <c r="X31" s="217">
        <f t="shared" si="19"/>
        <v>1</v>
      </c>
    </row>
    <row r="32" spans="1:32" x14ac:dyDescent="0.2">
      <c r="A32" s="1">
        <v>23</v>
      </c>
      <c r="B32" s="7">
        <v>0.89</v>
      </c>
      <c r="E32" s="7">
        <f t="shared" si="8"/>
        <v>1.0234999999999999</v>
      </c>
      <c r="F32" s="7">
        <f t="shared" si="9"/>
        <v>1.0234999999999999</v>
      </c>
      <c r="G32" s="179">
        <f t="shared" si="0"/>
        <v>0</v>
      </c>
      <c r="H32" s="179">
        <f t="shared" si="1"/>
        <v>0</v>
      </c>
      <c r="I32" s="179">
        <f t="shared" si="2"/>
        <v>0</v>
      </c>
      <c r="J32" s="6">
        <f t="shared" si="10"/>
        <v>0.31788801166521291</v>
      </c>
      <c r="K32" s="129">
        <v>1</v>
      </c>
      <c r="L32" s="6">
        <f t="shared" si="11"/>
        <v>2.8501394082686655</v>
      </c>
      <c r="M32" s="191">
        <f t="shared" si="12"/>
        <v>2.8501394082686655</v>
      </c>
      <c r="N32" s="131">
        <f t="shared" si="3"/>
        <v>2.8501394082686655</v>
      </c>
      <c r="O32" s="191">
        <f t="shared" si="13"/>
        <v>2.8501394082686655</v>
      </c>
      <c r="P32" s="191">
        <f t="shared" si="4"/>
        <v>2.8501394082686655</v>
      </c>
      <c r="Q32" s="6">
        <f t="shared" si="14"/>
        <v>2.8501394082686655</v>
      </c>
      <c r="R32" s="177">
        <f t="shared" si="15"/>
        <v>2.8501394082686655</v>
      </c>
      <c r="S32" s="177">
        <f t="shared" si="16"/>
        <v>2.8501394082686655</v>
      </c>
      <c r="T32" s="177">
        <f t="shared" si="17"/>
        <v>2.8501394082686655</v>
      </c>
      <c r="U32" s="172">
        <f>IF(VLEESKALKOENEN!$H$15="ja",L32-((E32-G32*95%-I32)/E32*L32)*$R$6,L32-((E32-G32*80%-I32)/E32*L32)*$R$6)</f>
        <v>2.8501394082686655</v>
      </c>
      <c r="V32" s="109">
        <f t="shared" si="5"/>
        <v>2.8501394082686655</v>
      </c>
      <c r="W32" s="188">
        <f t="shared" si="18"/>
        <v>2.8501394082686655</v>
      </c>
      <c r="X32" s="217">
        <f t="shared" si="19"/>
        <v>1</v>
      </c>
    </row>
    <row r="33" spans="1:24" x14ac:dyDescent="0.2">
      <c r="A33" s="1">
        <v>24</v>
      </c>
      <c r="B33" s="7">
        <v>0.96</v>
      </c>
      <c r="E33" s="7">
        <f t="shared" si="8"/>
        <v>1.1039999999999999</v>
      </c>
      <c r="F33" s="7">
        <f t="shared" si="9"/>
        <v>1.1039999999999999</v>
      </c>
      <c r="G33" s="179">
        <f t="shared" si="0"/>
        <v>0</v>
      </c>
      <c r="H33" s="179">
        <f t="shared" si="1"/>
        <v>0</v>
      </c>
      <c r="I33" s="205">
        <f t="shared" si="2"/>
        <v>0</v>
      </c>
      <c r="J33" s="6">
        <f t="shared" si="10"/>
        <v>0.32379129473372997</v>
      </c>
      <c r="K33" s="129">
        <v>1</v>
      </c>
      <c r="L33" s="6">
        <f t="shared" si="11"/>
        <v>3.1313985630216918</v>
      </c>
      <c r="M33" s="191">
        <f t="shared" si="12"/>
        <v>3.1313985630216918</v>
      </c>
      <c r="N33" s="131">
        <f t="shared" si="3"/>
        <v>3.1313985630216918</v>
      </c>
      <c r="O33" s="191">
        <f t="shared" si="13"/>
        <v>3.1313985630216918</v>
      </c>
      <c r="P33" s="191">
        <f t="shared" si="4"/>
        <v>3.1313985630216918</v>
      </c>
      <c r="Q33" s="6">
        <f t="shared" si="14"/>
        <v>3.1313985630216918</v>
      </c>
      <c r="R33" s="177">
        <f t="shared" si="15"/>
        <v>3.1313985630216918</v>
      </c>
      <c r="S33" s="177">
        <f t="shared" si="16"/>
        <v>3.1313985630216918</v>
      </c>
      <c r="T33" s="177">
        <f t="shared" si="17"/>
        <v>3.1313985630216918</v>
      </c>
      <c r="U33" s="172">
        <f>IF(VLEESKALKOENEN!$H$15="ja",L33-((E33-G33*95%-I33)/E33*L33)*$R$6,L33-((E33-G33*80%-I33)/E33*L33)*$R$6)</f>
        <v>3.1313985630216918</v>
      </c>
      <c r="V33" s="109">
        <f t="shared" si="5"/>
        <v>3.1313985630216918</v>
      </c>
      <c r="W33" s="188">
        <f t="shared" si="18"/>
        <v>3.1313985630216918</v>
      </c>
      <c r="X33" s="217">
        <f t="shared" si="19"/>
        <v>1</v>
      </c>
    </row>
    <row r="34" spans="1:24" x14ac:dyDescent="0.2">
      <c r="A34" s="1">
        <v>25</v>
      </c>
      <c r="B34" s="7">
        <v>1.03</v>
      </c>
      <c r="E34" s="7">
        <f t="shared" si="8"/>
        <v>1.1844999999999999</v>
      </c>
      <c r="F34" s="7">
        <f t="shared" si="9"/>
        <v>1.1844999999999999</v>
      </c>
      <c r="G34" s="179">
        <f t="shared" si="0"/>
        <v>0</v>
      </c>
      <c r="H34" s="179">
        <f t="shared" si="1"/>
        <v>0</v>
      </c>
      <c r="I34" s="179">
        <f t="shared" si="2"/>
        <v>0</v>
      </c>
      <c r="J34" s="6">
        <f t="shared" si="10"/>
        <v>0.32980420367585112</v>
      </c>
      <c r="K34" s="129">
        <v>1</v>
      </c>
      <c r="L34" s="6">
        <f t="shared" si="11"/>
        <v>3.4221209742654395</v>
      </c>
      <c r="M34" s="191">
        <f t="shared" si="12"/>
        <v>3.4221209742654395</v>
      </c>
      <c r="N34" s="131">
        <f t="shared" si="3"/>
        <v>3.4221209742654395</v>
      </c>
      <c r="O34" s="191">
        <f t="shared" si="13"/>
        <v>3.4221209742654395</v>
      </c>
      <c r="P34" s="191">
        <f t="shared" si="4"/>
        <v>3.4221209742654395</v>
      </c>
      <c r="Q34" s="6">
        <f t="shared" si="14"/>
        <v>3.4221209742654395</v>
      </c>
      <c r="R34" s="177">
        <f t="shared" si="15"/>
        <v>3.4221209742654395</v>
      </c>
      <c r="S34" s="177">
        <f t="shared" si="16"/>
        <v>3.4221209742654395</v>
      </c>
      <c r="T34" s="177">
        <f t="shared" si="17"/>
        <v>3.4221209742654395</v>
      </c>
      <c r="U34" s="172">
        <f>IF(VLEESKALKOENEN!$H$15="ja",L34-((E34-G34*95%-I34)/E34*L34)*$R$6,L34-((E34-G34*80%-I34)/E34*L34)*$R$6)</f>
        <v>3.4221209742654395</v>
      </c>
      <c r="V34" s="109">
        <f>L34-((E34-G34-I34)/E34*L34)*$R$6</f>
        <v>3.4221209742654395</v>
      </c>
      <c r="W34" s="188">
        <f t="shared" si="18"/>
        <v>3.4221209742654395</v>
      </c>
      <c r="X34" s="217">
        <f t="shared" si="19"/>
        <v>1</v>
      </c>
    </row>
    <row r="35" spans="1:24" x14ac:dyDescent="0.2">
      <c r="A35" s="1">
        <v>26</v>
      </c>
      <c r="B35" s="7">
        <v>1.1100000000000001</v>
      </c>
      <c r="E35" s="7">
        <f t="shared" si="8"/>
        <v>1.2765</v>
      </c>
      <c r="F35" s="7">
        <f t="shared" si="9"/>
        <v>1.2765</v>
      </c>
      <c r="G35" s="179">
        <f t="shared" si="0"/>
        <v>0</v>
      </c>
      <c r="H35" s="179">
        <f>IF(E35&lt;$R$5,E35-G35,$R$5)</f>
        <v>0</v>
      </c>
      <c r="I35" s="179">
        <f t="shared" si="2"/>
        <v>0</v>
      </c>
      <c r="J35" s="6">
        <f t="shared" si="10"/>
        <v>0.33592877427946305</v>
      </c>
      <c r="K35" s="129">
        <v>1</v>
      </c>
      <c r="L35" s="6">
        <f t="shared" si="11"/>
        <v>3.7564025840213549</v>
      </c>
      <c r="M35" s="191">
        <f t="shared" si="12"/>
        <v>3.7564025840213549</v>
      </c>
      <c r="N35" s="131">
        <f t="shared" si="3"/>
        <v>3.7564025840213549</v>
      </c>
      <c r="O35" s="191">
        <f t="shared" si="13"/>
        <v>3.7564025840213549</v>
      </c>
      <c r="P35" s="191">
        <f t="shared" si="4"/>
        <v>3.7564025840213549</v>
      </c>
      <c r="Q35" s="6">
        <f t="shared" si="14"/>
        <v>3.7564025840213549</v>
      </c>
      <c r="R35" s="177">
        <f t="shared" si="15"/>
        <v>3.7564025840213549</v>
      </c>
      <c r="S35" s="177">
        <f t="shared" si="16"/>
        <v>3.7564025840213549</v>
      </c>
      <c r="T35" s="177">
        <f t="shared" si="17"/>
        <v>3.7564025840213549</v>
      </c>
      <c r="U35" s="172">
        <f>IF(VLEESKALKOENEN!$H$15="ja",L35-((E35-G35*95%-I35)/E35*L35)*$R$6,L35-((E35-G35*80%-I35)/E35*L35)*$R$6)</f>
        <v>3.7564025840213549</v>
      </c>
      <c r="V35" s="109">
        <f t="shared" ref="V35:V98" si="24">L35-((E35-G35-I35)/E35*L35)*$R$6</f>
        <v>3.7564025840213549</v>
      </c>
      <c r="W35" s="188">
        <f t="shared" si="18"/>
        <v>3.7564025840213549</v>
      </c>
      <c r="X35" s="217">
        <f t="shared" si="19"/>
        <v>1</v>
      </c>
    </row>
    <row r="36" spans="1:24" x14ac:dyDescent="0.2">
      <c r="A36" s="1">
        <v>27</v>
      </c>
      <c r="B36" s="7">
        <v>1.19</v>
      </c>
      <c r="E36" s="7">
        <f t="shared" si="8"/>
        <v>1.3684999999999998</v>
      </c>
      <c r="F36" s="7">
        <f t="shared" si="9"/>
        <v>1.3684999999999998</v>
      </c>
      <c r="G36" s="179">
        <f>IF($R$4&gt;0&lt;E36,E36,IF($R$4&gt;E36,E36,$R$4))</f>
        <v>0</v>
      </c>
      <c r="H36" s="179">
        <f t="shared" ref="H36:H99" si="25">IF(E36&lt;$R$5,E36-G36,$R$5)</f>
        <v>0</v>
      </c>
      <c r="I36" s="179">
        <f t="shared" si="2"/>
        <v>0</v>
      </c>
      <c r="J36" s="6">
        <f t="shared" si="10"/>
        <v>0.34216708013769137</v>
      </c>
      <c r="K36" s="129">
        <v>1</v>
      </c>
      <c r="L36" s="6">
        <f t="shared" si="11"/>
        <v>4.1019194867154516</v>
      </c>
      <c r="M36" s="191">
        <f t="shared" si="12"/>
        <v>4.1019194867154516</v>
      </c>
      <c r="N36" s="131">
        <f t="shared" si="3"/>
        <v>4.1019194867154516</v>
      </c>
      <c r="O36" s="191">
        <f t="shared" si="13"/>
        <v>4.1019194867154516</v>
      </c>
      <c r="P36" s="191">
        <f t="shared" si="4"/>
        <v>4.1019194867154516</v>
      </c>
      <c r="Q36" s="6">
        <f t="shared" si="14"/>
        <v>4.1019194867154516</v>
      </c>
      <c r="R36" s="177">
        <f t="shared" si="15"/>
        <v>4.1019194867154516</v>
      </c>
      <c r="S36" s="177">
        <f t="shared" si="16"/>
        <v>4.1019194867154516</v>
      </c>
      <c r="T36" s="177">
        <f t="shared" si="17"/>
        <v>4.1019194867154516</v>
      </c>
      <c r="U36" s="172">
        <f>IF(VLEESKALKOENEN!$H$15="ja",L36-((E36-G36*95%-I36)/E36*L36)*$R$6,L36-((E36-G36*80%-I36)/E36*L36)*$R$6)</f>
        <v>4.1019194867154516</v>
      </c>
      <c r="V36" s="109">
        <f t="shared" si="24"/>
        <v>4.1019194867154516</v>
      </c>
      <c r="W36" s="188">
        <f t="shared" si="18"/>
        <v>4.1019194867154516</v>
      </c>
      <c r="X36" s="217">
        <f t="shared" si="19"/>
        <v>1</v>
      </c>
    </row>
    <row r="37" spans="1:24" x14ac:dyDescent="0.2">
      <c r="A37" s="1">
        <v>28</v>
      </c>
      <c r="B37" s="7">
        <v>1.27</v>
      </c>
      <c r="E37" s="7">
        <f t="shared" si="8"/>
        <v>1.4604999999999999</v>
      </c>
      <c r="F37" s="7">
        <f t="shared" si="9"/>
        <v>1.4604999999999999</v>
      </c>
      <c r="G37" s="179">
        <f t="shared" ref="G37:G100" si="26">IF($R$4&gt;0&lt;E37,E37,IF($R$4&gt;E37,E37,$R$4))</f>
        <v>0</v>
      </c>
      <c r="H37" s="179">
        <f t="shared" si="25"/>
        <v>0</v>
      </c>
      <c r="I37" s="179">
        <f t="shared" si="2"/>
        <v>0</v>
      </c>
      <c r="J37" s="6">
        <f t="shared" si="10"/>
        <v>0.34852123335095586</v>
      </c>
      <c r="K37" s="129">
        <v>1</v>
      </c>
      <c r="L37" s="6">
        <f t="shared" si="11"/>
        <v>4.4589736890674621</v>
      </c>
      <c r="M37" s="191">
        <f t="shared" si="12"/>
        <v>4.4589736890674621</v>
      </c>
      <c r="N37" s="131">
        <f t="shared" si="3"/>
        <v>4.4589736890674621</v>
      </c>
      <c r="O37" s="191">
        <f t="shared" si="13"/>
        <v>4.4589736890674621</v>
      </c>
      <c r="P37" s="191">
        <f t="shared" si="4"/>
        <v>4.4589736890674621</v>
      </c>
      <c r="Q37" s="6">
        <f t="shared" si="14"/>
        <v>4.4589736890674621</v>
      </c>
      <c r="R37" s="177">
        <f t="shared" si="15"/>
        <v>4.4589736890674621</v>
      </c>
      <c r="S37" s="177">
        <f t="shared" si="16"/>
        <v>4.4589736890674621</v>
      </c>
      <c r="T37" s="177">
        <f t="shared" si="17"/>
        <v>4.4589736890674621</v>
      </c>
      <c r="U37" s="172">
        <f>IF(VLEESKALKOENEN!$H$15="ja",L37-((E37-G37*95%-I37)/E37*L37)*$R$6,L37-((E37-G37*80%-I37)/E37*L37)*$R$6)</f>
        <v>4.4589736890674621</v>
      </c>
      <c r="V37" s="109">
        <f t="shared" si="24"/>
        <v>4.4589736890674621</v>
      </c>
      <c r="W37" s="188">
        <f t="shared" si="18"/>
        <v>4.4589736890674621</v>
      </c>
      <c r="X37" s="217">
        <f t="shared" si="19"/>
        <v>1</v>
      </c>
    </row>
    <row r="38" spans="1:24" x14ac:dyDescent="0.2">
      <c r="A38" s="1">
        <v>29</v>
      </c>
      <c r="B38" s="7">
        <v>1.36</v>
      </c>
      <c r="E38" s="7">
        <f t="shared" si="8"/>
        <v>1.5640000000000001</v>
      </c>
      <c r="F38" s="7">
        <f t="shared" si="9"/>
        <v>1.5640000000000001</v>
      </c>
      <c r="G38" s="179">
        <f t="shared" si="26"/>
        <v>0</v>
      </c>
      <c r="H38" s="179">
        <f t="shared" si="25"/>
        <v>0</v>
      </c>
      <c r="I38" s="179">
        <f t="shared" si="2"/>
        <v>0</v>
      </c>
      <c r="J38" s="6">
        <f t="shared" si="10"/>
        <v>0.35499338524206325</v>
      </c>
      <c r="K38" s="129">
        <v>1</v>
      </c>
      <c r="L38" s="6">
        <f t="shared" si="11"/>
        <v>4.8636365735828218</v>
      </c>
      <c r="M38" s="191">
        <f t="shared" si="12"/>
        <v>4.8636365735828218</v>
      </c>
      <c r="N38" s="131">
        <f>(((($J38*(1-$R$2))-$J$3)/1000*$F38*24*365*$K38)*(1-R$4))+(((($J38*(1-$R$2))-$J$3)/1000*$G38*24*365*$K38)*(1-R$3))</f>
        <v>4.8636365735828218</v>
      </c>
      <c r="O38" s="191">
        <f t="shared" si="13"/>
        <v>4.8636365735828218</v>
      </c>
      <c r="P38" s="191">
        <f t="shared" si="4"/>
        <v>4.8636365735828218</v>
      </c>
      <c r="Q38" s="6">
        <f t="shared" si="14"/>
        <v>4.8636365735828218</v>
      </c>
      <c r="R38" s="177">
        <f t="shared" si="15"/>
        <v>4.8636365735828218</v>
      </c>
      <c r="S38" s="177">
        <f t="shared" si="16"/>
        <v>4.8636365735828218</v>
      </c>
      <c r="T38" s="177">
        <f t="shared" si="17"/>
        <v>4.8636365735828218</v>
      </c>
      <c r="U38" s="172">
        <f>IF(VLEESKALKOENEN!$H$15="ja",L38-((E38-G38*95%-I38)/E38*L38)*$R$6,L38-((E38-G38*80%-I38)/E38*L38)*$R$6)</f>
        <v>4.8636365735828218</v>
      </c>
      <c r="V38" s="109">
        <f t="shared" si="24"/>
        <v>4.8636365735828218</v>
      </c>
      <c r="W38" s="188">
        <f t="shared" si="18"/>
        <v>4.8636365735828218</v>
      </c>
      <c r="X38" s="217">
        <f t="shared" si="19"/>
        <v>1</v>
      </c>
    </row>
    <row r="39" spans="1:24" x14ac:dyDescent="0.2">
      <c r="A39" s="1">
        <v>30</v>
      </c>
      <c r="B39" s="7">
        <v>1.45</v>
      </c>
      <c r="E39" s="7">
        <f t="shared" si="8"/>
        <v>1.6674999999999998</v>
      </c>
      <c r="F39" s="7">
        <f t="shared" si="9"/>
        <v>1.6674999999999998</v>
      </c>
      <c r="G39" s="179">
        <f t="shared" si="26"/>
        <v>0</v>
      </c>
      <c r="H39" s="179">
        <f t="shared" si="25"/>
        <v>0</v>
      </c>
      <c r="I39" s="179">
        <f t="shared" si="2"/>
        <v>0</v>
      </c>
      <c r="J39" s="6">
        <f t="shared" si="10"/>
        <v>0.36158572708458003</v>
      </c>
      <c r="K39" s="129">
        <v>1</v>
      </c>
      <c r="L39" s="6">
        <f t="shared" si="11"/>
        <v>5.2817911912425854</v>
      </c>
      <c r="M39" s="191">
        <f t="shared" si="12"/>
        <v>5.2817911912425854</v>
      </c>
      <c r="N39" s="131">
        <f>(((($J39*(1-$R$2))-$J$3)/1000*$F39*24*365*$K39)*(1-R$4))+(((($J39*(1-$R$2))-$J$3)/1000*$G39*24*365*$K39)*(1-R$3))</f>
        <v>5.2817911912425854</v>
      </c>
      <c r="O39" s="191">
        <f t="shared" si="13"/>
        <v>5.2817911912425854</v>
      </c>
      <c r="P39" s="191">
        <f t="shared" si="4"/>
        <v>5.2817911912425854</v>
      </c>
      <c r="Q39" s="6">
        <f t="shared" si="14"/>
        <v>5.2817911912425854</v>
      </c>
      <c r="R39" s="177">
        <f t="shared" si="15"/>
        <v>5.2817911912425854</v>
      </c>
      <c r="S39" s="177">
        <f t="shared" si="16"/>
        <v>5.2817911912425854</v>
      </c>
      <c r="T39" s="177">
        <f t="shared" si="17"/>
        <v>5.2817911912425854</v>
      </c>
      <c r="U39" s="172">
        <f>IF(VLEESKALKOENEN!$H$15="ja",L39-((E39-G39*95%-I39)/E39*L39)*$R$6,L39-((E39-G39*80%-I39)/E39*L39)*$R$6)</f>
        <v>5.2817911912425854</v>
      </c>
      <c r="V39" s="109">
        <f t="shared" si="24"/>
        <v>5.2817911912425854</v>
      </c>
      <c r="W39" s="188">
        <f t="shared" si="18"/>
        <v>5.2817911912425854</v>
      </c>
      <c r="X39" s="217">
        <f t="shared" si="19"/>
        <v>1</v>
      </c>
    </row>
    <row r="40" spans="1:24" x14ac:dyDescent="0.2">
      <c r="A40" s="1">
        <v>31</v>
      </c>
      <c r="B40" s="7">
        <v>1.54</v>
      </c>
      <c r="E40" s="7">
        <f t="shared" si="8"/>
        <v>1.7709999999999999</v>
      </c>
      <c r="F40" s="7">
        <f t="shared" si="9"/>
        <v>1.7709999999999999</v>
      </c>
      <c r="G40" s="179">
        <f t="shared" si="26"/>
        <v>0</v>
      </c>
      <c r="H40" s="179">
        <f t="shared" si="25"/>
        <v>0</v>
      </c>
      <c r="I40" s="179">
        <f t="shared" si="2"/>
        <v>0</v>
      </c>
      <c r="J40" s="6">
        <f t="shared" si="10"/>
        <v>0.36830049084473043</v>
      </c>
      <c r="K40" s="129">
        <v>1</v>
      </c>
      <c r="L40" s="6">
        <f t="shared" si="11"/>
        <v>5.7137990829455143</v>
      </c>
      <c r="M40" s="191">
        <f t="shared" si="12"/>
        <v>5.7137990829455143</v>
      </c>
      <c r="N40" s="131">
        <f>(((($J40*(1-$R$2))-$J$3)/1000*$F40*24*365*$K40)*(1-R$4))+(((($J40*(1-$R$2))-$J$3)/1000*$G40*24*365*$K40)*(1-R$3))</f>
        <v>5.7137990829455143</v>
      </c>
      <c r="O40" s="191">
        <f t="shared" si="13"/>
        <v>5.7137990829455143</v>
      </c>
      <c r="P40" s="191">
        <f t="shared" si="4"/>
        <v>5.7137990829455143</v>
      </c>
      <c r="Q40" s="6">
        <f t="shared" si="14"/>
        <v>5.7137990829455143</v>
      </c>
      <c r="R40" s="177">
        <f t="shared" si="15"/>
        <v>5.7137990829455143</v>
      </c>
      <c r="S40" s="177">
        <f t="shared" si="16"/>
        <v>5.7137990829455143</v>
      </c>
      <c r="T40" s="177">
        <f t="shared" si="17"/>
        <v>5.7137990829455143</v>
      </c>
      <c r="U40" s="172">
        <f>IF(VLEESKALKOENEN!$H$15="ja",L40-((E40-G40*95%-I40)/E40*L40)*$R$6,L40-((E40-G40*80%-I40)/E40*L40)*$R$6)</f>
        <v>5.7137990829455143</v>
      </c>
      <c r="V40" s="109">
        <f t="shared" si="24"/>
        <v>5.7137990829455143</v>
      </c>
      <c r="W40" s="188">
        <f t="shared" si="18"/>
        <v>5.7137990829455143</v>
      </c>
      <c r="X40" s="217">
        <f t="shared" si="19"/>
        <v>1</v>
      </c>
    </row>
    <row r="41" spans="1:24" x14ac:dyDescent="0.2">
      <c r="A41" s="1">
        <v>32</v>
      </c>
      <c r="B41" s="7">
        <v>1.64</v>
      </c>
      <c r="E41" s="7">
        <f t="shared" si="8"/>
        <v>1.8859999999999997</v>
      </c>
      <c r="F41" s="7">
        <f t="shared" si="9"/>
        <v>1.8859999999999997</v>
      </c>
      <c r="G41" s="179">
        <f t="shared" si="26"/>
        <v>0</v>
      </c>
      <c r="H41" s="179">
        <f t="shared" si="25"/>
        <v>0</v>
      </c>
      <c r="I41" s="179">
        <f t="shared" si="2"/>
        <v>0</v>
      </c>
      <c r="J41" s="6">
        <f t="shared" si="10"/>
        <v>0.37513994993707267</v>
      </c>
      <c r="K41" s="129">
        <v>1</v>
      </c>
      <c r="L41" s="6">
        <f t="shared" si="11"/>
        <v>6.1978221632923534</v>
      </c>
      <c r="M41" s="191">
        <f t="shared" si="12"/>
        <v>6.1978221632923534</v>
      </c>
      <c r="N41" s="131">
        <f t="shared" ref="N41:N104" si="27">(((($J41*(1-$R$2))-$J$3)/1000*$F41*24*365*$K41)*(1-R$5))+(((($J41*(1-$R$2))-$J$3)/1000*$G41*24*365*$K41)*(1-R$3))</f>
        <v>6.1978221632923534</v>
      </c>
      <c r="O41" s="191">
        <f t="shared" si="13"/>
        <v>6.1978221632923534</v>
      </c>
      <c r="P41" s="191">
        <f t="shared" si="4"/>
        <v>6.1978221632923534</v>
      </c>
      <c r="Q41" s="6">
        <f t="shared" si="14"/>
        <v>6.1978221632923534</v>
      </c>
      <c r="R41" s="177">
        <f t="shared" si="15"/>
        <v>6.1978221632923534</v>
      </c>
      <c r="S41" s="177">
        <f t="shared" si="16"/>
        <v>6.1978221632923534</v>
      </c>
      <c r="T41" s="177">
        <f t="shared" si="17"/>
        <v>6.1978221632923534</v>
      </c>
      <c r="U41" s="172">
        <f>IF(VLEESKALKOENEN!$H$15="ja",L41-((E41-G41*95%-I41)/E41*L41)*$R$6,L41-((E41-G41*80%-I41)/E41*L41)*$R$6)</f>
        <v>6.1978221632923534</v>
      </c>
      <c r="V41" s="109">
        <f t="shared" si="24"/>
        <v>6.1978221632923534</v>
      </c>
      <c r="W41" s="188">
        <f t="shared" si="18"/>
        <v>6.1978221632923534</v>
      </c>
      <c r="X41" s="217">
        <f t="shared" si="19"/>
        <v>1</v>
      </c>
    </row>
    <row r="42" spans="1:24" x14ac:dyDescent="0.2">
      <c r="A42" s="1">
        <v>33</v>
      </c>
      <c r="B42" s="7">
        <v>1.74</v>
      </c>
      <c r="E42" s="7">
        <f t="shared" si="8"/>
        <v>2.0009999999999999</v>
      </c>
      <c r="F42" s="7">
        <f t="shared" si="9"/>
        <v>2.0009999999999999</v>
      </c>
      <c r="G42" s="179">
        <f t="shared" si="26"/>
        <v>0</v>
      </c>
      <c r="H42" s="179">
        <f t="shared" si="25"/>
        <v>0</v>
      </c>
      <c r="I42" s="179">
        <f t="shared" si="2"/>
        <v>0</v>
      </c>
      <c r="J42" s="6">
        <f t="shared" si="10"/>
        <v>0.38210641999420758</v>
      </c>
      <c r="K42" s="129">
        <v>1</v>
      </c>
      <c r="L42" s="6">
        <f t="shared" si="11"/>
        <v>6.6978517305376659</v>
      </c>
      <c r="M42" s="191">
        <f t="shared" si="12"/>
        <v>6.6978517305376659</v>
      </c>
      <c r="N42" s="131">
        <f t="shared" si="27"/>
        <v>6.6978517305376659</v>
      </c>
      <c r="O42" s="191">
        <f t="shared" si="13"/>
        <v>6.6978517305376659</v>
      </c>
      <c r="P42" s="191">
        <f t="shared" si="4"/>
        <v>6.6978517305376659</v>
      </c>
      <c r="Q42" s="6">
        <f t="shared" si="14"/>
        <v>6.6978517305376659</v>
      </c>
      <c r="R42" s="177">
        <f t="shared" si="15"/>
        <v>6.6978517305376659</v>
      </c>
      <c r="S42" s="177">
        <f t="shared" si="16"/>
        <v>6.6978517305376659</v>
      </c>
      <c r="T42" s="177">
        <f t="shared" si="17"/>
        <v>6.6978517305376659</v>
      </c>
      <c r="U42" s="172">
        <f>IF(VLEESKALKOENEN!$H$15="ja",L42-((E42-G42*95%-I42)/E42*L42)*$R$6,L42-((E42-G42*80%-I42)/E42*L42)*$R$6)</f>
        <v>6.6978517305376659</v>
      </c>
      <c r="V42" s="109">
        <f t="shared" si="24"/>
        <v>6.6978517305376659</v>
      </c>
      <c r="W42" s="188">
        <f t="shared" si="18"/>
        <v>6.6978517305376659</v>
      </c>
      <c r="X42" s="217">
        <f t="shared" si="19"/>
        <v>1</v>
      </c>
    </row>
    <row r="43" spans="1:24" x14ac:dyDescent="0.2">
      <c r="A43" s="1">
        <v>34</v>
      </c>
      <c r="B43" s="7">
        <v>1.84</v>
      </c>
      <c r="E43" s="7">
        <f t="shared" si="8"/>
        <v>2.1160000000000001</v>
      </c>
      <c r="F43" s="7">
        <f t="shared" si="9"/>
        <v>2.1160000000000001</v>
      </c>
      <c r="G43" s="179">
        <f t="shared" si="26"/>
        <v>0</v>
      </c>
      <c r="H43" s="179">
        <f t="shared" si="25"/>
        <v>0</v>
      </c>
      <c r="I43" s="179">
        <f t="shared" si="2"/>
        <v>0</v>
      </c>
      <c r="J43" s="6">
        <f t="shared" si="10"/>
        <v>0.38920225965078159</v>
      </c>
      <c r="K43" s="129">
        <v>1</v>
      </c>
      <c r="L43" s="6">
        <f t="shared" si="11"/>
        <v>7.2143153572484318</v>
      </c>
      <c r="M43" s="191">
        <f t="shared" si="12"/>
        <v>7.2143153572484318</v>
      </c>
      <c r="N43" s="131">
        <f t="shared" si="27"/>
        <v>7.2143153572484318</v>
      </c>
      <c r="O43" s="191">
        <f t="shared" si="13"/>
        <v>7.2143153572484318</v>
      </c>
      <c r="P43" s="191">
        <f t="shared" si="4"/>
        <v>7.2143153572484318</v>
      </c>
      <c r="Q43" s="6">
        <f t="shared" si="14"/>
        <v>7.2143153572484318</v>
      </c>
      <c r="R43" s="177">
        <f t="shared" si="15"/>
        <v>7.2143153572484318</v>
      </c>
      <c r="S43" s="177">
        <f t="shared" si="16"/>
        <v>7.2143153572484318</v>
      </c>
      <c r="T43" s="177">
        <f t="shared" si="17"/>
        <v>7.2143153572484318</v>
      </c>
      <c r="U43" s="172">
        <f>IF(VLEESKALKOENEN!$H$15="ja",L43-((E43-G43*95%-I43)/E43*L43)*$R$6,L43-((E43-G43*80%-I43)/E43*L43)*$R$6)</f>
        <v>7.2143153572484318</v>
      </c>
      <c r="V43" s="109">
        <f t="shared" si="24"/>
        <v>7.2143153572484318</v>
      </c>
      <c r="W43" s="188">
        <f t="shared" si="18"/>
        <v>7.2143153572484318</v>
      </c>
      <c r="X43" s="217">
        <f t="shared" si="19"/>
        <v>1</v>
      </c>
    </row>
    <row r="44" spans="1:24" x14ac:dyDescent="0.2">
      <c r="A44" s="1">
        <v>35</v>
      </c>
      <c r="B44" s="7">
        <v>1.95</v>
      </c>
      <c r="E44" s="7">
        <f t="shared" si="8"/>
        <v>2.2424999999999997</v>
      </c>
      <c r="F44" s="7">
        <f t="shared" si="9"/>
        <v>2.2424999999999997</v>
      </c>
      <c r="G44" s="179">
        <f t="shared" si="26"/>
        <v>0</v>
      </c>
      <c r="H44" s="179">
        <f t="shared" si="25"/>
        <v>0</v>
      </c>
      <c r="I44" s="179">
        <f t="shared" si="2"/>
        <v>0</v>
      </c>
      <c r="J44" s="6">
        <f t="shared" si="10"/>
        <v>0.39642987134204843</v>
      </c>
      <c r="K44" s="129">
        <v>1</v>
      </c>
      <c r="L44" s="6">
        <f t="shared" si="11"/>
        <v>7.787587321604601</v>
      </c>
      <c r="M44" s="191">
        <f t="shared" si="12"/>
        <v>7.787587321604601</v>
      </c>
      <c r="N44" s="131">
        <f t="shared" si="27"/>
        <v>7.787587321604601</v>
      </c>
      <c r="O44" s="191">
        <f t="shared" si="13"/>
        <v>7.787587321604601</v>
      </c>
      <c r="P44" s="191">
        <f t="shared" si="4"/>
        <v>7.787587321604601</v>
      </c>
      <c r="Q44" s="6">
        <f t="shared" si="14"/>
        <v>7.787587321604601</v>
      </c>
      <c r="R44" s="177">
        <f t="shared" si="15"/>
        <v>7.787587321604601</v>
      </c>
      <c r="S44" s="177">
        <f t="shared" si="16"/>
        <v>7.787587321604601</v>
      </c>
      <c r="T44" s="177">
        <f t="shared" si="17"/>
        <v>7.787587321604601</v>
      </c>
      <c r="U44" s="172">
        <f>IF(VLEESKALKOENEN!$H$15="ja",L44-((E44-G44*95%-I44)/E44*L44)*$R$6,L44-((E44-G44*80%-I44)/E44*L44)*$R$6)</f>
        <v>7.787587321604601</v>
      </c>
      <c r="V44" s="109">
        <f t="shared" si="24"/>
        <v>7.787587321604601</v>
      </c>
      <c r="W44" s="188">
        <f t="shared" si="18"/>
        <v>7.787587321604601</v>
      </c>
      <c r="X44" s="217">
        <f t="shared" si="19"/>
        <v>1</v>
      </c>
    </row>
    <row r="45" spans="1:24" x14ac:dyDescent="0.2">
      <c r="A45" s="1">
        <v>36</v>
      </c>
      <c r="B45" s="7">
        <v>2.06</v>
      </c>
      <c r="E45" s="7">
        <f t="shared" si="8"/>
        <v>2.3689999999999998</v>
      </c>
      <c r="F45" s="7">
        <f t="shared" si="9"/>
        <v>2.3689999999999998</v>
      </c>
      <c r="G45" s="179">
        <f t="shared" si="26"/>
        <v>0</v>
      </c>
      <c r="H45" s="179">
        <f t="shared" si="25"/>
        <v>0</v>
      </c>
      <c r="I45" s="179">
        <f t="shared" si="2"/>
        <v>0</v>
      </c>
      <c r="J45" s="6">
        <f t="shared" si="10"/>
        <v>0.40379170211726045</v>
      </c>
      <c r="K45" s="129">
        <v>1</v>
      </c>
      <c r="L45" s="6">
        <f t="shared" si="11"/>
        <v>8.3796630706863198</v>
      </c>
      <c r="M45" s="191">
        <f t="shared" si="12"/>
        <v>8.3796630706863198</v>
      </c>
      <c r="N45" s="131">
        <f t="shared" si="27"/>
        <v>8.3796630706863198</v>
      </c>
      <c r="O45" s="191">
        <f t="shared" si="13"/>
        <v>8.3796630706863198</v>
      </c>
      <c r="P45" s="191">
        <f t="shared" si="4"/>
        <v>8.3796630706863198</v>
      </c>
      <c r="Q45" s="6">
        <f t="shared" si="14"/>
        <v>8.3796630706863198</v>
      </c>
      <c r="R45" s="177">
        <f t="shared" si="15"/>
        <v>8.3796630706863198</v>
      </c>
      <c r="S45" s="177">
        <f t="shared" si="16"/>
        <v>8.3796630706863198</v>
      </c>
      <c r="T45" s="177">
        <f t="shared" si="17"/>
        <v>8.3796630706863198</v>
      </c>
      <c r="U45" s="172">
        <f>IF(VLEESKALKOENEN!$H$15="ja",L45-((E45-G45*95%-I45)/E45*L45)*$R$6,L45-((E45-G45*80%-I45)/E45*L45)*$R$6)</f>
        <v>8.3796630706863198</v>
      </c>
      <c r="V45" s="109">
        <f t="shared" si="24"/>
        <v>8.3796630706863198</v>
      </c>
      <c r="W45" s="188">
        <f t="shared" si="18"/>
        <v>8.3796630706863198</v>
      </c>
      <c r="X45" s="217">
        <f t="shared" si="19"/>
        <v>1</v>
      </c>
    </row>
    <row r="46" spans="1:24" x14ac:dyDescent="0.2">
      <c r="A46" s="1">
        <v>37</v>
      </c>
      <c r="B46" s="7">
        <v>2.17</v>
      </c>
      <c r="E46" s="7">
        <f t="shared" si="8"/>
        <v>2.4954999999999998</v>
      </c>
      <c r="F46" s="7">
        <f t="shared" si="9"/>
        <v>2.4954999999999998</v>
      </c>
      <c r="G46" s="179">
        <f t="shared" si="26"/>
        <v>0</v>
      </c>
      <c r="H46" s="179">
        <f t="shared" si="25"/>
        <v>0</v>
      </c>
      <c r="I46" s="179">
        <f t="shared" si="2"/>
        <v>0</v>
      </c>
      <c r="J46" s="6">
        <f t="shared" si="10"/>
        <v>0.4112902444681652</v>
      </c>
      <c r="K46" s="129">
        <v>1</v>
      </c>
      <c r="L46" s="6">
        <f t="shared" si="11"/>
        <v>8.991043292415883</v>
      </c>
      <c r="M46" s="191">
        <f t="shared" si="12"/>
        <v>8.991043292415883</v>
      </c>
      <c r="N46" s="131">
        <f t="shared" si="27"/>
        <v>8.991043292415883</v>
      </c>
      <c r="O46" s="191">
        <f t="shared" si="13"/>
        <v>8.991043292415883</v>
      </c>
      <c r="P46" s="191">
        <f t="shared" si="4"/>
        <v>8.991043292415883</v>
      </c>
      <c r="Q46" s="6">
        <f t="shared" si="14"/>
        <v>8.991043292415883</v>
      </c>
      <c r="R46" s="177">
        <f t="shared" si="15"/>
        <v>8.991043292415883</v>
      </c>
      <c r="S46" s="177">
        <f t="shared" si="16"/>
        <v>8.991043292415883</v>
      </c>
      <c r="T46" s="177">
        <f t="shared" si="17"/>
        <v>8.991043292415883</v>
      </c>
      <c r="U46" s="172">
        <f>IF(VLEESKALKOENEN!$H$15="ja",L46-((E46-G46*95%-I46)/E46*L46)*$R$6,L46-((E46-G46*80%-I46)/E46*L46)*$R$6)</f>
        <v>8.991043292415883</v>
      </c>
      <c r="V46" s="109">
        <f t="shared" si="24"/>
        <v>8.991043292415883</v>
      </c>
      <c r="W46" s="188">
        <f t="shared" si="18"/>
        <v>8.991043292415883</v>
      </c>
      <c r="X46" s="217">
        <f t="shared" si="19"/>
        <v>1</v>
      </c>
    </row>
    <row r="47" spans="1:24" x14ac:dyDescent="0.2">
      <c r="A47" s="1">
        <v>38</v>
      </c>
      <c r="B47" s="7">
        <v>2.2799999999999998</v>
      </c>
      <c r="E47" s="7">
        <f t="shared" si="8"/>
        <v>2.6219999999999994</v>
      </c>
      <c r="F47" s="7">
        <f t="shared" si="9"/>
        <v>2.6219999999999994</v>
      </c>
      <c r="G47" s="179">
        <f t="shared" si="26"/>
        <v>0</v>
      </c>
      <c r="H47" s="179">
        <f t="shared" si="25"/>
        <v>0</v>
      </c>
      <c r="I47" s="179">
        <f t="shared" si="2"/>
        <v>0</v>
      </c>
      <c r="J47" s="6">
        <f t="shared" si="10"/>
        <v>0.41892803717288729</v>
      </c>
      <c r="K47" s="129">
        <v>1</v>
      </c>
      <c r="L47" s="6">
        <f t="shared" si="11"/>
        <v>9.6222407859736379</v>
      </c>
      <c r="M47" s="191">
        <f t="shared" si="12"/>
        <v>9.6222407859736379</v>
      </c>
      <c r="N47" s="131">
        <f t="shared" si="27"/>
        <v>9.6222407859736379</v>
      </c>
      <c r="O47" s="191">
        <f t="shared" si="13"/>
        <v>9.6222407859736379</v>
      </c>
      <c r="P47" s="191">
        <f t="shared" si="4"/>
        <v>9.6222407859736379</v>
      </c>
      <c r="Q47" s="6">
        <f t="shared" si="14"/>
        <v>9.6222407859736379</v>
      </c>
      <c r="R47" s="177">
        <f t="shared" si="15"/>
        <v>9.6222407859736379</v>
      </c>
      <c r="S47" s="177">
        <f t="shared" si="16"/>
        <v>9.6222407859736379</v>
      </c>
      <c r="T47" s="177">
        <f t="shared" si="17"/>
        <v>9.6222407859736379</v>
      </c>
      <c r="U47" s="172">
        <f>IF(VLEESKALKOENEN!$H$15="ja",L47-((E47-G47*95%-I47)/E47*L47)*$R$6,L47-((E47-G47*80%-I47)/E47*L47)*$R$6)</f>
        <v>9.6222407859736379</v>
      </c>
      <c r="V47" s="109">
        <f t="shared" si="24"/>
        <v>9.6222407859736379</v>
      </c>
      <c r="W47" s="188">
        <f t="shared" si="18"/>
        <v>9.6222407859736379</v>
      </c>
      <c r="X47" s="217">
        <f t="shared" si="19"/>
        <v>1</v>
      </c>
    </row>
    <row r="48" spans="1:24" x14ac:dyDescent="0.2">
      <c r="A48" s="1">
        <v>39</v>
      </c>
      <c r="B48" s="7">
        <v>2.4</v>
      </c>
      <c r="E48" s="7">
        <f t="shared" si="8"/>
        <v>2.76</v>
      </c>
      <c r="F48" s="7">
        <f t="shared" si="9"/>
        <v>2.76</v>
      </c>
      <c r="G48" s="179">
        <f t="shared" si="26"/>
        <v>0</v>
      </c>
      <c r="H48" s="179">
        <f t="shared" si="25"/>
        <v>0</v>
      </c>
      <c r="I48" s="179">
        <f t="shared" si="2"/>
        <v>0</v>
      </c>
      <c r="J48" s="6">
        <f t="shared" si="10"/>
        <v>0.42670766615548111</v>
      </c>
      <c r="K48" s="129">
        <v>1</v>
      </c>
      <c r="L48" s="6">
        <f t="shared" si="11"/>
        <v>10.31676726924076</v>
      </c>
      <c r="M48" s="191">
        <f t="shared" si="12"/>
        <v>10.31676726924076</v>
      </c>
      <c r="N48" s="131">
        <f t="shared" si="27"/>
        <v>10.31676726924076</v>
      </c>
      <c r="O48" s="191">
        <f t="shared" si="13"/>
        <v>10.31676726924076</v>
      </c>
      <c r="P48" s="191">
        <f t="shared" si="4"/>
        <v>10.31676726924076</v>
      </c>
      <c r="Q48" s="6">
        <f t="shared" si="14"/>
        <v>10.31676726924076</v>
      </c>
      <c r="R48" s="177">
        <f t="shared" si="15"/>
        <v>10.31676726924076</v>
      </c>
      <c r="S48" s="177">
        <f>IF(E48-G48-H48&gt;=0,L48-((E48-G48-H48)/E48*L48)*$R$6,IF(G48&gt;H48,L48-((E48-G48)/E48*L48)*$R$6,L48-((E48-H48)/E48*L48)*$R$6))</f>
        <v>10.31676726924076</v>
      </c>
      <c r="T48" s="177">
        <f t="shared" si="17"/>
        <v>10.31676726924076</v>
      </c>
      <c r="U48" s="172">
        <f>IF(VLEESKALKOENEN!$H$15="ja",L48-((E48-G48*95%-I48)/E48*L48)*$R$6,L48-((E48-G48*80%-I48)/E48*L48)*$R$6)</f>
        <v>10.31676726924076</v>
      </c>
      <c r="V48" s="109">
        <f t="shared" si="24"/>
        <v>10.31676726924076</v>
      </c>
      <c r="W48" s="188">
        <f t="shared" si="18"/>
        <v>10.31676726924076</v>
      </c>
      <c r="X48" s="217">
        <f t="shared" si="19"/>
        <v>1</v>
      </c>
    </row>
    <row r="49" spans="1:24" x14ac:dyDescent="0.2">
      <c r="A49" s="1">
        <v>40</v>
      </c>
      <c r="B49" s="7">
        <v>2.52</v>
      </c>
      <c r="E49" s="7">
        <f t="shared" si="8"/>
        <v>2.8979999999999997</v>
      </c>
      <c r="F49" s="7">
        <f t="shared" si="9"/>
        <v>2.8979999999999997</v>
      </c>
      <c r="G49" s="179">
        <f t="shared" si="26"/>
        <v>0</v>
      </c>
      <c r="H49" s="179">
        <f t="shared" si="25"/>
        <v>0</v>
      </c>
      <c r="I49" s="179">
        <f t="shared" si="2"/>
        <v>0</v>
      </c>
      <c r="J49" s="6">
        <f t="shared" si="10"/>
        <v>0.43463176536144604</v>
      </c>
      <c r="K49" s="129">
        <v>1</v>
      </c>
      <c r="L49" s="6">
        <f t="shared" si="11"/>
        <v>11.033770618713042</v>
      </c>
      <c r="M49" s="191">
        <f t="shared" si="12"/>
        <v>11.033770618713042</v>
      </c>
      <c r="N49" s="131">
        <f t="shared" si="27"/>
        <v>11.033770618713042</v>
      </c>
      <c r="O49" s="191">
        <f t="shared" si="13"/>
        <v>11.033770618713042</v>
      </c>
      <c r="P49" s="191">
        <f t="shared" si="4"/>
        <v>11.033770618713042</v>
      </c>
      <c r="Q49" s="6">
        <f t="shared" si="14"/>
        <v>11.033770618713042</v>
      </c>
      <c r="R49" s="177">
        <f t="shared" si="15"/>
        <v>11.033770618713042</v>
      </c>
      <c r="S49" s="177">
        <f t="shared" si="16"/>
        <v>11.033770618713042</v>
      </c>
      <c r="T49" s="177">
        <f t="shared" si="17"/>
        <v>11.033770618713042</v>
      </c>
      <c r="U49" s="172">
        <f>IF(VLEESKALKOENEN!$H$15="ja",L49-((E49-G49*95%-I49)/E49*L49)*$R$6,L49-((E49-G49*80%-I49)/E49*L49)*$R$6)</f>
        <v>11.033770618713042</v>
      </c>
      <c r="V49" s="109">
        <f t="shared" si="24"/>
        <v>11.033770618713042</v>
      </c>
      <c r="W49" s="188">
        <f t="shared" si="18"/>
        <v>11.033770618713042</v>
      </c>
      <c r="X49" s="217">
        <f t="shared" si="19"/>
        <v>1</v>
      </c>
    </row>
    <row r="50" spans="1:24" x14ac:dyDescent="0.2">
      <c r="A50" s="1">
        <v>41</v>
      </c>
      <c r="B50" s="7">
        <v>2.64</v>
      </c>
      <c r="E50" s="7">
        <f t="shared" si="8"/>
        <v>3.036</v>
      </c>
      <c r="F50" s="7">
        <f t="shared" si="9"/>
        <v>3.036</v>
      </c>
      <c r="G50" s="179">
        <f t="shared" si="26"/>
        <v>0</v>
      </c>
      <c r="H50" s="179">
        <f t="shared" si="25"/>
        <v>0</v>
      </c>
      <c r="I50" s="179">
        <f t="shared" si="2"/>
        <v>0</v>
      </c>
      <c r="J50" s="6">
        <f t="shared" si="10"/>
        <v>0.44270301764950043</v>
      </c>
      <c r="K50" s="129">
        <v>1</v>
      </c>
      <c r="L50" s="6">
        <f t="shared" si="11"/>
        <v>11.773846127474817</v>
      </c>
      <c r="M50" s="191">
        <f t="shared" si="12"/>
        <v>11.773846127474817</v>
      </c>
      <c r="N50" s="131">
        <f t="shared" si="27"/>
        <v>11.773846127474817</v>
      </c>
      <c r="O50" s="191">
        <f t="shared" si="13"/>
        <v>11.773846127474817</v>
      </c>
      <c r="P50" s="191">
        <f t="shared" si="4"/>
        <v>11.773846127474817</v>
      </c>
      <c r="Q50" s="6">
        <f t="shared" si="14"/>
        <v>11.773846127474817</v>
      </c>
      <c r="R50" s="177">
        <f t="shared" si="15"/>
        <v>11.773846127474817</v>
      </c>
      <c r="S50" s="177">
        <f t="shared" si="16"/>
        <v>11.773846127474817</v>
      </c>
      <c r="T50" s="177">
        <f t="shared" si="17"/>
        <v>11.773846127474817</v>
      </c>
      <c r="U50" s="172">
        <f>IF(VLEESKALKOENEN!$H$15="ja",L50-((E50-G50*95%-I50)/E50*L50)*$R$6,L50-((E50-G50*80%-I50)/E50*L50)*$R$6)</f>
        <v>11.773846127474817</v>
      </c>
      <c r="V50" s="109">
        <f t="shared" si="24"/>
        <v>11.773846127474817</v>
      </c>
      <c r="W50" s="188">
        <f t="shared" si="18"/>
        <v>11.773846127474817</v>
      </c>
      <c r="X50" s="217">
        <f t="shared" si="19"/>
        <v>1</v>
      </c>
    </row>
    <row r="51" spans="1:24" x14ac:dyDescent="0.2">
      <c r="A51" s="1">
        <v>42</v>
      </c>
      <c r="B51" s="7">
        <v>2.77</v>
      </c>
      <c r="E51" s="7">
        <f t="shared" si="8"/>
        <v>3.1854999999999998</v>
      </c>
      <c r="F51" s="7">
        <f t="shared" si="9"/>
        <v>3.1854999999999998</v>
      </c>
      <c r="G51" s="179">
        <f t="shared" si="26"/>
        <v>0</v>
      </c>
      <c r="H51" s="179">
        <f t="shared" si="25"/>
        <v>0</v>
      </c>
      <c r="I51" s="179">
        <f>MIN(R$5,E51-G51)</f>
        <v>0</v>
      </c>
      <c r="J51" s="6">
        <f t="shared" si="10"/>
        <v>0.45092415569991562</v>
      </c>
      <c r="K51" s="129">
        <v>1</v>
      </c>
      <c r="L51" s="6">
        <f t="shared" si="11"/>
        <v>12.583029546323031</v>
      </c>
      <c r="M51" s="191">
        <f t="shared" si="12"/>
        <v>12.583029546323031</v>
      </c>
      <c r="N51" s="131">
        <f t="shared" si="27"/>
        <v>12.583029546323031</v>
      </c>
      <c r="O51" s="191">
        <f t="shared" si="13"/>
        <v>12.583029546323031</v>
      </c>
      <c r="P51" s="191">
        <f>IF(I51=0,L51,IF(I51&gt;$R$5,L51-(R$5)/E51*L51*99%,L51-(I51)/E51*L51*99%))</f>
        <v>12.583029546323031</v>
      </c>
      <c r="Q51" s="6">
        <f t="shared" si="14"/>
        <v>12.583029546323031</v>
      </c>
      <c r="R51" s="177">
        <f>IF(E51-G51-H51&gt;=0,L51-((E51-G51*80%-H51*95%)/E51*L51)*$R$6,IF(G51&gt;H51,L51-((E51-G51)/E51*L51)*$R$6,L51-((E51-H51)/E51*L51)*$R$6))</f>
        <v>12.583029546323031</v>
      </c>
      <c r="S51" s="177">
        <f t="shared" si="16"/>
        <v>12.583029546323031</v>
      </c>
      <c r="T51" s="177">
        <f t="shared" si="17"/>
        <v>12.583029546323031</v>
      </c>
      <c r="U51" s="172">
        <f>IF(VLEESKALKOENEN!$H$15="ja",L51-((E51-G51*95%-I51)/E51*L51)*$R$6,L51-((E51-G51*80%-I51)/E51*L51)*$R$6)</f>
        <v>12.583029546323031</v>
      </c>
      <c r="V51" s="109">
        <f t="shared" si="24"/>
        <v>12.583029546323031</v>
      </c>
      <c r="W51" s="188">
        <f t="shared" si="18"/>
        <v>12.583029546323031</v>
      </c>
      <c r="X51" s="217">
        <f t="shared" si="19"/>
        <v>1</v>
      </c>
    </row>
    <row r="52" spans="1:24" x14ac:dyDescent="0.2">
      <c r="A52" s="1">
        <v>43</v>
      </c>
      <c r="B52" s="7">
        <v>2.9</v>
      </c>
      <c r="E52" s="7">
        <f t="shared" si="8"/>
        <v>3.3349999999999995</v>
      </c>
      <c r="F52" s="7">
        <f t="shared" si="9"/>
        <v>3.3349999999999995</v>
      </c>
      <c r="G52" s="179">
        <f t="shared" si="26"/>
        <v>0</v>
      </c>
      <c r="H52" s="179">
        <f t="shared" si="25"/>
        <v>0</v>
      </c>
      <c r="I52" s="179">
        <f t="shared" ref="I52:I115" si="28">MIN(R$5,E52-G52)</f>
        <v>0</v>
      </c>
      <c r="J52" s="6">
        <f t="shared" si="10"/>
        <v>0.45929796293971847</v>
      </c>
      <c r="K52" s="129">
        <v>1</v>
      </c>
      <c r="L52" s="6">
        <f t="shared" si="11"/>
        <v>13.418206268098698</v>
      </c>
      <c r="M52" s="191">
        <f t="shared" si="12"/>
        <v>13.418206268098698</v>
      </c>
      <c r="N52" s="131">
        <f t="shared" si="27"/>
        <v>13.418206268098698</v>
      </c>
      <c r="O52" s="191">
        <f t="shared" si="13"/>
        <v>13.418206268098698</v>
      </c>
      <c r="P52" s="191">
        <f t="shared" ref="P52:P115" si="29">IF(I52=0,L52,IF(I52&gt;$R$5,L52-(R$5)/E52*L52*99%,L52-(I52)/E52*L52*99%))</f>
        <v>13.418206268098698</v>
      </c>
      <c r="Q52" s="6">
        <f t="shared" si="14"/>
        <v>13.418206268098698</v>
      </c>
      <c r="R52" s="177">
        <f t="shared" ref="R52:R115" si="30">IF(E52-G52-H52&gt;=0,L52-((E52-G52*80%-H52*95%)/E52*L52)*$R$6,IF(G52&gt;H52,L52-((E52-G52)/E52*L52)*$R$6,L52-((E52-H52)/E52*L52)*$R$6))</f>
        <v>13.418206268098698</v>
      </c>
      <c r="S52" s="177">
        <f t="shared" si="16"/>
        <v>13.418206268098698</v>
      </c>
      <c r="T52" s="177">
        <f t="shared" si="17"/>
        <v>13.418206268098698</v>
      </c>
      <c r="U52" s="172">
        <f>IF(VLEESKALKOENEN!$H$15="ja",L52-((E52-G52*95%-I52)/E52*L52)*$R$6,L52-((E52-G52*80%-I52)/E52*L52)*$R$6)</f>
        <v>13.418206268098698</v>
      </c>
      <c r="V52" s="109">
        <f t="shared" si="24"/>
        <v>13.418206268098698</v>
      </c>
      <c r="W52" s="188">
        <f t="shared" si="18"/>
        <v>13.418206268098698</v>
      </c>
      <c r="X52" s="217"/>
    </row>
    <row r="53" spans="1:24" x14ac:dyDescent="0.2">
      <c r="A53" s="1">
        <v>44</v>
      </c>
      <c r="B53" s="7">
        <v>3.03</v>
      </c>
      <c r="E53" s="7">
        <f t="shared" si="8"/>
        <v>3.4844999999999997</v>
      </c>
      <c r="F53" s="7">
        <f t="shared" si="9"/>
        <v>3.4844999999999997</v>
      </c>
      <c r="G53" s="179">
        <f t="shared" si="26"/>
        <v>0</v>
      </c>
      <c r="H53" s="179">
        <f t="shared" si="25"/>
        <v>0</v>
      </c>
      <c r="I53" s="179">
        <f t="shared" si="28"/>
        <v>0</v>
      </c>
      <c r="J53" s="6">
        <f t="shared" si="10"/>
        <v>0.46782727448507472</v>
      </c>
      <c r="K53" s="129">
        <v>1</v>
      </c>
      <c r="L53" s="6">
        <f t="shared" si="11"/>
        <v>14.280062648382806</v>
      </c>
      <c r="M53" s="191">
        <f t="shared" si="12"/>
        <v>14.280062648382806</v>
      </c>
      <c r="N53" s="131">
        <f t="shared" si="27"/>
        <v>14.280062648382806</v>
      </c>
      <c r="O53" s="191">
        <f t="shared" si="13"/>
        <v>14.280062648382806</v>
      </c>
      <c r="P53" s="191">
        <f t="shared" si="29"/>
        <v>14.280062648382806</v>
      </c>
      <c r="Q53" s="6">
        <f t="shared" si="14"/>
        <v>14.280062648382806</v>
      </c>
      <c r="R53" s="177">
        <f t="shared" si="30"/>
        <v>14.280062648382806</v>
      </c>
      <c r="S53" s="177">
        <f t="shared" si="16"/>
        <v>14.280062648382806</v>
      </c>
      <c r="T53" s="177">
        <f t="shared" si="17"/>
        <v>14.280062648382806</v>
      </c>
      <c r="U53" s="172">
        <f>IF(VLEESKALKOENEN!$H$15="ja",L53-((E53-G53*95%-I53)/E53*L53)*$R$6,L53-((E53-G53*80%-I53)/E53*L53)*$R$6)</f>
        <v>14.280062648382806</v>
      </c>
      <c r="V53" s="109">
        <f t="shared" si="24"/>
        <v>14.280062648382806</v>
      </c>
      <c r="W53" s="188">
        <f t="shared" si="18"/>
        <v>14.280062648382806</v>
      </c>
      <c r="X53" s="217"/>
    </row>
    <row r="54" spans="1:24" x14ac:dyDescent="0.2">
      <c r="A54" s="1">
        <v>45</v>
      </c>
      <c r="B54" s="7">
        <v>3.17</v>
      </c>
      <c r="E54" s="7">
        <f t="shared" si="8"/>
        <v>3.6454999999999997</v>
      </c>
      <c r="F54" s="7">
        <f t="shared" si="9"/>
        <v>3.6454999999999997</v>
      </c>
      <c r="G54" s="179">
        <f t="shared" si="26"/>
        <v>0</v>
      </c>
      <c r="H54" s="179">
        <f t="shared" si="25"/>
        <v>0</v>
      </c>
      <c r="I54" s="179">
        <f t="shared" si="28"/>
        <v>0</v>
      </c>
      <c r="J54" s="6">
        <f t="shared" si="10"/>
        <v>0.47651497810117321</v>
      </c>
      <c r="K54" s="129">
        <v>1</v>
      </c>
      <c r="L54" s="6">
        <f t="shared" si="11"/>
        <v>15.217305689370162</v>
      </c>
      <c r="M54" s="191">
        <f t="shared" si="12"/>
        <v>15.217305689370162</v>
      </c>
      <c r="N54" s="131">
        <f t="shared" si="27"/>
        <v>15.217305689370162</v>
      </c>
      <c r="O54" s="191">
        <f t="shared" si="13"/>
        <v>15.217305689370162</v>
      </c>
      <c r="P54" s="191">
        <f t="shared" si="29"/>
        <v>15.217305689370162</v>
      </c>
      <c r="Q54" s="6">
        <f t="shared" si="14"/>
        <v>15.217305689370162</v>
      </c>
      <c r="R54" s="177">
        <f t="shared" si="30"/>
        <v>15.217305689370162</v>
      </c>
      <c r="S54" s="177">
        <f t="shared" si="16"/>
        <v>15.217305689370162</v>
      </c>
      <c r="T54" s="177">
        <f t="shared" si="17"/>
        <v>15.217305689370162</v>
      </c>
      <c r="U54" s="172">
        <f>IF(VLEESKALKOENEN!$H$15="ja",L54-((E54-G54*95%-I54)/E54*L54)*$R$6,L54-((E54-G54*80%-I54)/E54*L54)*$R$6)</f>
        <v>15.217305689370162</v>
      </c>
      <c r="V54" s="109">
        <f t="shared" si="24"/>
        <v>15.217305689370162</v>
      </c>
      <c r="W54" s="188">
        <f t="shared" si="18"/>
        <v>15.217305689370162</v>
      </c>
      <c r="X54" s="217"/>
    </row>
    <row r="55" spans="1:24" x14ac:dyDescent="0.2">
      <c r="A55" s="1">
        <v>46</v>
      </c>
      <c r="B55" s="7">
        <v>3.3</v>
      </c>
      <c r="E55" s="7">
        <f t="shared" si="8"/>
        <v>3.7949999999999995</v>
      </c>
      <c r="F55" s="7">
        <f t="shared" si="9"/>
        <v>3.7949999999999995</v>
      </c>
      <c r="G55" s="179">
        <f t="shared" si="26"/>
        <v>0</v>
      </c>
      <c r="H55" s="179">
        <f t="shared" si="25"/>
        <v>0</v>
      </c>
      <c r="I55" s="179">
        <f t="shared" si="28"/>
        <v>0</v>
      </c>
      <c r="J55" s="6">
        <f t="shared" si="10"/>
        <v>0.48536401517993538</v>
      </c>
      <c r="K55" s="129">
        <v>1</v>
      </c>
      <c r="L55" s="6">
        <f t="shared" si="11"/>
        <v>16.135538393444804</v>
      </c>
      <c r="M55" s="191">
        <f t="shared" si="12"/>
        <v>16.135538393444804</v>
      </c>
      <c r="N55" s="131">
        <f t="shared" si="27"/>
        <v>16.135538393444804</v>
      </c>
      <c r="O55" s="191">
        <f t="shared" si="13"/>
        <v>16.135538393444804</v>
      </c>
      <c r="P55" s="191">
        <f t="shared" si="29"/>
        <v>16.135538393444804</v>
      </c>
      <c r="Q55" s="6">
        <f t="shared" si="14"/>
        <v>16.135538393444804</v>
      </c>
      <c r="R55" s="177">
        <f t="shared" si="30"/>
        <v>16.135538393444804</v>
      </c>
      <c r="S55" s="177">
        <f t="shared" si="16"/>
        <v>16.135538393444804</v>
      </c>
      <c r="T55" s="177">
        <f t="shared" si="17"/>
        <v>16.135538393444804</v>
      </c>
      <c r="U55" s="172">
        <f>IF(VLEESKALKOENEN!$H$15="ja",L55-((E55-G55*95%-I55)/E55*L55)*$R$6,L55-((E55-G55*80%-I55)/E55*L55)*$R$6)</f>
        <v>16.135538393444804</v>
      </c>
      <c r="V55" s="109">
        <f t="shared" si="24"/>
        <v>16.135538393444804</v>
      </c>
      <c r="W55" s="188">
        <f t="shared" si="18"/>
        <v>16.135538393444804</v>
      </c>
      <c r="X55" s="217"/>
    </row>
    <row r="56" spans="1:24" x14ac:dyDescent="0.2">
      <c r="A56" s="1">
        <v>47</v>
      </c>
      <c r="B56" s="7">
        <v>3.44</v>
      </c>
      <c r="E56" s="7">
        <f t="shared" si="8"/>
        <v>3.9559999999999995</v>
      </c>
      <c r="F56" s="7">
        <f t="shared" si="9"/>
        <v>3.9559999999999995</v>
      </c>
      <c r="G56" s="179">
        <f t="shared" si="26"/>
        <v>0</v>
      </c>
      <c r="H56" s="179">
        <f t="shared" si="25"/>
        <v>0</v>
      </c>
      <c r="I56" s="179">
        <f t="shared" si="28"/>
        <v>0</v>
      </c>
      <c r="J56" s="6">
        <f t="shared" si="10"/>
        <v>0.49437738173588069</v>
      </c>
      <c r="K56" s="129">
        <v>1</v>
      </c>
      <c r="L56" s="6">
        <f t="shared" si="11"/>
        <v>17.13243063800898</v>
      </c>
      <c r="M56" s="191">
        <f t="shared" si="12"/>
        <v>17.13243063800898</v>
      </c>
      <c r="N56" s="131">
        <f t="shared" si="27"/>
        <v>17.13243063800898</v>
      </c>
      <c r="O56" s="191">
        <f t="shared" si="13"/>
        <v>17.13243063800898</v>
      </c>
      <c r="P56" s="191">
        <f t="shared" si="29"/>
        <v>17.13243063800898</v>
      </c>
      <c r="Q56" s="6">
        <f t="shared" si="14"/>
        <v>17.13243063800898</v>
      </c>
      <c r="R56" s="177">
        <f t="shared" si="30"/>
        <v>17.13243063800898</v>
      </c>
      <c r="S56" s="177">
        <f t="shared" si="16"/>
        <v>17.13243063800898</v>
      </c>
      <c r="T56" s="177">
        <f t="shared" si="17"/>
        <v>17.13243063800898</v>
      </c>
      <c r="U56" s="172">
        <f>IF(VLEESKALKOENEN!$H$15="ja",L56-((E56-G56*95%-I56)/E56*L56)*$R$6,L56-((E56-G56*80%-I56)/E56*L56)*$R$6)</f>
        <v>17.13243063800898</v>
      </c>
      <c r="V56" s="109">
        <f t="shared" si="24"/>
        <v>17.13243063800898</v>
      </c>
      <c r="W56" s="188">
        <f t="shared" si="18"/>
        <v>17.13243063800898</v>
      </c>
      <c r="X56" s="217"/>
    </row>
    <row r="57" spans="1:24" x14ac:dyDescent="0.2">
      <c r="A57" s="1">
        <v>48</v>
      </c>
      <c r="B57" s="7">
        <v>3.59</v>
      </c>
      <c r="E57" s="7">
        <f t="shared" si="8"/>
        <v>4.1284999999999998</v>
      </c>
      <c r="F57" s="7">
        <f t="shared" si="9"/>
        <v>4.1284999999999998</v>
      </c>
      <c r="G57" s="179">
        <f t="shared" si="26"/>
        <v>0</v>
      </c>
      <c r="H57" s="179">
        <f t="shared" si="25"/>
        <v>0</v>
      </c>
      <c r="I57" s="179">
        <f t="shared" si="28"/>
        <v>0</v>
      </c>
      <c r="J57" s="6">
        <f t="shared" si="10"/>
        <v>0.50355812942048617</v>
      </c>
      <c r="K57" s="129">
        <v>1</v>
      </c>
      <c r="L57" s="6">
        <f t="shared" si="11"/>
        <v>18.211512098857298</v>
      </c>
      <c r="M57" s="191">
        <f t="shared" si="12"/>
        <v>18.211512098857298</v>
      </c>
      <c r="N57" s="131">
        <f t="shared" si="27"/>
        <v>18.211512098857298</v>
      </c>
      <c r="O57" s="191">
        <f t="shared" si="13"/>
        <v>18.211512098857298</v>
      </c>
      <c r="P57" s="191">
        <f t="shared" si="29"/>
        <v>18.211512098857298</v>
      </c>
      <c r="Q57" s="6">
        <f t="shared" si="14"/>
        <v>18.211512098857298</v>
      </c>
      <c r="R57" s="177">
        <f t="shared" si="30"/>
        <v>18.211512098857298</v>
      </c>
      <c r="S57" s="177">
        <f t="shared" si="16"/>
        <v>18.211512098857298</v>
      </c>
      <c r="T57" s="177">
        <f t="shared" si="17"/>
        <v>18.211512098857298</v>
      </c>
      <c r="U57" s="172">
        <f>IF(VLEESKALKOENEN!$H$15="ja",L57-((E57-G57*95%-I57)/E57*L57)*$R$6,L57-((E57-G57*80%-I57)/E57*L57)*$R$6)</f>
        <v>18.211512098857298</v>
      </c>
      <c r="V57" s="109">
        <f t="shared" si="24"/>
        <v>18.211512098857298</v>
      </c>
      <c r="W57" s="188">
        <f t="shared" si="18"/>
        <v>18.211512098857298</v>
      </c>
      <c r="X57" s="217"/>
    </row>
    <row r="58" spans="1:24" x14ac:dyDescent="0.2">
      <c r="A58" s="1">
        <v>49</v>
      </c>
      <c r="B58" s="7">
        <v>3.73</v>
      </c>
      <c r="E58" s="7">
        <f t="shared" si="8"/>
        <v>4.2894999999999994</v>
      </c>
      <c r="F58" s="7">
        <f t="shared" si="9"/>
        <v>4.2894999999999994</v>
      </c>
      <c r="G58" s="179">
        <f t="shared" si="26"/>
        <v>0</v>
      </c>
      <c r="H58" s="179">
        <f t="shared" si="25"/>
        <v>0</v>
      </c>
      <c r="I58" s="179">
        <f t="shared" si="28"/>
        <v>0</v>
      </c>
      <c r="J58" s="6">
        <f t="shared" si="10"/>
        <v>0.51290936655538244</v>
      </c>
      <c r="K58" s="129">
        <v>1</v>
      </c>
      <c r="L58" s="6">
        <f t="shared" si="11"/>
        <v>19.273092615872383</v>
      </c>
      <c r="M58" s="191">
        <f t="shared" si="12"/>
        <v>19.273092615872383</v>
      </c>
      <c r="N58" s="131">
        <f t="shared" si="27"/>
        <v>19.273092615872383</v>
      </c>
      <c r="O58" s="191">
        <f t="shared" si="13"/>
        <v>19.273092615872383</v>
      </c>
      <c r="P58" s="191">
        <f t="shared" si="29"/>
        <v>19.273092615872383</v>
      </c>
      <c r="Q58" s="6">
        <f t="shared" si="14"/>
        <v>19.273092615872383</v>
      </c>
      <c r="R58" s="177">
        <f t="shared" si="30"/>
        <v>19.273092615872383</v>
      </c>
      <c r="S58" s="177">
        <f t="shared" si="16"/>
        <v>19.273092615872383</v>
      </c>
      <c r="T58" s="177">
        <f t="shared" si="17"/>
        <v>19.273092615872383</v>
      </c>
      <c r="U58" s="172">
        <f>IF(VLEESKALKOENEN!$H$15="ja",L58-((E58-G58*95%-I58)/E58*L58)*$R$6,L58-((E58-G58*80%-I58)/E58*L58)*$R$6)</f>
        <v>19.273092615872383</v>
      </c>
      <c r="V58" s="109">
        <f t="shared" si="24"/>
        <v>19.273092615872383</v>
      </c>
      <c r="W58" s="188">
        <f t="shared" si="18"/>
        <v>19.273092615872383</v>
      </c>
      <c r="X58" s="217"/>
    </row>
    <row r="59" spans="1:24" x14ac:dyDescent="0.2">
      <c r="A59" s="1">
        <v>50</v>
      </c>
      <c r="B59" s="7">
        <v>3.88</v>
      </c>
      <c r="E59" s="7">
        <f t="shared" si="8"/>
        <v>4.4619999999999997</v>
      </c>
      <c r="F59" s="7">
        <f t="shared" si="9"/>
        <v>4.4619999999999997</v>
      </c>
      <c r="G59" s="179">
        <f t="shared" si="26"/>
        <v>0</v>
      </c>
      <c r="H59" s="179">
        <f t="shared" si="25"/>
        <v>0</v>
      </c>
      <c r="I59" s="179">
        <f t="shared" si="28"/>
        <v>0</v>
      </c>
      <c r="J59" s="6">
        <f t="shared" si="10"/>
        <v>0.52243425918473718</v>
      </c>
      <c r="K59" s="129">
        <v>1</v>
      </c>
      <c r="L59" s="6">
        <f t="shared" si="11"/>
        <v>20.420450580864923</v>
      </c>
      <c r="M59" s="191">
        <f t="shared" si="12"/>
        <v>20.420450580864923</v>
      </c>
      <c r="N59" s="131">
        <f t="shared" si="27"/>
        <v>20.420450580864923</v>
      </c>
      <c r="O59" s="191">
        <f t="shared" si="13"/>
        <v>20.420450580864923</v>
      </c>
      <c r="P59" s="191">
        <f t="shared" si="29"/>
        <v>20.420450580864923</v>
      </c>
      <c r="Q59" s="6">
        <f t="shared" si="14"/>
        <v>20.420450580864923</v>
      </c>
      <c r="R59" s="177">
        <f t="shared" si="30"/>
        <v>20.420450580864923</v>
      </c>
      <c r="S59" s="177">
        <f t="shared" si="16"/>
        <v>20.420450580864923</v>
      </c>
      <c r="T59" s="177">
        <f t="shared" si="17"/>
        <v>20.420450580864923</v>
      </c>
      <c r="U59" s="172">
        <f>IF(VLEESKALKOENEN!$H$15="ja",L59-((E59-G59*95%-I59)/E59*L59)*$R$6,L59-((E59-G59*80%-I59)/E59*L59)*$R$6)</f>
        <v>20.420450580864923</v>
      </c>
      <c r="V59" s="109">
        <f t="shared" si="24"/>
        <v>20.420450580864923</v>
      </c>
      <c r="W59" s="188">
        <f t="shared" si="18"/>
        <v>20.420450580864923</v>
      </c>
      <c r="X59" s="217"/>
    </row>
    <row r="60" spans="1:24" x14ac:dyDescent="0.2">
      <c r="A60" s="1">
        <v>51</v>
      </c>
      <c r="B60" s="7">
        <v>4.03</v>
      </c>
      <c r="E60" s="7">
        <f t="shared" si="8"/>
        <v>4.6345000000000001</v>
      </c>
      <c r="F60" s="7">
        <f t="shared" si="9"/>
        <v>4.6345000000000001</v>
      </c>
      <c r="G60" s="179">
        <f t="shared" si="26"/>
        <v>0</v>
      </c>
      <c r="H60" s="179">
        <f t="shared" si="25"/>
        <v>0</v>
      </c>
      <c r="I60" s="179">
        <f t="shared" si="28"/>
        <v>0</v>
      </c>
      <c r="J60" s="6">
        <f t="shared" si="10"/>
        <v>0.53213603214718075</v>
      </c>
      <c r="K60" s="129">
        <v>1</v>
      </c>
      <c r="L60" s="6">
        <f t="shared" si="11"/>
        <v>21.603775703038316</v>
      </c>
      <c r="M60" s="191">
        <f t="shared" si="12"/>
        <v>21.603775703038316</v>
      </c>
      <c r="N60" s="131">
        <f t="shared" si="27"/>
        <v>21.603775703038316</v>
      </c>
      <c r="O60" s="191">
        <f t="shared" si="13"/>
        <v>21.603775703038316</v>
      </c>
      <c r="P60" s="191">
        <f t="shared" si="29"/>
        <v>21.603775703038316</v>
      </c>
      <c r="Q60" s="6">
        <f t="shared" si="14"/>
        <v>21.603775703038316</v>
      </c>
      <c r="R60" s="177">
        <f t="shared" si="30"/>
        <v>21.603775703038316</v>
      </c>
      <c r="S60" s="177">
        <f t="shared" si="16"/>
        <v>21.603775703038316</v>
      </c>
      <c r="T60" s="177">
        <f t="shared" si="17"/>
        <v>21.603775703038316</v>
      </c>
      <c r="U60" s="172">
        <f>IF(VLEESKALKOENEN!$H$15="ja",L60-((E60-G60*95%-I60)/E60*L60)*$R$6,L60-((E60-G60*80%-I60)/E60*L60)*$R$6)</f>
        <v>21.603775703038316</v>
      </c>
      <c r="V60" s="109">
        <f t="shared" si="24"/>
        <v>21.603775703038316</v>
      </c>
      <c r="W60" s="188">
        <f t="shared" si="18"/>
        <v>21.603775703038316</v>
      </c>
      <c r="X60" s="217"/>
    </row>
    <row r="61" spans="1:24" x14ac:dyDescent="0.2">
      <c r="A61" s="1">
        <v>52</v>
      </c>
      <c r="B61" s="7">
        <v>4.18</v>
      </c>
      <c r="E61" s="7">
        <f t="shared" si="8"/>
        <v>4.8069999999999995</v>
      </c>
      <c r="F61" s="7">
        <f t="shared" si="9"/>
        <v>4.8069999999999995</v>
      </c>
      <c r="G61" s="179">
        <f t="shared" si="26"/>
        <v>0</v>
      </c>
      <c r="H61" s="179">
        <f t="shared" si="25"/>
        <v>0</v>
      </c>
      <c r="I61" s="179">
        <f t="shared" si="28"/>
        <v>0</v>
      </c>
      <c r="J61" s="6">
        <f t="shared" si="10"/>
        <v>0.54201797016763897</v>
      </c>
      <c r="K61" s="129">
        <v>1</v>
      </c>
      <c r="L61" s="6">
        <f t="shared" si="11"/>
        <v>22.824008151539555</v>
      </c>
      <c r="M61" s="191">
        <f t="shared" si="12"/>
        <v>22.824008151539555</v>
      </c>
      <c r="N61" s="131">
        <f t="shared" si="27"/>
        <v>22.824008151539555</v>
      </c>
      <c r="O61" s="191">
        <f t="shared" si="13"/>
        <v>22.824008151539555</v>
      </c>
      <c r="P61" s="191">
        <f t="shared" si="29"/>
        <v>22.824008151539555</v>
      </c>
      <c r="Q61" s="6">
        <f t="shared" si="14"/>
        <v>22.824008151539555</v>
      </c>
      <c r="R61" s="177">
        <f t="shared" si="30"/>
        <v>22.824008151539555</v>
      </c>
      <c r="S61" s="177">
        <f t="shared" si="16"/>
        <v>22.824008151539555</v>
      </c>
      <c r="T61" s="177">
        <f t="shared" si="17"/>
        <v>22.824008151539555</v>
      </c>
      <c r="U61" s="172">
        <f>IF(VLEESKALKOENEN!$H$15="ja",L61-((E61-G61*95%-I61)/E61*L61)*$R$6,L61-((E61-G61*80%-I61)/E61*L61)*$R$6)</f>
        <v>22.824008151539555</v>
      </c>
      <c r="V61" s="109">
        <f t="shared" si="24"/>
        <v>22.824008151539555</v>
      </c>
      <c r="W61" s="188">
        <f t="shared" si="18"/>
        <v>22.824008151539555</v>
      </c>
      <c r="X61" s="217"/>
    </row>
    <row r="62" spans="1:24" x14ac:dyDescent="0.2">
      <c r="A62" s="1">
        <v>53</v>
      </c>
      <c r="B62" s="7">
        <v>4.33</v>
      </c>
      <c r="E62" s="7">
        <f t="shared" si="8"/>
        <v>4.9794999999999998</v>
      </c>
      <c r="F62" s="7">
        <f t="shared" si="9"/>
        <v>4.9794999999999998</v>
      </c>
      <c r="G62" s="179">
        <f t="shared" si="26"/>
        <v>0</v>
      </c>
      <c r="H62" s="179">
        <f t="shared" si="25"/>
        <v>0</v>
      </c>
      <c r="I62" s="179">
        <f t="shared" si="28"/>
        <v>0</v>
      </c>
      <c r="J62" s="6">
        <f t="shared" si="10"/>
        <v>0.55208341896944024</v>
      </c>
      <c r="K62" s="129">
        <v>1</v>
      </c>
      <c r="L62" s="6">
        <f t="shared" si="11"/>
        <v>24.082110610482953</v>
      </c>
      <c r="M62" s="191">
        <f t="shared" si="12"/>
        <v>24.082110610482953</v>
      </c>
      <c r="N62" s="131">
        <f t="shared" si="27"/>
        <v>24.082110610482953</v>
      </c>
      <c r="O62" s="191">
        <f t="shared" si="13"/>
        <v>24.082110610482953</v>
      </c>
      <c r="P62" s="191">
        <f t="shared" si="29"/>
        <v>24.082110610482953</v>
      </c>
      <c r="Q62" s="6">
        <f t="shared" si="14"/>
        <v>24.082110610482953</v>
      </c>
      <c r="R62" s="177">
        <f t="shared" si="30"/>
        <v>24.082110610482953</v>
      </c>
      <c r="S62" s="177">
        <f t="shared" si="16"/>
        <v>24.082110610482953</v>
      </c>
      <c r="T62" s="177">
        <f t="shared" si="17"/>
        <v>24.082110610482953</v>
      </c>
      <c r="U62" s="172">
        <f>IF(VLEESKALKOENEN!$H$15="ja",L62-((E62-G62*95%-I62)/E62*L62)*$R$6,L62-((E62-G62*80%-I62)/E62*L62)*$R$6)</f>
        <v>24.082110610482953</v>
      </c>
      <c r="V62" s="109">
        <f t="shared" si="24"/>
        <v>24.082110610482953</v>
      </c>
      <c r="W62" s="188">
        <f t="shared" si="18"/>
        <v>24.082110610482953</v>
      </c>
      <c r="X62" s="217"/>
    </row>
    <row r="63" spans="1:24" x14ac:dyDescent="0.2">
      <c r="A63" s="1">
        <v>54</v>
      </c>
      <c r="B63" s="7">
        <v>4.49</v>
      </c>
      <c r="E63" s="7">
        <f t="shared" si="8"/>
        <v>5.1635</v>
      </c>
      <c r="F63" s="7">
        <f t="shared" si="9"/>
        <v>5.1635</v>
      </c>
      <c r="G63" s="179">
        <f t="shared" si="26"/>
        <v>0</v>
      </c>
      <c r="H63" s="179">
        <f t="shared" si="25"/>
        <v>0</v>
      </c>
      <c r="I63" s="179">
        <f t="shared" si="28"/>
        <v>0</v>
      </c>
      <c r="J63" s="6">
        <f t="shared" si="10"/>
        <v>0.56233578640707649</v>
      </c>
      <c r="K63" s="129">
        <v>1</v>
      </c>
      <c r="L63" s="6">
        <f t="shared" si="11"/>
        <v>25.435718498069349</v>
      </c>
      <c r="M63" s="191">
        <f t="shared" si="12"/>
        <v>25.435718498069349</v>
      </c>
      <c r="N63" s="131">
        <f t="shared" si="27"/>
        <v>25.435718498069349</v>
      </c>
      <c r="O63" s="191">
        <f t="shared" si="13"/>
        <v>25.435718498069349</v>
      </c>
      <c r="P63" s="191">
        <f t="shared" si="29"/>
        <v>25.435718498069349</v>
      </c>
      <c r="Q63" s="6">
        <f t="shared" si="14"/>
        <v>25.435718498069349</v>
      </c>
      <c r="R63" s="177">
        <f t="shared" si="30"/>
        <v>25.435718498069349</v>
      </c>
      <c r="S63" s="177">
        <f t="shared" si="16"/>
        <v>25.435718498069349</v>
      </c>
      <c r="T63" s="177">
        <f t="shared" si="17"/>
        <v>25.435718498069349</v>
      </c>
      <c r="U63" s="172">
        <f>IF(VLEESKALKOENEN!$H$15="ja",L63-((E63-G63*95%-I63)/E63*L63)*$R$6,L63-((E63-G63*80%-I63)/E63*L63)*$R$6)</f>
        <v>25.435718498069349</v>
      </c>
      <c r="V63" s="109">
        <f t="shared" si="24"/>
        <v>25.435718498069349</v>
      </c>
      <c r="W63" s="188">
        <f t="shared" si="18"/>
        <v>25.435718498069349</v>
      </c>
      <c r="X63" s="217"/>
    </row>
    <row r="64" spans="1:24" x14ac:dyDescent="0.2">
      <c r="A64" s="1">
        <v>55</v>
      </c>
      <c r="B64" s="7">
        <v>4.6500000000000004</v>
      </c>
      <c r="E64" s="7">
        <f t="shared" si="8"/>
        <v>5.3475000000000001</v>
      </c>
      <c r="F64" s="7">
        <f t="shared" si="9"/>
        <v>5.3475000000000001</v>
      </c>
      <c r="G64" s="179">
        <f t="shared" si="26"/>
        <v>0</v>
      </c>
      <c r="H64" s="179">
        <f t="shared" si="25"/>
        <v>0</v>
      </c>
      <c r="I64" s="179">
        <f t="shared" si="28"/>
        <v>0</v>
      </c>
      <c r="J64" s="6">
        <f t="shared" si="10"/>
        <v>0.5727785436199978</v>
      </c>
      <c r="K64" s="129">
        <v>1</v>
      </c>
      <c r="L64" s="6">
        <f t="shared" si="11"/>
        <v>26.831295375189541</v>
      </c>
      <c r="M64" s="191">
        <f t="shared" si="12"/>
        <v>26.831295375189541</v>
      </c>
      <c r="N64" s="131">
        <f t="shared" si="27"/>
        <v>26.831295375189541</v>
      </c>
      <c r="O64" s="191">
        <f t="shared" si="13"/>
        <v>26.831295375189541</v>
      </c>
      <c r="P64" s="191">
        <f t="shared" si="29"/>
        <v>26.831295375189541</v>
      </c>
      <c r="Q64" s="6">
        <f t="shared" si="14"/>
        <v>26.831295375189541</v>
      </c>
      <c r="R64" s="177">
        <f t="shared" si="30"/>
        <v>26.831295375189541</v>
      </c>
      <c r="S64" s="177">
        <f t="shared" si="16"/>
        <v>26.831295375189541</v>
      </c>
      <c r="T64" s="177">
        <f t="shared" si="17"/>
        <v>26.831295375189541</v>
      </c>
      <c r="U64" s="172">
        <f>IF(VLEESKALKOENEN!$H$15="ja",L64-((E64-G64*95%-I64)/E64*L64)*$R$6,L64-((E64-G64*80%-I64)/E64*L64)*$R$6)</f>
        <v>26.831295375189541</v>
      </c>
      <c r="V64" s="109">
        <f t="shared" si="24"/>
        <v>26.831295375189541</v>
      </c>
      <c r="W64" s="188">
        <f t="shared" si="18"/>
        <v>26.831295375189541</v>
      </c>
      <c r="X64" s="217"/>
    </row>
    <row r="65" spans="1:24" x14ac:dyDescent="0.2">
      <c r="A65" s="1">
        <v>56</v>
      </c>
      <c r="B65" s="7">
        <v>4.8099999999999996</v>
      </c>
      <c r="E65" s="7">
        <f t="shared" si="8"/>
        <v>5.5314999999999994</v>
      </c>
      <c r="F65" s="7">
        <f t="shared" si="9"/>
        <v>5.5314999999999994</v>
      </c>
      <c r="G65" s="179">
        <f t="shared" si="26"/>
        <v>0</v>
      </c>
      <c r="H65" s="179">
        <f t="shared" si="25"/>
        <v>0</v>
      </c>
      <c r="I65" s="179">
        <f t="shared" si="28"/>
        <v>0</v>
      </c>
      <c r="J65" s="6">
        <f t="shared" si="10"/>
        <v>0.5834152262078357</v>
      </c>
      <c r="K65" s="129">
        <v>1</v>
      </c>
      <c r="L65" s="6">
        <f t="shared" si="11"/>
        <v>28.269933196213309</v>
      </c>
      <c r="M65" s="191">
        <f t="shared" si="12"/>
        <v>28.269933196213309</v>
      </c>
      <c r="N65" s="131">
        <f t="shared" si="27"/>
        <v>28.269933196213309</v>
      </c>
      <c r="O65" s="191">
        <f t="shared" si="13"/>
        <v>28.269933196213309</v>
      </c>
      <c r="P65" s="191">
        <f t="shared" si="29"/>
        <v>28.269933196213309</v>
      </c>
      <c r="Q65" s="6">
        <f t="shared" si="14"/>
        <v>28.269933196213309</v>
      </c>
      <c r="R65" s="177">
        <f t="shared" si="30"/>
        <v>28.269933196213309</v>
      </c>
      <c r="S65" s="177">
        <f t="shared" si="16"/>
        <v>28.269933196213309</v>
      </c>
      <c r="T65" s="177">
        <f t="shared" si="17"/>
        <v>28.269933196213309</v>
      </c>
      <c r="U65" s="172">
        <f>IF(VLEESKALKOENEN!$H$15="ja",L65-((E65-G65*95%-I65)/E65*L65)*$R$6,L65-((E65-G65*80%-I65)/E65*L65)*$R$6)</f>
        <v>28.269933196213309</v>
      </c>
      <c r="V65" s="109">
        <f t="shared" si="24"/>
        <v>28.269933196213309</v>
      </c>
      <c r="W65" s="188">
        <f t="shared" si="18"/>
        <v>28.269933196213309</v>
      </c>
      <c r="X65" s="217"/>
    </row>
    <row r="66" spans="1:24" x14ac:dyDescent="0.2">
      <c r="A66" s="1">
        <v>57</v>
      </c>
      <c r="B66" s="7">
        <v>4.97</v>
      </c>
      <c r="E66" s="7">
        <f t="shared" si="8"/>
        <v>5.7154999999999996</v>
      </c>
      <c r="F66" s="7">
        <f t="shared" si="9"/>
        <v>5.7154999999999996</v>
      </c>
      <c r="G66" s="179">
        <f t="shared" si="26"/>
        <v>0</v>
      </c>
      <c r="H66" s="179">
        <f t="shared" si="25"/>
        <v>0</v>
      </c>
      <c r="I66" s="179">
        <f t="shared" si="28"/>
        <v>0</v>
      </c>
      <c r="J66" s="6">
        <f t="shared" si="10"/>
        <v>0.59424943542744912</v>
      </c>
      <c r="K66" s="129">
        <v>1</v>
      </c>
      <c r="L66" s="6">
        <f t="shared" si="11"/>
        <v>29.752749998105728</v>
      </c>
      <c r="M66" s="191">
        <f t="shared" si="12"/>
        <v>29.752749998105728</v>
      </c>
      <c r="N66" s="131">
        <f t="shared" si="27"/>
        <v>29.752749998105728</v>
      </c>
      <c r="O66" s="191">
        <f t="shared" si="13"/>
        <v>29.752749998105728</v>
      </c>
      <c r="P66" s="191">
        <f t="shared" si="29"/>
        <v>29.752749998105728</v>
      </c>
      <c r="Q66" s="6">
        <f t="shared" si="14"/>
        <v>29.752749998105728</v>
      </c>
      <c r="R66" s="177">
        <f t="shared" si="30"/>
        <v>29.752749998105728</v>
      </c>
      <c r="S66" s="177">
        <f t="shared" si="16"/>
        <v>29.752749998105728</v>
      </c>
      <c r="T66" s="177">
        <f t="shared" si="17"/>
        <v>29.752749998105728</v>
      </c>
      <c r="U66" s="172">
        <f>IF(VLEESKALKOENEN!$H$15="ja",L66-((E66-G66*95%-I66)/E66*L66)*$R$6,L66-((E66-G66*80%-I66)/E66*L66)*$R$6)</f>
        <v>29.752749998105728</v>
      </c>
      <c r="V66" s="109">
        <f t="shared" si="24"/>
        <v>29.752749998105728</v>
      </c>
      <c r="W66" s="188">
        <f t="shared" si="18"/>
        <v>29.752749998105728</v>
      </c>
      <c r="X66" s="217"/>
    </row>
    <row r="67" spans="1:24" x14ac:dyDescent="0.2">
      <c r="A67" s="1">
        <v>58</v>
      </c>
      <c r="B67" s="7">
        <v>5.13</v>
      </c>
      <c r="E67" s="7">
        <f t="shared" si="8"/>
        <v>5.8994999999999997</v>
      </c>
      <c r="F67" s="7">
        <f t="shared" si="9"/>
        <v>5.8994999999999997</v>
      </c>
      <c r="G67" s="179">
        <f t="shared" si="26"/>
        <v>0</v>
      </c>
      <c r="H67" s="179">
        <f t="shared" si="25"/>
        <v>0</v>
      </c>
      <c r="I67" s="179">
        <f t="shared" si="28"/>
        <v>0</v>
      </c>
      <c r="J67" s="6">
        <f t="shared" si="10"/>
        <v>0.60528483941219946</v>
      </c>
      <c r="K67" s="129">
        <v>1</v>
      </c>
      <c r="L67" s="6">
        <f t="shared" si="11"/>
        <v>31.280890492583488</v>
      </c>
      <c r="M67" s="191">
        <f t="shared" si="12"/>
        <v>31.280890492583488</v>
      </c>
      <c r="N67" s="131">
        <f t="shared" si="27"/>
        <v>31.280890492583488</v>
      </c>
      <c r="O67" s="191">
        <f t="shared" si="13"/>
        <v>31.280890492583488</v>
      </c>
      <c r="P67" s="191">
        <f t="shared" si="29"/>
        <v>31.280890492583488</v>
      </c>
      <c r="Q67" s="6">
        <f t="shared" si="14"/>
        <v>31.280890492583488</v>
      </c>
      <c r="R67" s="177">
        <f t="shared" si="30"/>
        <v>31.280890492583488</v>
      </c>
      <c r="S67" s="177">
        <f t="shared" si="16"/>
        <v>31.280890492583488</v>
      </c>
      <c r="T67" s="177">
        <f t="shared" si="17"/>
        <v>31.280890492583488</v>
      </c>
      <c r="U67" s="172">
        <f>IF(VLEESKALKOENEN!$H$15="ja",L67-((E67-G67*95%-I67)/E67*L67)*$R$6,L67-((E67-G67*80%-I67)/E67*L67)*$R$6)</f>
        <v>31.280890492583488</v>
      </c>
      <c r="V67" s="109">
        <f t="shared" si="24"/>
        <v>31.280890492583488</v>
      </c>
      <c r="W67" s="188">
        <f t="shared" si="18"/>
        <v>31.280890492583488</v>
      </c>
      <c r="X67" s="217"/>
    </row>
    <row r="68" spans="1:24" x14ac:dyDescent="0.2">
      <c r="A68" s="1">
        <v>59</v>
      </c>
      <c r="B68" s="7">
        <v>5.3</v>
      </c>
      <c r="E68" s="7">
        <f t="shared" si="8"/>
        <v>6.0949999999999998</v>
      </c>
      <c r="F68" s="7">
        <f t="shared" si="9"/>
        <v>6.0949999999999998</v>
      </c>
      <c r="G68" s="179">
        <f t="shared" si="26"/>
        <v>0</v>
      </c>
      <c r="H68" s="179">
        <f t="shared" si="25"/>
        <v>0</v>
      </c>
      <c r="I68" s="179">
        <f t="shared" si="28"/>
        <v>0</v>
      </c>
      <c r="J68" s="6">
        <f t="shared" si="10"/>
        <v>0.61652517441387056</v>
      </c>
      <c r="K68" s="129">
        <v>1</v>
      </c>
      <c r="L68" s="6">
        <f t="shared" si="11"/>
        <v>32.917635417340257</v>
      </c>
      <c r="M68" s="191">
        <f t="shared" si="12"/>
        <v>32.917635417340257</v>
      </c>
      <c r="N68" s="131">
        <f t="shared" si="27"/>
        <v>32.917635417340257</v>
      </c>
      <c r="O68" s="191">
        <f t="shared" si="13"/>
        <v>32.917635417340257</v>
      </c>
      <c r="P68" s="191">
        <f t="shared" si="29"/>
        <v>32.917635417340257</v>
      </c>
      <c r="Q68" s="6">
        <f t="shared" si="14"/>
        <v>32.917635417340257</v>
      </c>
      <c r="R68" s="177">
        <f t="shared" si="30"/>
        <v>32.917635417340257</v>
      </c>
      <c r="S68" s="177">
        <f t="shared" si="16"/>
        <v>32.917635417340257</v>
      </c>
      <c r="T68" s="177">
        <f t="shared" si="17"/>
        <v>32.917635417340257</v>
      </c>
      <c r="U68" s="172">
        <f>IF(VLEESKALKOENEN!$H$15="ja",L68-((E68-G68*95%-I68)/E68*L68)*$R$6,L68-((E68-G68*80%-I68)/E68*L68)*$R$6)</f>
        <v>32.917635417340257</v>
      </c>
      <c r="V68" s="109">
        <f t="shared" si="24"/>
        <v>32.917635417340257</v>
      </c>
      <c r="W68" s="188">
        <f t="shared" si="18"/>
        <v>32.917635417340257</v>
      </c>
      <c r="X68" s="217"/>
    </row>
    <row r="69" spans="1:24" x14ac:dyDescent="0.2">
      <c r="A69" s="1">
        <v>60</v>
      </c>
      <c r="B69" s="7">
        <v>5.47</v>
      </c>
      <c r="E69" s="7">
        <f t="shared" si="8"/>
        <v>6.2904999999999989</v>
      </c>
      <c r="F69" s="7">
        <f t="shared" si="9"/>
        <v>6.2904999999999989</v>
      </c>
      <c r="G69" s="179">
        <f t="shared" si="26"/>
        <v>0</v>
      </c>
      <c r="H69" s="179">
        <f t="shared" si="25"/>
        <v>0</v>
      </c>
      <c r="I69" s="179">
        <f t="shared" si="28"/>
        <v>0</v>
      </c>
      <c r="J69" s="6">
        <f t="shared" si="10"/>
        <v>0.6279742460676484</v>
      </c>
      <c r="K69" s="129">
        <v>1</v>
      </c>
      <c r="L69" s="6">
        <f t="shared" si="11"/>
        <v>34.604382675223619</v>
      </c>
      <c r="M69" s="191">
        <f t="shared" si="12"/>
        <v>34.604382675223619</v>
      </c>
      <c r="N69" s="131">
        <f t="shared" si="27"/>
        <v>34.604382675223619</v>
      </c>
      <c r="O69" s="191">
        <f t="shared" si="13"/>
        <v>34.604382675223619</v>
      </c>
      <c r="P69" s="191">
        <f t="shared" si="29"/>
        <v>34.604382675223619</v>
      </c>
      <c r="Q69" s="6">
        <f t="shared" si="14"/>
        <v>34.604382675223619</v>
      </c>
      <c r="R69" s="177">
        <f t="shared" si="30"/>
        <v>34.604382675223619</v>
      </c>
      <c r="S69" s="177">
        <f t="shared" si="16"/>
        <v>34.604382675223619</v>
      </c>
      <c r="T69" s="177">
        <f t="shared" si="17"/>
        <v>34.604382675223619</v>
      </c>
      <c r="U69" s="172">
        <f>IF(VLEESKALKOENEN!$H$15="ja",L69-((E69-G69*95%-I69)/E69*L69)*$R$6,L69-((E69-G69*80%-I69)/E69*L69)*$R$6)</f>
        <v>34.604382675223619</v>
      </c>
      <c r="V69" s="109">
        <f t="shared" si="24"/>
        <v>34.604382675223619</v>
      </c>
      <c r="W69" s="188">
        <f t="shared" si="18"/>
        <v>34.604382675223619</v>
      </c>
      <c r="X69" s="217"/>
    </row>
    <row r="70" spans="1:24" x14ac:dyDescent="0.2">
      <c r="A70" s="1">
        <v>61</v>
      </c>
      <c r="B70" s="7">
        <v>5.64</v>
      </c>
      <c r="E70" s="7">
        <f t="shared" si="8"/>
        <v>6.4859999999999989</v>
      </c>
      <c r="F70" s="7">
        <f t="shared" si="9"/>
        <v>6.4859999999999989</v>
      </c>
      <c r="G70" s="179">
        <f t="shared" si="26"/>
        <v>0</v>
      </c>
      <c r="H70" s="179">
        <f t="shared" si="25"/>
        <v>0</v>
      </c>
      <c r="I70" s="179">
        <f t="shared" si="28"/>
        <v>0</v>
      </c>
      <c r="J70" s="6">
        <f t="shared" si="10"/>
        <v>0.63963593068059343</v>
      </c>
      <c r="K70" s="129">
        <v>1</v>
      </c>
      <c r="L70" s="6">
        <f t="shared" si="11"/>
        <v>36.342424942414311</v>
      </c>
      <c r="M70" s="191">
        <f t="shared" si="12"/>
        <v>36.342424942414311</v>
      </c>
      <c r="N70" s="131">
        <f t="shared" si="27"/>
        <v>36.342424942414311</v>
      </c>
      <c r="O70" s="191">
        <f t="shared" si="13"/>
        <v>36.342424942414311</v>
      </c>
      <c r="P70" s="191">
        <f t="shared" si="29"/>
        <v>36.342424942414311</v>
      </c>
      <c r="Q70" s="6">
        <f t="shared" si="14"/>
        <v>36.342424942414311</v>
      </c>
      <c r="R70" s="177">
        <f t="shared" si="30"/>
        <v>36.342424942414311</v>
      </c>
      <c r="S70" s="177">
        <f t="shared" si="16"/>
        <v>36.342424942414311</v>
      </c>
      <c r="T70" s="177">
        <f t="shared" si="17"/>
        <v>36.342424942414311</v>
      </c>
      <c r="U70" s="172">
        <f>IF(VLEESKALKOENEN!$H$15="ja",L70-((E70-G70*95%-I70)/E70*L70)*$R$6,L70-((E70-G70*80%-I70)/E70*L70)*$R$6)</f>
        <v>36.342424942414311</v>
      </c>
      <c r="V70" s="109">
        <f t="shared" si="24"/>
        <v>36.342424942414311</v>
      </c>
      <c r="W70" s="188">
        <f t="shared" si="18"/>
        <v>36.342424942414311</v>
      </c>
      <c r="X70" s="217"/>
    </row>
    <row r="71" spans="1:24" x14ac:dyDescent="0.2">
      <c r="A71" s="1">
        <v>62</v>
      </c>
      <c r="B71" s="7">
        <v>5.81</v>
      </c>
      <c r="E71" s="7">
        <f t="shared" si="8"/>
        <v>6.6814999999999989</v>
      </c>
      <c r="F71" s="7">
        <f t="shared" si="9"/>
        <v>6.6814999999999989</v>
      </c>
      <c r="G71" s="179">
        <f t="shared" si="26"/>
        <v>0</v>
      </c>
      <c r="H71" s="179">
        <f t="shared" si="25"/>
        <v>0</v>
      </c>
      <c r="I71" s="179">
        <f t="shared" si="28"/>
        <v>0</v>
      </c>
      <c r="J71" s="6">
        <f t="shared" si="10"/>
        <v>0.6515141765440412</v>
      </c>
      <c r="K71" s="129">
        <v>1</v>
      </c>
      <c r="L71" s="6">
        <f t="shared" si="11"/>
        <v>38.13308566227213</v>
      </c>
      <c r="M71" s="191">
        <f t="shared" si="12"/>
        <v>38.13308566227213</v>
      </c>
      <c r="N71" s="131">
        <f t="shared" si="27"/>
        <v>38.13308566227213</v>
      </c>
      <c r="O71" s="191">
        <f t="shared" si="13"/>
        <v>38.13308566227213</v>
      </c>
      <c r="P71" s="191">
        <f t="shared" si="29"/>
        <v>38.13308566227213</v>
      </c>
      <c r="Q71" s="6">
        <f t="shared" si="14"/>
        <v>38.13308566227213</v>
      </c>
      <c r="R71" s="177">
        <f t="shared" si="30"/>
        <v>38.13308566227213</v>
      </c>
      <c r="S71" s="177">
        <f t="shared" si="16"/>
        <v>38.13308566227213</v>
      </c>
      <c r="T71" s="177">
        <f t="shared" si="17"/>
        <v>38.13308566227213</v>
      </c>
      <c r="U71" s="172">
        <f>IF(VLEESKALKOENEN!$H$15="ja",L71-((E71-G71*95%-I71)/E71*L71)*$R$6,L71-((E71-G71*80%-I71)/E71*L71)*$R$6)</f>
        <v>38.13308566227213</v>
      </c>
      <c r="V71" s="109">
        <f t="shared" si="24"/>
        <v>38.13308566227213</v>
      </c>
      <c r="W71" s="188">
        <f t="shared" si="18"/>
        <v>38.13308566227213</v>
      </c>
      <c r="X71" s="217"/>
    </row>
    <row r="72" spans="1:24" x14ac:dyDescent="0.2">
      <c r="A72" s="1">
        <v>63</v>
      </c>
      <c r="B72" s="7">
        <v>5.98</v>
      </c>
      <c r="E72" s="7">
        <f t="shared" si="8"/>
        <v>6.8769999999999998</v>
      </c>
      <c r="F72" s="7">
        <f t="shared" si="9"/>
        <v>6.8769999999999998</v>
      </c>
      <c r="G72" s="179">
        <f t="shared" si="26"/>
        <v>0</v>
      </c>
      <c r="H72" s="179">
        <f t="shared" si="25"/>
        <v>0</v>
      </c>
      <c r="I72" s="179">
        <f t="shared" si="28"/>
        <v>0</v>
      </c>
      <c r="J72" s="6">
        <f t="shared" si="10"/>
        <v>0.66361300527037204</v>
      </c>
      <c r="K72" s="129">
        <v>1</v>
      </c>
      <c r="L72" s="6">
        <f t="shared" si="11"/>
        <v>39.977719742260483</v>
      </c>
      <c r="M72" s="191">
        <f t="shared" si="12"/>
        <v>39.977719742260483</v>
      </c>
      <c r="N72" s="131">
        <f t="shared" si="27"/>
        <v>39.977719742260483</v>
      </c>
      <c r="O72" s="191">
        <f t="shared" si="13"/>
        <v>39.977719742260483</v>
      </c>
      <c r="P72" s="191">
        <f t="shared" si="29"/>
        <v>39.977719742260483</v>
      </c>
      <c r="Q72" s="6">
        <f t="shared" si="14"/>
        <v>39.977719742260483</v>
      </c>
      <c r="R72" s="177">
        <f t="shared" si="30"/>
        <v>39.977719742260483</v>
      </c>
      <c r="S72" s="177">
        <f t="shared" si="16"/>
        <v>39.977719742260483</v>
      </c>
      <c r="T72" s="177">
        <f t="shared" si="17"/>
        <v>39.977719742260483</v>
      </c>
      <c r="U72" s="172">
        <f>IF(VLEESKALKOENEN!$H$15="ja",L72-((E72-G72*95%-I72)/E72*L72)*$R$6,L72-((E72-G72*80%-I72)/E72*L72)*$R$6)</f>
        <v>39.977719742260483</v>
      </c>
      <c r="V72" s="109">
        <f t="shared" si="24"/>
        <v>39.977719742260483</v>
      </c>
      <c r="W72" s="188">
        <f t="shared" si="18"/>
        <v>39.977719742260483</v>
      </c>
      <c r="X72" s="217"/>
    </row>
    <row r="73" spans="1:24" x14ac:dyDescent="0.2">
      <c r="A73" s="1">
        <v>64</v>
      </c>
      <c r="B73" s="7">
        <v>6.16</v>
      </c>
      <c r="E73" s="7">
        <f t="shared" si="8"/>
        <v>7.0839999999999996</v>
      </c>
      <c r="F73" s="7">
        <f t="shared" si="9"/>
        <v>7.0839999999999996</v>
      </c>
      <c r="G73" s="179">
        <f t="shared" si="26"/>
        <v>0</v>
      </c>
      <c r="H73" s="179">
        <f t="shared" si="25"/>
        <v>0</v>
      </c>
      <c r="I73" s="179">
        <f t="shared" si="28"/>
        <v>0</v>
      </c>
      <c r="J73" s="6">
        <f t="shared" si="10"/>
        <v>0.6759365131546079</v>
      </c>
      <c r="K73" s="129">
        <v>1</v>
      </c>
      <c r="L73" s="6">
        <f t="shared" si="11"/>
        <v>41.945808110480236</v>
      </c>
      <c r="M73" s="191">
        <f t="shared" si="12"/>
        <v>41.945808110480236</v>
      </c>
      <c r="N73" s="131">
        <f t="shared" si="27"/>
        <v>41.945808110480236</v>
      </c>
      <c r="O73" s="191">
        <f t="shared" si="13"/>
        <v>41.945808110480236</v>
      </c>
      <c r="P73" s="191">
        <f t="shared" si="29"/>
        <v>41.945808110480236</v>
      </c>
      <c r="Q73" s="6">
        <f t="shared" si="14"/>
        <v>41.945808110480236</v>
      </c>
      <c r="R73" s="177">
        <f t="shared" si="30"/>
        <v>41.945808110480236</v>
      </c>
      <c r="S73" s="177">
        <f t="shared" si="16"/>
        <v>41.945808110480236</v>
      </c>
      <c r="T73" s="177">
        <f t="shared" si="17"/>
        <v>41.945808110480236</v>
      </c>
      <c r="U73" s="172">
        <f>IF(VLEESKALKOENEN!$H$15="ja",L73-((E73-G73*95%-I73)/E73*L73)*$R$6,L73-((E73-G73*80%-I73)/E73*L73)*$R$6)</f>
        <v>41.945808110480236</v>
      </c>
      <c r="V73" s="109">
        <f t="shared" si="24"/>
        <v>41.945808110480236</v>
      </c>
      <c r="W73" s="188">
        <f t="shared" si="18"/>
        <v>41.945808110480236</v>
      </c>
      <c r="X73" s="217"/>
    </row>
    <row r="74" spans="1:24" x14ac:dyDescent="0.2">
      <c r="A74" s="1">
        <v>65</v>
      </c>
      <c r="B74" s="7">
        <v>6.33</v>
      </c>
      <c r="E74" s="7">
        <f t="shared" si="8"/>
        <v>7.2794999999999996</v>
      </c>
      <c r="F74" s="7">
        <f t="shared" si="9"/>
        <v>7.2794999999999996</v>
      </c>
      <c r="G74" s="179">
        <f t="shared" si="26"/>
        <v>0</v>
      </c>
      <c r="H74" s="179">
        <f t="shared" si="25"/>
        <v>0</v>
      </c>
      <c r="I74" s="179">
        <f t="shared" si="28"/>
        <v>0</v>
      </c>
      <c r="J74" s="6">
        <f t="shared" si="10"/>
        <v>0.68848887256129243</v>
      </c>
      <c r="K74" s="129">
        <v>1</v>
      </c>
      <c r="L74" s="6">
        <f t="shared" si="11"/>
        <v>43.903847590814969</v>
      </c>
      <c r="M74" s="191">
        <f t="shared" si="12"/>
        <v>43.903847590814969</v>
      </c>
      <c r="N74" s="131">
        <f t="shared" si="27"/>
        <v>43.903847590814969</v>
      </c>
      <c r="O74" s="191">
        <f t="shared" si="13"/>
        <v>43.903847590814969</v>
      </c>
      <c r="P74" s="191">
        <f t="shared" si="29"/>
        <v>43.903847590814969</v>
      </c>
      <c r="Q74" s="6">
        <f t="shared" si="14"/>
        <v>43.903847590814969</v>
      </c>
      <c r="R74" s="177">
        <f t="shared" si="30"/>
        <v>43.903847590814969</v>
      </c>
      <c r="S74" s="177">
        <f t="shared" si="16"/>
        <v>43.903847590814969</v>
      </c>
      <c r="T74" s="177">
        <f t="shared" si="17"/>
        <v>43.903847590814969</v>
      </c>
      <c r="U74" s="172">
        <f>IF(VLEESKALKOENEN!$H$15="ja",L74-((E74-G74*95%-I74)/E74*L74)*$R$6,L74-((E74-G74*80%-I74)/E74*L74)*$R$6)</f>
        <v>43.903847590814969</v>
      </c>
      <c r="V74" s="109">
        <f t="shared" si="24"/>
        <v>43.903847590814969</v>
      </c>
      <c r="W74" s="188">
        <f t="shared" si="18"/>
        <v>43.903847590814969</v>
      </c>
      <c r="X74" s="217"/>
    </row>
    <row r="75" spans="1:24" x14ac:dyDescent="0.2">
      <c r="A75" s="1">
        <v>66</v>
      </c>
      <c r="B75" s="7">
        <v>6.51</v>
      </c>
      <c r="E75" s="7">
        <f t="shared" ref="E75:E121" si="31">B75*1.15</f>
        <v>7.4864999999999995</v>
      </c>
      <c r="F75" s="7">
        <f t="shared" ref="F75:F121" si="32">E75-G75</f>
        <v>7.4864999999999995</v>
      </c>
      <c r="G75" s="179">
        <f t="shared" si="26"/>
        <v>0</v>
      </c>
      <c r="H75" s="179">
        <f t="shared" si="25"/>
        <v>0</v>
      </c>
      <c r="I75" s="179">
        <f t="shared" si="28"/>
        <v>0</v>
      </c>
      <c r="J75" s="6">
        <f t="shared" ref="J75:J121" si="33">0.2082*EXP(0.0184*A75)</f>
        <v>0.70127433333712652</v>
      </c>
      <c r="K75" s="129">
        <v>1</v>
      </c>
      <c r="L75" s="6">
        <f t="shared" ref="L75:L121" si="34">J75/1000*E75*24*365</f>
        <v>45.990790997588768</v>
      </c>
      <c r="M75" s="191">
        <f t="shared" ref="M75:M121" si="35">IF(E75&gt;$R$5,L75-(R$5)/E75*L75*99%,L75-(E75)/E75*L75*99%)</f>
        <v>45.990790997588768</v>
      </c>
      <c r="N75" s="131">
        <f t="shared" si="27"/>
        <v>45.990790997588768</v>
      </c>
      <c r="O75" s="191">
        <f t="shared" ref="O75:O121" si="36">(((($J75)-$J$3)/1000*$F75*24*365*$K75))+(((($J75*(1-$R$2))-$J$3)/1000*$G75*24*365*$K75)*(1-R$3))</f>
        <v>45.990790997588768</v>
      </c>
      <c r="P75" s="191">
        <f t="shared" si="29"/>
        <v>45.990790997588768</v>
      </c>
      <c r="Q75" s="6">
        <f t="shared" ref="Q75:Q138" si="37">(((($J75)-$J$3)/1000*$F75*24*365*$K75))+(((($J75)-$J$3)/1000*$G75*24*365*$K75)*(1-95%))</f>
        <v>45.990790997588768</v>
      </c>
      <c r="R75" s="177">
        <f t="shared" si="30"/>
        <v>45.990790997588768</v>
      </c>
      <c r="S75" s="177">
        <f t="shared" ref="S75:S121" si="38">IF(E75-G75-H75&gt;=0,L75-((E75-G75-H75)/E75*L75)*$R$6,IF(G75&gt;H75,L75-((E75-G75)/E75*L75)*$R$6,L75-((E75-H75)/E75*L75)*$R$6))</f>
        <v>45.990790997588768</v>
      </c>
      <c r="T75" s="177">
        <f t="shared" ref="T75:T121" si="39">L75-(E75-H75)/E75*L75*$R$6</f>
        <v>45.990790997588768</v>
      </c>
      <c r="U75" s="172">
        <f>IF(VLEESKALKOENEN!$H$15="ja",L75-((E75-G75*95%-I75)/E75*L75)*$R$6,L75-((E75-G75*80%-I75)/E75*L75)*$R$6)</f>
        <v>45.990790997588768</v>
      </c>
      <c r="V75" s="109">
        <f t="shared" si="24"/>
        <v>45.990790997588768</v>
      </c>
      <c r="W75" s="188">
        <f t="shared" ref="W75:W121" si="40">L75-(E75-H75)/E75*L75*$R$6</f>
        <v>45.990790997588768</v>
      </c>
      <c r="X75" s="217"/>
    </row>
    <row r="76" spans="1:24" x14ac:dyDescent="0.2">
      <c r="A76" s="1">
        <v>67</v>
      </c>
      <c r="B76" s="7">
        <v>6.69</v>
      </c>
      <c r="E76" s="7">
        <f t="shared" si="31"/>
        <v>7.6935000000000002</v>
      </c>
      <c r="F76" s="7">
        <f t="shared" si="32"/>
        <v>7.6935000000000002</v>
      </c>
      <c r="G76" s="179">
        <f t="shared" si="26"/>
        <v>0</v>
      </c>
      <c r="H76" s="179">
        <f t="shared" si="25"/>
        <v>0</v>
      </c>
      <c r="I76" s="179">
        <f t="shared" si="28"/>
        <v>0</v>
      </c>
      <c r="J76" s="6">
        <f t="shared" si="33"/>
        <v>0.71429722424983755</v>
      </c>
      <c r="K76" s="129">
        <v>1</v>
      </c>
      <c r="L76" s="6">
        <f t="shared" si="34"/>
        <v>48.140104286151264</v>
      </c>
      <c r="M76" s="191">
        <f t="shared" si="35"/>
        <v>48.140104286151264</v>
      </c>
      <c r="N76" s="131">
        <f t="shared" si="27"/>
        <v>48.140104286151264</v>
      </c>
      <c r="O76" s="191">
        <f t="shared" si="36"/>
        <v>48.140104286151264</v>
      </c>
      <c r="P76" s="191">
        <f t="shared" si="29"/>
        <v>48.140104286151264</v>
      </c>
      <c r="Q76" s="6">
        <f t="shared" si="37"/>
        <v>48.140104286151264</v>
      </c>
      <c r="R76" s="177">
        <f t="shared" si="30"/>
        <v>48.140104286151264</v>
      </c>
      <c r="S76" s="177">
        <f t="shared" si="38"/>
        <v>48.140104286151264</v>
      </c>
      <c r="T76" s="177">
        <f t="shared" si="39"/>
        <v>48.140104286151264</v>
      </c>
      <c r="U76" s="172">
        <f>IF(VLEESKALKOENEN!$H$15="ja",L76-((E76-G76*95%-I76)/E76*L76)*$R$6,L76-((E76-G76*80%-I76)/E76*L76)*$R$6)</f>
        <v>48.140104286151264</v>
      </c>
      <c r="V76" s="109">
        <f t="shared" si="24"/>
        <v>48.140104286151264</v>
      </c>
      <c r="W76" s="188">
        <f t="shared" si="40"/>
        <v>48.140104286151264</v>
      </c>
      <c r="X76" s="217"/>
    </row>
    <row r="77" spans="1:24" x14ac:dyDescent="0.2">
      <c r="A77" s="1">
        <v>68</v>
      </c>
      <c r="B77" s="7">
        <v>6.87</v>
      </c>
      <c r="E77" s="7">
        <f t="shared" si="31"/>
        <v>7.9004999999999992</v>
      </c>
      <c r="F77" s="7">
        <f t="shared" si="32"/>
        <v>7.9004999999999992</v>
      </c>
      <c r="G77" s="179">
        <f t="shared" si="26"/>
        <v>0</v>
      </c>
      <c r="H77" s="179">
        <f t="shared" si="25"/>
        <v>0</v>
      </c>
      <c r="I77" s="179">
        <f t="shared" si="28"/>
        <v>0</v>
      </c>
      <c r="J77" s="6">
        <f t="shared" si="33"/>
        <v>0.72756195445376759</v>
      </c>
      <c r="K77" s="129">
        <v>1</v>
      </c>
      <c r="L77" s="6">
        <f t="shared" si="34"/>
        <v>50.35338421737903</v>
      </c>
      <c r="M77" s="191">
        <f t="shared" si="35"/>
        <v>50.35338421737903</v>
      </c>
      <c r="N77" s="131">
        <f t="shared" si="27"/>
        <v>50.35338421737903</v>
      </c>
      <c r="O77" s="191">
        <f t="shared" si="36"/>
        <v>50.35338421737903</v>
      </c>
      <c r="P77" s="191">
        <f t="shared" si="29"/>
        <v>50.35338421737903</v>
      </c>
      <c r="Q77" s="6">
        <f t="shared" si="37"/>
        <v>50.35338421737903</v>
      </c>
      <c r="R77" s="177">
        <f t="shared" si="30"/>
        <v>50.35338421737903</v>
      </c>
      <c r="S77" s="177">
        <f t="shared" si="38"/>
        <v>50.35338421737903</v>
      </c>
      <c r="T77" s="177">
        <f t="shared" si="39"/>
        <v>50.35338421737903</v>
      </c>
      <c r="U77" s="172">
        <f>IF(VLEESKALKOENEN!$H$15="ja",L77-((E77-G77*95%-I77)/E77*L77)*$R$6,L77-((E77-G77*80%-I77)/E77*L77)*$R$6)</f>
        <v>50.35338421737903</v>
      </c>
      <c r="V77" s="109">
        <f t="shared" si="24"/>
        <v>50.35338421737903</v>
      </c>
      <c r="W77" s="188">
        <f t="shared" si="40"/>
        <v>50.35338421737903</v>
      </c>
      <c r="X77" s="217"/>
    </row>
    <row r="78" spans="1:24" x14ac:dyDescent="0.2">
      <c r="A78" s="1">
        <v>69</v>
      </c>
      <c r="B78" s="7">
        <v>7.05</v>
      </c>
      <c r="E78" s="7">
        <f t="shared" si="31"/>
        <v>8.1074999999999999</v>
      </c>
      <c r="F78" s="7">
        <f t="shared" si="32"/>
        <v>8.1074999999999999</v>
      </c>
      <c r="G78" s="179">
        <f t="shared" si="26"/>
        <v>0</v>
      </c>
      <c r="H78" s="179">
        <f t="shared" si="25"/>
        <v>0</v>
      </c>
      <c r="I78" s="179">
        <f t="shared" si="28"/>
        <v>0</v>
      </c>
      <c r="J78" s="6">
        <f t="shared" si="33"/>
        <v>0.74107301498267952</v>
      </c>
      <c r="K78" s="129">
        <v>1</v>
      </c>
      <c r="L78" s="6">
        <f t="shared" si="34"/>
        <v>52.632265348195368</v>
      </c>
      <c r="M78" s="191">
        <f t="shared" si="35"/>
        <v>52.632265348195368</v>
      </c>
      <c r="N78" s="131">
        <f t="shared" si="27"/>
        <v>52.632265348195368</v>
      </c>
      <c r="O78" s="191">
        <f t="shared" si="36"/>
        <v>52.632265348195368</v>
      </c>
      <c r="P78" s="191">
        <f t="shared" si="29"/>
        <v>52.632265348195368</v>
      </c>
      <c r="Q78" s="6">
        <f t="shared" si="37"/>
        <v>52.632265348195368</v>
      </c>
      <c r="R78" s="177">
        <f t="shared" si="30"/>
        <v>52.632265348195368</v>
      </c>
      <c r="S78" s="177">
        <f t="shared" si="38"/>
        <v>52.632265348195368</v>
      </c>
      <c r="T78" s="177">
        <f t="shared" si="39"/>
        <v>52.632265348195368</v>
      </c>
      <c r="U78" s="172">
        <f>IF(VLEESKALKOENEN!$H$15="ja",L78-((E78-G78*95%-I78)/E78*L78)*$R$6,L78-((E78-G78*80%-I78)/E78*L78)*$R$6)</f>
        <v>52.632265348195368</v>
      </c>
      <c r="V78" s="109">
        <f t="shared" si="24"/>
        <v>52.632265348195368</v>
      </c>
      <c r="W78" s="188">
        <f t="shared" si="40"/>
        <v>52.632265348195368</v>
      </c>
      <c r="X78" s="217"/>
    </row>
    <row r="79" spans="1:24" x14ac:dyDescent="0.2">
      <c r="A79" s="1">
        <v>70</v>
      </c>
      <c r="B79" s="7">
        <v>7.23</v>
      </c>
      <c r="E79" s="7">
        <f t="shared" si="31"/>
        <v>8.3145000000000007</v>
      </c>
      <c r="F79" s="7">
        <f t="shared" si="32"/>
        <v>8.3145000000000007</v>
      </c>
      <c r="G79" s="179">
        <f t="shared" si="26"/>
        <v>0</v>
      </c>
      <c r="H79" s="179">
        <f t="shared" si="25"/>
        <v>0</v>
      </c>
      <c r="I79" s="179">
        <f t="shared" si="28"/>
        <v>0</v>
      </c>
      <c r="J79" s="6">
        <f t="shared" si="33"/>
        <v>0.75483498027028362</v>
      </c>
      <c r="K79" s="129">
        <v>1</v>
      </c>
      <c r="L79" s="6">
        <f t="shared" si="34"/>
        <v>54.978420884685718</v>
      </c>
      <c r="M79" s="191">
        <f t="shared" si="35"/>
        <v>54.978420884685718</v>
      </c>
      <c r="N79" s="131">
        <f t="shared" si="27"/>
        <v>54.978420884685718</v>
      </c>
      <c r="O79" s="191">
        <f t="shared" si="36"/>
        <v>54.978420884685718</v>
      </c>
      <c r="P79" s="191">
        <f t="shared" si="29"/>
        <v>54.978420884685718</v>
      </c>
      <c r="Q79" s="6">
        <f t="shared" si="37"/>
        <v>54.978420884685718</v>
      </c>
      <c r="R79" s="177">
        <f t="shared" si="30"/>
        <v>54.978420884685718</v>
      </c>
      <c r="S79" s="177">
        <f t="shared" si="38"/>
        <v>54.978420884685718</v>
      </c>
      <c r="T79" s="177">
        <f t="shared" si="39"/>
        <v>54.978420884685718</v>
      </c>
      <c r="U79" s="172">
        <f>IF(VLEESKALKOENEN!$H$15="ja",L79-((E79-G79*95%-I79)/E79*L79)*$R$6,L79-((E79-G79*80%-I79)/E79*L79)*$R$6)</f>
        <v>54.978420884685718</v>
      </c>
      <c r="V79" s="109">
        <f t="shared" si="24"/>
        <v>54.978420884685718</v>
      </c>
      <c r="W79" s="188">
        <f t="shared" si="40"/>
        <v>54.978420884685718</v>
      </c>
      <c r="X79" s="217"/>
    </row>
    <row r="80" spans="1:24" x14ac:dyDescent="0.2">
      <c r="A80" s="1">
        <v>71</v>
      </c>
      <c r="B80" s="7">
        <v>7.42</v>
      </c>
      <c r="E80" s="7">
        <f t="shared" si="31"/>
        <v>8.5329999999999995</v>
      </c>
      <c r="F80" s="7">
        <f t="shared" si="32"/>
        <v>8.5329999999999995</v>
      </c>
      <c r="G80" s="179">
        <f t="shared" si="26"/>
        <v>0</v>
      </c>
      <c r="H80" s="179">
        <f t="shared" si="25"/>
        <v>0</v>
      </c>
      <c r="I80" s="179">
        <f t="shared" si="28"/>
        <v>0</v>
      </c>
      <c r="J80" s="6">
        <f t="shared" si="33"/>
        <v>0.76885250969900243</v>
      </c>
      <c r="K80" s="129">
        <v>1</v>
      </c>
      <c r="L80" s="6">
        <f t="shared" si="34"/>
        <v>57.471017755691499</v>
      </c>
      <c r="M80" s="191">
        <f t="shared" si="35"/>
        <v>57.471017755691499</v>
      </c>
      <c r="N80" s="131">
        <f t="shared" si="27"/>
        <v>57.471017755691499</v>
      </c>
      <c r="O80" s="191">
        <f t="shared" si="36"/>
        <v>57.471017755691499</v>
      </c>
      <c r="P80" s="191">
        <f t="shared" si="29"/>
        <v>57.471017755691499</v>
      </c>
      <c r="Q80" s="6">
        <f t="shared" si="37"/>
        <v>57.471017755691499</v>
      </c>
      <c r="R80" s="177">
        <f t="shared" si="30"/>
        <v>57.471017755691499</v>
      </c>
      <c r="S80" s="177">
        <f t="shared" si="38"/>
        <v>57.471017755691499</v>
      </c>
      <c r="T80" s="177">
        <f t="shared" si="39"/>
        <v>57.471017755691499</v>
      </c>
      <c r="U80" s="172">
        <f>IF(VLEESKALKOENEN!$H$15="ja",L80-((E80-G80*95%-I80)/E80*L80)*$R$6,L80-((E80-G80*80%-I80)/E80*L80)*$R$6)</f>
        <v>57.471017755691499</v>
      </c>
      <c r="V80" s="109">
        <f t="shared" si="24"/>
        <v>57.471017755691499</v>
      </c>
      <c r="W80" s="188">
        <f t="shared" si="40"/>
        <v>57.471017755691499</v>
      </c>
      <c r="X80" s="217"/>
    </row>
    <row r="81" spans="1:24" x14ac:dyDescent="0.2">
      <c r="A81" s="1">
        <v>72</v>
      </c>
      <c r="B81" s="7">
        <v>7.6</v>
      </c>
      <c r="E81" s="7">
        <f t="shared" si="31"/>
        <v>8.7399999999999984</v>
      </c>
      <c r="F81" s="7">
        <f t="shared" si="32"/>
        <v>8.7399999999999984</v>
      </c>
      <c r="G81" s="179">
        <f t="shared" si="26"/>
        <v>0</v>
      </c>
      <c r="H81" s="179">
        <f t="shared" si="25"/>
        <v>0</v>
      </c>
      <c r="I81" s="179">
        <f t="shared" si="28"/>
        <v>0</v>
      </c>
      <c r="J81" s="6">
        <f t="shared" si="33"/>
        <v>0.78313034917749469</v>
      </c>
      <c r="K81" s="129">
        <v>1</v>
      </c>
      <c r="L81" s="6">
        <f t="shared" si="34"/>
        <v>59.958339045867021</v>
      </c>
      <c r="M81" s="191">
        <f t="shared" si="35"/>
        <v>59.958339045867021</v>
      </c>
      <c r="N81" s="131">
        <f t="shared" si="27"/>
        <v>59.958339045867021</v>
      </c>
      <c r="O81" s="191">
        <f t="shared" si="36"/>
        <v>59.958339045867021</v>
      </c>
      <c r="P81" s="191">
        <f t="shared" si="29"/>
        <v>59.958339045867021</v>
      </c>
      <c r="Q81" s="6">
        <f t="shared" si="37"/>
        <v>59.958339045867021</v>
      </c>
      <c r="R81" s="177">
        <f t="shared" si="30"/>
        <v>59.958339045867021</v>
      </c>
      <c r="S81" s="177">
        <f t="shared" si="38"/>
        <v>59.958339045867021</v>
      </c>
      <c r="T81" s="177">
        <f t="shared" si="39"/>
        <v>59.958339045867021</v>
      </c>
      <c r="U81" s="172">
        <f>IF(VLEESKALKOENEN!$H$15="ja",L81-((E81-G81*95%-I81)/E81*L81)*$R$6,L81-((E81-G81*80%-I81)/E81*L81)*$R$6)</f>
        <v>59.958339045867021</v>
      </c>
      <c r="V81" s="109">
        <f t="shared" si="24"/>
        <v>59.958339045867021</v>
      </c>
      <c r="W81" s="188">
        <f t="shared" si="40"/>
        <v>59.958339045867021</v>
      </c>
      <c r="X81" s="217"/>
    </row>
    <row r="82" spans="1:24" x14ac:dyDescent="0.2">
      <c r="A82" s="1">
        <v>73</v>
      </c>
      <c r="B82" s="7">
        <v>7.79</v>
      </c>
      <c r="E82" s="7">
        <f t="shared" si="31"/>
        <v>8.958499999999999</v>
      </c>
      <c r="F82" s="7">
        <f t="shared" si="32"/>
        <v>8.958499999999999</v>
      </c>
      <c r="G82" s="179">
        <f t="shared" si="26"/>
        <v>0</v>
      </c>
      <c r="H82" s="179">
        <f t="shared" si="25"/>
        <v>0</v>
      </c>
      <c r="I82" s="179">
        <f t="shared" si="28"/>
        <v>0</v>
      </c>
      <c r="J82" s="6">
        <f t="shared" si="33"/>
        <v>0.79767333274747643</v>
      </c>
      <c r="K82" s="129">
        <v>1</v>
      </c>
      <c r="L82" s="6">
        <f t="shared" si="34"/>
        <v>62.598579390424021</v>
      </c>
      <c r="M82" s="191">
        <f t="shared" si="35"/>
        <v>62.598579390424021</v>
      </c>
      <c r="N82" s="131">
        <f t="shared" si="27"/>
        <v>62.598579390424021</v>
      </c>
      <c r="O82" s="191">
        <f t="shared" si="36"/>
        <v>62.598579390424021</v>
      </c>
      <c r="P82" s="191">
        <f t="shared" si="29"/>
        <v>62.598579390424021</v>
      </c>
      <c r="Q82" s="6">
        <f t="shared" si="37"/>
        <v>62.598579390424021</v>
      </c>
      <c r="R82" s="177">
        <f t="shared" si="30"/>
        <v>62.598579390424021</v>
      </c>
      <c r="S82" s="177">
        <f t="shared" si="38"/>
        <v>62.598579390424021</v>
      </c>
      <c r="T82" s="177">
        <f t="shared" si="39"/>
        <v>62.598579390424021</v>
      </c>
      <c r="U82" s="172">
        <f>IF(VLEESKALKOENEN!$H$15="ja",L82-((E82-G82*95%-I82)/E82*L82)*$R$6,L82-((E82-G82*80%-I82)/E82*L82)*$R$6)</f>
        <v>62.598579390424021</v>
      </c>
      <c r="V82" s="109">
        <f t="shared" si="24"/>
        <v>62.598579390424021</v>
      </c>
      <c r="W82" s="188">
        <f t="shared" si="40"/>
        <v>62.598579390424021</v>
      </c>
      <c r="X82" s="217"/>
    </row>
    <row r="83" spans="1:24" x14ac:dyDescent="0.2">
      <c r="A83" s="1">
        <v>74</v>
      </c>
      <c r="B83" s="7">
        <v>7.97</v>
      </c>
      <c r="E83" s="7">
        <f t="shared" si="31"/>
        <v>9.1654999999999998</v>
      </c>
      <c r="F83" s="7">
        <f t="shared" si="32"/>
        <v>9.1654999999999998</v>
      </c>
      <c r="G83" s="179">
        <f t="shared" si="26"/>
        <v>0</v>
      </c>
      <c r="H83" s="179">
        <f t="shared" si="25"/>
        <v>0</v>
      </c>
      <c r="I83" s="179">
        <f t="shared" si="28"/>
        <v>0</v>
      </c>
      <c r="J83" s="6">
        <f t="shared" si="33"/>
        <v>0.81248638422038</v>
      </c>
      <c r="K83" s="129">
        <v>1</v>
      </c>
      <c r="L83" s="6">
        <f t="shared" si="34"/>
        <v>65.23435304204979</v>
      </c>
      <c r="M83" s="191">
        <f t="shared" si="35"/>
        <v>65.23435304204979</v>
      </c>
      <c r="N83" s="131">
        <f t="shared" si="27"/>
        <v>65.23435304204979</v>
      </c>
      <c r="O83" s="191">
        <f t="shared" si="36"/>
        <v>65.23435304204979</v>
      </c>
      <c r="P83" s="191">
        <f t="shared" si="29"/>
        <v>65.23435304204979</v>
      </c>
      <c r="Q83" s="6">
        <f t="shared" si="37"/>
        <v>65.23435304204979</v>
      </c>
      <c r="R83" s="177">
        <f t="shared" si="30"/>
        <v>65.23435304204979</v>
      </c>
      <c r="S83" s="177">
        <f t="shared" si="38"/>
        <v>65.23435304204979</v>
      </c>
      <c r="T83" s="177">
        <f t="shared" si="39"/>
        <v>65.23435304204979</v>
      </c>
      <c r="U83" s="172">
        <f>IF(VLEESKALKOENEN!$H$15="ja",L83-((E83-G83*95%-I83)/E83*L83)*$R$6,L83-((E83-G83*80%-I83)/E83*L83)*$R$6)</f>
        <v>65.23435304204979</v>
      </c>
      <c r="V83" s="109">
        <f t="shared" si="24"/>
        <v>65.23435304204979</v>
      </c>
      <c r="W83" s="188">
        <f t="shared" si="40"/>
        <v>65.23435304204979</v>
      </c>
      <c r="X83" s="217"/>
    </row>
    <row r="84" spans="1:24" x14ac:dyDescent="0.2">
      <c r="A84" s="1">
        <v>75</v>
      </c>
      <c r="B84" s="7">
        <v>8.16</v>
      </c>
      <c r="E84" s="7">
        <f t="shared" si="31"/>
        <v>9.3839999999999986</v>
      </c>
      <c r="F84" s="7">
        <f t="shared" si="32"/>
        <v>9.3839999999999986</v>
      </c>
      <c r="G84" s="179">
        <f t="shared" si="26"/>
        <v>0</v>
      </c>
      <c r="H84" s="179">
        <f t="shared" si="25"/>
        <v>0</v>
      </c>
      <c r="I84" s="179">
        <f t="shared" si="28"/>
        <v>0</v>
      </c>
      <c r="J84" s="6">
        <f t="shared" si="33"/>
        <v>0.82757451884440647</v>
      </c>
      <c r="K84" s="129">
        <v>1</v>
      </c>
      <c r="L84" s="6">
        <f t="shared" si="34"/>
        <v>68.029803335162555</v>
      </c>
      <c r="M84" s="191">
        <f t="shared" si="35"/>
        <v>68.029803335162555</v>
      </c>
      <c r="N84" s="131">
        <f t="shared" si="27"/>
        <v>68.029803335162555</v>
      </c>
      <c r="O84" s="191">
        <f t="shared" si="36"/>
        <v>68.029803335162555</v>
      </c>
      <c r="P84" s="191">
        <f t="shared" si="29"/>
        <v>68.029803335162555</v>
      </c>
      <c r="Q84" s="6">
        <f t="shared" si="37"/>
        <v>68.029803335162555</v>
      </c>
      <c r="R84" s="177">
        <f t="shared" si="30"/>
        <v>68.029803335162555</v>
      </c>
      <c r="S84" s="177">
        <f t="shared" si="38"/>
        <v>68.029803335162555</v>
      </c>
      <c r="T84" s="177">
        <f t="shared" si="39"/>
        <v>68.029803335162555</v>
      </c>
      <c r="U84" s="172">
        <f>IF(VLEESKALKOENEN!$H$15="ja",L84-((E84-G84*95%-I84)/E84*L84)*$R$6,L84-((E84-G84*80%-I84)/E84*L84)*$R$6)</f>
        <v>68.029803335162555</v>
      </c>
      <c r="V84" s="109">
        <f t="shared" si="24"/>
        <v>68.029803335162555</v>
      </c>
      <c r="W84" s="188">
        <f t="shared" si="40"/>
        <v>68.029803335162555</v>
      </c>
      <c r="X84" s="217"/>
    </row>
    <row r="85" spans="1:24" x14ac:dyDescent="0.2">
      <c r="A85" s="1">
        <v>76</v>
      </c>
      <c r="B85" s="7">
        <v>8.35</v>
      </c>
      <c r="E85" s="7">
        <f t="shared" si="31"/>
        <v>9.6024999999999991</v>
      </c>
      <c r="F85" s="7">
        <f t="shared" si="32"/>
        <v>9.6024999999999991</v>
      </c>
      <c r="G85" s="179">
        <f t="shared" si="26"/>
        <v>0</v>
      </c>
      <c r="H85" s="179">
        <f t="shared" si="25"/>
        <v>0</v>
      </c>
      <c r="I85" s="179">
        <f t="shared" si="28"/>
        <v>0</v>
      </c>
      <c r="J85" s="6">
        <f t="shared" si="33"/>
        <v>0.84294284500253636</v>
      </c>
      <c r="K85" s="129">
        <v>1</v>
      </c>
      <c r="L85" s="6">
        <f t="shared" si="34"/>
        <v>70.906581941638848</v>
      </c>
      <c r="M85" s="191">
        <f t="shared" si="35"/>
        <v>70.906581941638848</v>
      </c>
      <c r="N85" s="131">
        <f t="shared" si="27"/>
        <v>70.906581941638848</v>
      </c>
      <c r="O85" s="191">
        <f t="shared" si="36"/>
        <v>70.906581941638848</v>
      </c>
      <c r="P85" s="191">
        <f t="shared" si="29"/>
        <v>70.906581941638848</v>
      </c>
      <c r="Q85" s="6">
        <f t="shared" si="37"/>
        <v>70.906581941638848</v>
      </c>
      <c r="R85" s="177">
        <f t="shared" si="30"/>
        <v>70.906581941638848</v>
      </c>
      <c r="S85" s="177">
        <f t="shared" si="38"/>
        <v>70.906581941638848</v>
      </c>
      <c r="T85" s="177">
        <f t="shared" si="39"/>
        <v>70.906581941638848</v>
      </c>
      <c r="U85" s="172">
        <f>IF(VLEESKALKOENEN!$H$15="ja",L85-((E85-G85*95%-I85)/E85*L85)*$R$6,L85-((E85-G85*80%-I85)/E85*L85)*$R$6)</f>
        <v>70.906581941638848</v>
      </c>
      <c r="V85" s="109">
        <f t="shared" si="24"/>
        <v>70.906581941638848</v>
      </c>
      <c r="W85" s="188">
        <f t="shared" si="40"/>
        <v>70.906581941638848</v>
      </c>
      <c r="X85" s="217"/>
    </row>
    <row r="86" spans="1:24" x14ac:dyDescent="0.2">
      <c r="A86" s="1">
        <v>77</v>
      </c>
      <c r="B86" s="7">
        <v>8.5399999999999991</v>
      </c>
      <c r="E86" s="7">
        <f t="shared" si="31"/>
        <v>9.820999999999998</v>
      </c>
      <c r="F86" s="7">
        <f t="shared" si="32"/>
        <v>9.820999999999998</v>
      </c>
      <c r="G86" s="179">
        <f t="shared" si="26"/>
        <v>0</v>
      </c>
      <c r="H86" s="179">
        <f t="shared" si="25"/>
        <v>0</v>
      </c>
      <c r="I86" s="179">
        <f t="shared" si="28"/>
        <v>0</v>
      </c>
      <c r="J86" s="6">
        <f t="shared" si="33"/>
        <v>0.8585965659420719</v>
      </c>
      <c r="K86" s="129">
        <v>1</v>
      </c>
      <c r="L86" s="6">
        <f t="shared" si="34"/>
        <v>73.866745417265676</v>
      </c>
      <c r="M86" s="191">
        <f t="shared" si="35"/>
        <v>73.866745417265676</v>
      </c>
      <c r="N86" s="131">
        <f t="shared" si="27"/>
        <v>73.866745417265676</v>
      </c>
      <c r="O86" s="191">
        <f t="shared" si="36"/>
        <v>73.866745417265676</v>
      </c>
      <c r="P86" s="191">
        <f t="shared" si="29"/>
        <v>73.866745417265676</v>
      </c>
      <c r="Q86" s="6">
        <f t="shared" si="37"/>
        <v>73.866745417265676</v>
      </c>
      <c r="R86" s="177">
        <f t="shared" si="30"/>
        <v>73.866745417265676</v>
      </c>
      <c r="S86" s="177">
        <f t="shared" si="38"/>
        <v>73.866745417265676</v>
      </c>
      <c r="T86" s="177">
        <f t="shared" si="39"/>
        <v>73.866745417265676</v>
      </c>
      <c r="U86" s="172">
        <f>IF(VLEESKALKOENEN!$H$15="ja",L86-((E86-G86*95%-I86)/E86*L86)*$R$6,L86-((E86-G86*80%-I86)/E86*L86)*$R$6)</f>
        <v>73.866745417265676</v>
      </c>
      <c r="V86" s="109">
        <f t="shared" si="24"/>
        <v>73.866745417265676</v>
      </c>
      <c r="W86" s="188">
        <f t="shared" si="40"/>
        <v>73.866745417265676</v>
      </c>
      <c r="X86" s="217"/>
    </row>
    <row r="87" spans="1:24" x14ac:dyDescent="0.2">
      <c r="A87" s="1">
        <v>78</v>
      </c>
      <c r="B87" s="7">
        <v>8.73</v>
      </c>
      <c r="E87" s="7">
        <f t="shared" si="31"/>
        <v>10.0395</v>
      </c>
      <c r="F87" s="7">
        <f t="shared" si="32"/>
        <v>10.0395</v>
      </c>
      <c r="G87" s="179">
        <f t="shared" si="26"/>
        <v>0</v>
      </c>
      <c r="H87" s="179">
        <f t="shared" si="25"/>
        <v>0</v>
      </c>
      <c r="I87" s="179">
        <f t="shared" si="28"/>
        <v>0</v>
      </c>
      <c r="J87" s="6">
        <f t="shared" si="33"/>
        <v>0.87454098153629933</v>
      </c>
      <c r="K87" s="129">
        <v>1</v>
      </c>
      <c r="L87" s="6">
        <f t="shared" si="34"/>
        <v>76.91239865301101</v>
      </c>
      <c r="M87" s="191">
        <f t="shared" si="35"/>
        <v>76.91239865301101</v>
      </c>
      <c r="N87" s="131">
        <f t="shared" si="27"/>
        <v>76.91239865301101</v>
      </c>
      <c r="O87" s="191">
        <f t="shared" si="36"/>
        <v>76.91239865301101</v>
      </c>
      <c r="P87" s="191">
        <f t="shared" si="29"/>
        <v>76.91239865301101</v>
      </c>
      <c r="Q87" s="6">
        <f t="shared" si="37"/>
        <v>76.91239865301101</v>
      </c>
      <c r="R87" s="177">
        <f t="shared" si="30"/>
        <v>76.91239865301101</v>
      </c>
      <c r="S87" s="177">
        <f t="shared" si="38"/>
        <v>76.91239865301101</v>
      </c>
      <c r="T87" s="177">
        <f t="shared" si="39"/>
        <v>76.91239865301101</v>
      </c>
      <c r="U87" s="172">
        <f>IF(VLEESKALKOENEN!$H$15="ja",L87-((E87-G87*95%-I87)/E87*L87)*$R$6,L87-((E87-G87*80%-I87)/E87*L87)*$R$6)</f>
        <v>76.91239865301101</v>
      </c>
      <c r="V87" s="109">
        <f t="shared" si="24"/>
        <v>76.91239865301101</v>
      </c>
      <c r="W87" s="188">
        <f t="shared" si="40"/>
        <v>76.91239865301101</v>
      </c>
      <c r="X87" s="217"/>
    </row>
    <row r="88" spans="1:24" x14ac:dyDescent="0.2">
      <c r="A88" s="1">
        <v>79</v>
      </c>
      <c r="B88" s="7">
        <v>8.92</v>
      </c>
      <c r="E88" s="7">
        <f t="shared" si="31"/>
        <v>10.257999999999999</v>
      </c>
      <c r="F88" s="7">
        <f t="shared" si="32"/>
        <v>10.257999999999999</v>
      </c>
      <c r="G88" s="179">
        <f t="shared" si="26"/>
        <v>0</v>
      </c>
      <c r="H88" s="179">
        <f t="shared" si="25"/>
        <v>0</v>
      </c>
      <c r="I88" s="179">
        <f t="shared" si="28"/>
        <v>0</v>
      </c>
      <c r="J88" s="6">
        <f t="shared" si="33"/>
        <v>0.89078149007886331</v>
      </c>
      <c r="K88" s="129">
        <v>1</v>
      </c>
      <c r="L88" s="6">
        <f t="shared" si="34"/>
        <v>80.045695961005862</v>
      </c>
      <c r="M88" s="191">
        <f t="shared" si="35"/>
        <v>80.045695961005862</v>
      </c>
      <c r="N88" s="131">
        <f t="shared" si="27"/>
        <v>80.045695961005862</v>
      </c>
      <c r="O88" s="191">
        <f t="shared" si="36"/>
        <v>80.045695961005862</v>
      </c>
      <c r="P88" s="191">
        <f t="shared" si="29"/>
        <v>80.045695961005862</v>
      </c>
      <c r="Q88" s="6">
        <f t="shared" si="37"/>
        <v>80.045695961005862</v>
      </c>
      <c r="R88" s="177">
        <f t="shared" si="30"/>
        <v>80.045695961005862</v>
      </c>
      <c r="S88" s="177">
        <f t="shared" si="38"/>
        <v>80.045695961005862</v>
      </c>
      <c r="T88" s="177">
        <f t="shared" si="39"/>
        <v>80.045695961005862</v>
      </c>
      <c r="U88" s="172">
        <f>IF(VLEESKALKOENEN!$H$15="ja",L88-((E88-G88*95%-I88)/E88*L88)*$R$6,L88-((E88-G88*80%-I88)/E88*L88)*$R$6)</f>
        <v>80.045695961005862</v>
      </c>
      <c r="V88" s="109">
        <f t="shared" si="24"/>
        <v>80.045695961005862</v>
      </c>
      <c r="W88" s="188">
        <f t="shared" si="40"/>
        <v>80.045695961005862</v>
      </c>
      <c r="X88" s="217"/>
    </row>
    <row r="89" spans="1:24" x14ac:dyDescent="0.2">
      <c r="A89" s="1">
        <v>80</v>
      </c>
      <c r="B89" s="7">
        <v>9.11</v>
      </c>
      <c r="E89" s="7">
        <f t="shared" si="31"/>
        <v>10.476499999999998</v>
      </c>
      <c r="F89" s="7">
        <f t="shared" si="32"/>
        <v>10.476499999999998</v>
      </c>
      <c r="G89" s="179">
        <f t="shared" si="26"/>
        <v>0</v>
      </c>
      <c r="H89" s="179">
        <f t="shared" si="25"/>
        <v>0</v>
      </c>
      <c r="I89" s="179">
        <f t="shared" si="28"/>
        <v>0</v>
      </c>
      <c r="J89" s="6">
        <f t="shared" si="33"/>
        <v>0.90732359011146546</v>
      </c>
      <c r="K89" s="129">
        <v>1</v>
      </c>
      <c r="L89" s="6">
        <f t="shared" si="34"/>
        <v>83.268842184192223</v>
      </c>
      <c r="M89" s="191">
        <f t="shared" si="35"/>
        <v>83.268842184192223</v>
      </c>
      <c r="N89" s="131">
        <f t="shared" si="27"/>
        <v>83.268842184192223</v>
      </c>
      <c r="O89" s="191">
        <f t="shared" si="36"/>
        <v>83.268842184192223</v>
      </c>
      <c r="P89" s="191">
        <f t="shared" si="29"/>
        <v>83.268842184192223</v>
      </c>
      <c r="Q89" s="6">
        <f t="shared" si="37"/>
        <v>83.268842184192223</v>
      </c>
      <c r="R89" s="177">
        <f t="shared" si="30"/>
        <v>83.268842184192223</v>
      </c>
      <c r="S89" s="177">
        <f t="shared" si="38"/>
        <v>83.268842184192223</v>
      </c>
      <c r="T89" s="177">
        <f t="shared" si="39"/>
        <v>83.268842184192223</v>
      </c>
      <c r="U89" s="172">
        <f>IF(VLEESKALKOENEN!$H$15="ja",L89-((E89-G89*95%-I89)/E89*L89)*$R$6,L89-((E89-G89*80%-I89)/E89*L89)*$R$6)</f>
        <v>83.268842184192223</v>
      </c>
      <c r="V89" s="109">
        <f t="shared" si="24"/>
        <v>83.268842184192223</v>
      </c>
      <c r="W89" s="188">
        <f t="shared" si="40"/>
        <v>83.268842184192223</v>
      </c>
      <c r="X89" s="217"/>
    </row>
    <row r="90" spans="1:24" x14ac:dyDescent="0.2">
      <c r="A90" s="1">
        <v>81</v>
      </c>
      <c r="B90" s="7">
        <v>9.3000000000000007</v>
      </c>
      <c r="E90" s="7">
        <f t="shared" si="31"/>
        <v>10.695</v>
      </c>
      <c r="F90" s="7">
        <f t="shared" si="32"/>
        <v>10.695</v>
      </c>
      <c r="G90" s="179">
        <f t="shared" si="26"/>
        <v>0</v>
      </c>
      <c r="H90" s="179">
        <f t="shared" si="25"/>
        <v>0</v>
      </c>
      <c r="I90" s="179">
        <f t="shared" si="28"/>
        <v>0</v>
      </c>
      <c r="J90" s="6">
        <f t="shared" si="33"/>
        <v>0.92417288228550343</v>
      </c>
      <c r="K90" s="129">
        <v>1</v>
      </c>
      <c r="L90" s="6">
        <f t="shared" si="34"/>
        <v>86.584093830140702</v>
      </c>
      <c r="M90" s="191">
        <f t="shared" si="35"/>
        <v>86.584093830140702</v>
      </c>
      <c r="N90" s="131">
        <f t="shared" si="27"/>
        <v>86.584093830140702</v>
      </c>
      <c r="O90" s="191">
        <f t="shared" si="36"/>
        <v>86.584093830140702</v>
      </c>
      <c r="P90" s="191">
        <f t="shared" si="29"/>
        <v>86.584093830140702</v>
      </c>
      <c r="Q90" s="6">
        <f t="shared" si="37"/>
        <v>86.584093830140702</v>
      </c>
      <c r="R90" s="177">
        <f t="shared" si="30"/>
        <v>86.584093830140702</v>
      </c>
      <c r="S90" s="177">
        <f t="shared" si="38"/>
        <v>86.584093830140702</v>
      </c>
      <c r="T90" s="177">
        <f t="shared" si="39"/>
        <v>86.584093830140702</v>
      </c>
      <c r="U90" s="172">
        <f>IF(VLEESKALKOENEN!$H$15="ja",L90-((E90-G90*95%-I90)/E90*L90)*$R$6,L90-((E90-G90*80%-I90)/E90*L90)*$R$6)</f>
        <v>86.584093830140702</v>
      </c>
      <c r="V90" s="109">
        <f t="shared" si="24"/>
        <v>86.584093830140702</v>
      </c>
      <c r="W90" s="188">
        <f t="shared" si="40"/>
        <v>86.584093830140702</v>
      </c>
      <c r="X90" s="217"/>
    </row>
    <row r="91" spans="1:24" x14ac:dyDescent="0.2">
      <c r="A91" s="1">
        <v>82</v>
      </c>
      <c r="B91" s="7">
        <v>9.5</v>
      </c>
      <c r="E91" s="7">
        <f t="shared" si="31"/>
        <v>10.924999999999999</v>
      </c>
      <c r="F91" s="7">
        <f t="shared" si="32"/>
        <v>10.924999999999999</v>
      </c>
      <c r="G91" s="179">
        <f t="shared" si="26"/>
        <v>0</v>
      </c>
      <c r="H91" s="179">
        <f t="shared" si="25"/>
        <v>0</v>
      </c>
      <c r="I91" s="179">
        <f t="shared" si="28"/>
        <v>0</v>
      </c>
      <c r="J91" s="6">
        <f t="shared" si="33"/>
        <v>0.94133507125828009</v>
      </c>
      <c r="K91" s="129">
        <v>1</v>
      </c>
      <c r="L91" s="6">
        <f t="shared" si="34"/>
        <v>90.08859032463117</v>
      </c>
      <c r="M91" s="191">
        <f t="shared" si="35"/>
        <v>90.08859032463117</v>
      </c>
      <c r="N91" s="131">
        <f t="shared" si="27"/>
        <v>90.08859032463117</v>
      </c>
      <c r="O91" s="191">
        <f t="shared" si="36"/>
        <v>90.08859032463117</v>
      </c>
      <c r="P91" s="191">
        <f t="shared" si="29"/>
        <v>90.08859032463117</v>
      </c>
      <c r="Q91" s="6">
        <f t="shared" si="37"/>
        <v>90.08859032463117</v>
      </c>
      <c r="R91" s="177">
        <f t="shared" si="30"/>
        <v>90.08859032463117</v>
      </c>
      <c r="S91" s="177">
        <f t="shared" si="38"/>
        <v>90.08859032463117</v>
      </c>
      <c r="T91" s="177">
        <f t="shared" si="39"/>
        <v>90.08859032463117</v>
      </c>
      <c r="U91" s="172">
        <f>IF(VLEESKALKOENEN!$H$15="ja",L91-((E91-G91*95%-I91)/E91*L91)*$R$6,L91-((E91-G91*80%-I91)/E91*L91)*$R$6)</f>
        <v>90.08859032463117</v>
      </c>
      <c r="V91" s="109">
        <f t="shared" si="24"/>
        <v>90.08859032463117</v>
      </c>
      <c r="W91" s="188">
        <f t="shared" si="40"/>
        <v>90.08859032463117</v>
      </c>
      <c r="X91" s="217"/>
    </row>
    <row r="92" spans="1:24" x14ac:dyDescent="0.2">
      <c r="A92" s="1">
        <v>83</v>
      </c>
      <c r="B92" s="7">
        <v>9.69</v>
      </c>
      <c r="E92" s="7">
        <f t="shared" si="31"/>
        <v>11.143499999999998</v>
      </c>
      <c r="F92" s="7">
        <f t="shared" si="32"/>
        <v>11.143499999999998</v>
      </c>
      <c r="G92" s="179">
        <f t="shared" si="26"/>
        <v>0</v>
      </c>
      <c r="H92" s="179">
        <f t="shared" si="25"/>
        <v>0</v>
      </c>
      <c r="I92" s="179">
        <f t="shared" si="28"/>
        <v>0</v>
      </c>
      <c r="J92" s="6">
        <f t="shared" si="33"/>
        <v>0.95881596762442789</v>
      </c>
      <c r="K92" s="129">
        <v>1</v>
      </c>
      <c r="L92" s="6">
        <f t="shared" si="34"/>
        <v>93.59679584055182</v>
      </c>
      <c r="M92" s="191">
        <f t="shared" si="35"/>
        <v>93.59679584055182</v>
      </c>
      <c r="N92" s="131">
        <f t="shared" si="27"/>
        <v>93.59679584055182</v>
      </c>
      <c r="O92" s="191">
        <f t="shared" si="36"/>
        <v>93.59679584055182</v>
      </c>
      <c r="P92" s="191">
        <f t="shared" si="29"/>
        <v>93.59679584055182</v>
      </c>
      <c r="Q92" s="6">
        <f t="shared" si="37"/>
        <v>93.59679584055182</v>
      </c>
      <c r="R92" s="177">
        <f t="shared" si="30"/>
        <v>93.59679584055182</v>
      </c>
      <c r="S92" s="177">
        <f t="shared" si="38"/>
        <v>93.59679584055182</v>
      </c>
      <c r="T92" s="177">
        <f t="shared" si="39"/>
        <v>93.59679584055182</v>
      </c>
      <c r="U92" s="172">
        <f>IF(VLEESKALKOENEN!$H$15="ja",L92-((E92-G92*95%-I92)/E92*L92)*$R$6,L92-((E92-G92*80%-I92)/E92*L92)*$R$6)</f>
        <v>93.59679584055182</v>
      </c>
      <c r="V92" s="109">
        <f t="shared" si="24"/>
        <v>93.59679584055182</v>
      </c>
      <c r="W92" s="188">
        <f t="shared" si="40"/>
        <v>93.59679584055182</v>
      </c>
      <c r="X92" s="217"/>
    </row>
    <row r="93" spans="1:24" x14ac:dyDescent="0.2">
      <c r="A93" s="1">
        <v>84</v>
      </c>
      <c r="B93" s="7">
        <v>9.8800000000000008</v>
      </c>
      <c r="E93" s="7">
        <f t="shared" si="31"/>
        <v>11.362</v>
      </c>
      <c r="F93" s="7">
        <f t="shared" si="32"/>
        <v>11.362</v>
      </c>
      <c r="G93" s="179">
        <f t="shared" si="26"/>
        <v>0</v>
      </c>
      <c r="H93" s="179">
        <f t="shared" si="25"/>
        <v>0</v>
      </c>
      <c r="I93" s="179">
        <f t="shared" si="28"/>
        <v>0</v>
      </c>
      <c r="J93" s="6">
        <f t="shared" si="33"/>
        <v>0.97662148988319786</v>
      </c>
      <c r="K93" s="129">
        <v>1</v>
      </c>
      <c r="L93" s="6">
        <f t="shared" si="34"/>
        <v>97.204230704143342</v>
      </c>
      <c r="M93" s="191">
        <f t="shared" si="35"/>
        <v>97.204230704143342</v>
      </c>
      <c r="N93" s="131">
        <f t="shared" si="27"/>
        <v>97.204230704143342</v>
      </c>
      <c r="O93" s="191">
        <f t="shared" si="36"/>
        <v>97.204230704143342</v>
      </c>
      <c r="P93" s="191">
        <f t="shared" si="29"/>
        <v>97.204230704143342</v>
      </c>
      <c r="Q93" s="6">
        <f t="shared" si="37"/>
        <v>97.204230704143342</v>
      </c>
      <c r="R93" s="177">
        <f t="shared" si="30"/>
        <v>97.204230704143342</v>
      </c>
      <c r="S93" s="177">
        <f t="shared" si="38"/>
        <v>97.204230704143342</v>
      </c>
      <c r="T93" s="177">
        <f t="shared" si="39"/>
        <v>97.204230704143342</v>
      </c>
      <c r="U93" s="172">
        <f>IF(VLEESKALKOENEN!$H$15="ja",L93-((E93-G93*95%-I93)/E93*L93)*$R$6,L93-((E93-G93*80%-I93)/E93*L93)*$R$6)</f>
        <v>97.204230704143342</v>
      </c>
      <c r="V93" s="109">
        <f t="shared" si="24"/>
        <v>97.204230704143342</v>
      </c>
      <c r="W93" s="188">
        <f t="shared" si="40"/>
        <v>97.204230704143342</v>
      </c>
      <c r="X93" s="217"/>
    </row>
    <row r="94" spans="1:24" x14ac:dyDescent="0.2">
      <c r="A94" s="1">
        <v>85</v>
      </c>
      <c r="B94" s="7">
        <v>10.08</v>
      </c>
      <c r="E94" s="7">
        <f t="shared" si="31"/>
        <v>11.591999999999999</v>
      </c>
      <c r="F94" s="7">
        <f t="shared" si="32"/>
        <v>11.591999999999999</v>
      </c>
      <c r="G94" s="179">
        <f t="shared" si="26"/>
        <v>0</v>
      </c>
      <c r="H94" s="179">
        <f t="shared" si="25"/>
        <v>0</v>
      </c>
      <c r="I94" s="179">
        <f t="shared" si="28"/>
        <v>0</v>
      </c>
      <c r="J94" s="6">
        <f t="shared" si="33"/>
        <v>0.99475766644228514</v>
      </c>
      <c r="K94" s="129">
        <v>1</v>
      </c>
      <c r="L94" s="6">
        <f t="shared" si="34"/>
        <v>101.01358241593496</v>
      </c>
      <c r="M94" s="191">
        <f t="shared" si="35"/>
        <v>101.01358241593496</v>
      </c>
      <c r="N94" s="131">
        <f t="shared" si="27"/>
        <v>101.01358241593496</v>
      </c>
      <c r="O94" s="191">
        <f t="shared" si="36"/>
        <v>101.01358241593496</v>
      </c>
      <c r="P94" s="191">
        <f t="shared" si="29"/>
        <v>101.01358241593496</v>
      </c>
      <c r="Q94" s="6">
        <f t="shared" si="37"/>
        <v>101.01358241593496</v>
      </c>
      <c r="R94" s="177">
        <f t="shared" si="30"/>
        <v>101.01358241593496</v>
      </c>
      <c r="S94" s="177">
        <f t="shared" si="38"/>
        <v>101.01358241593496</v>
      </c>
      <c r="T94" s="177">
        <f t="shared" si="39"/>
        <v>101.01358241593496</v>
      </c>
      <c r="U94" s="172">
        <f>IF(VLEESKALKOENEN!$H$15="ja",L94-((E94-G94*95%-I94)/E94*L94)*$R$6,L94-((E94-G94*80%-I94)/E94*L94)*$R$6)</f>
        <v>101.01358241593496</v>
      </c>
      <c r="V94" s="109">
        <f t="shared" si="24"/>
        <v>101.01358241593496</v>
      </c>
      <c r="W94" s="188">
        <f t="shared" si="40"/>
        <v>101.01358241593496</v>
      </c>
      <c r="X94" s="217"/>
    </row>
    <row r="95" spans="1:24" x14ac:dyDescent="0.2">
      <c r="A95" s="1">
        <v>86</v>
      </c>
      <c r="B95" s="7">
        <v>10.27</v>
      </c>
      <c r="E95" s="7">
        <f t="shared" si="31"/>
        <v>11.810499999999999</v>
      </c>
      <c r="F95" s="7">
        <f t="shared" si="32"/>
        <v>11.810499999999999</v>
      </c>
      <c r="G95" s="179">
        <f t="shared" si="26"/>
        <v>0</v>
      </c>
      <c r="H95" s="179">
        <f t="shared" si="25"/>
        <v>0</v>
      </c>
      <c r="I95" s="179">
        <f t="shared" si="28"/>
        <v>0</v>
      </c>
      <c r="J95" s="6">
        <f t="shared" si="33"/>
        <v>1.0132306376588618</v>
      </c>
      <c r="K95" s="129">
        <v>1</v>
      </c>
      <c r="L95" s="6">
        <f t="shared" si="34"/>
        <v>104.8288215075731</v>
      </c>
      <c r="M95" s="191">
        <f t="shared" si="35"/>
        <v>104.8288215075731</v>
      </c>
      <c r="N95" s="131">
        <f t="shared" si="27"/>
        <v>104.8288215075731</v>
      </c>
      <c r="O95" s="191">
        <f t="shared" si="36"/>
        <v>104.8288215075731</v>
      </c>
      <c r="P95" s="191">
        <f t="shared" si="29"/>
        <v>104.8288215075731</v>
      </c>
      <c r="Q95" s="6">
        <f t="shared" si="37"/>
        <v>104.8288215075731</v>
      </c>
      <c r="R95" s="177">
        <f t="shared" si="30"/>
        <v>104.8288215075731</v>
      </c>
      <c r="S95" s="177">
        <f t="shared" si="38"/>
        <v>104.8288215075731</v>
      </c>
      <c r="T95" s="177">
        <f t="shared" si="39"/>
        <v>104.8288215075731</v>
      </c>
      <c r="U95" s="172">
        <f>IF(VLEESKALKOENEN!$H$15="ja",L95-((E95-G95*95%-I95)/E95*L95)*$R$6,L95-((E95-G95*80%-I95)/E95*L95)*$R$6)</f>
        <v>104.8288215075731</v>
      </c>
      <c r="V95" s="109">
        <f t="shared" si="24"/>
        <v>104.8288215075731</v>
      </c>
      <c r="W95" s="188">
        <f t="shared" si="40"/>
        <v>104.8288215075731</v>
      </c>
      <c r="X95" s="217"/>
    </row>
    <row r="96" spans="1:24" x14ac:dyDescent="0.2">
      <c r="A96" s="1">
        <v>87</v>
      </c>
      <c r="B96" s="7">
        <v>10.47</v>
      </c>
      <c r="E96" s="7">
        <f t="shared" si="31"/>
        <v>12.0405</v>
      </c>
      <c r="F96" s="7">
        <f t="shared" si="32"/>
        <v>12.0405</v>
      </c>
      <c r="G96" s="179">
        <f t="shared" si="26"/>
        <v>0</v>
      </c>
      <c r="H96" s="179">
        <f t="shared" si="25"/>
        <v>0</v>
      </c>
      <c r="I96" s="179">
        <f t="shared" si="28"/>
        <v>0</v>
      </c>
      <c r="J96" s="6">
        <f t="shared" si="33"/>
        <v>1.0320466579185175</v>
      </c>
      <c r="K96" s="129">
        <v>1</v>
      </c>
      <c r="L96" s="6">
        <f t="shared" si="34"/>
        <v>108.85489419369088</v>
      </c>
      <c r="M96" s="191">
        <f t="shared" si="35"/>
        <v>108.85489419369088</v>
      </c>
      <c r="N96" s="131">
        <f t="shared" si="27"/>
        <v>108.85489419369088</v>
      </c>
      <c r="O96" s="191">
        <f t="shared" si="36"/>
        <v>108.85489419369088</v>
      </c>
      <c r="P96" s="191">
        <f t="shared" si="29"/>
        <v>108.85489419369088</v>
      </c>
      <c r="Q96" s="6">
        <f t="shared" si="37"/>
        <v>108.85489419369088</v>
      </c>
      <c r="R96" s="177">
        <f t="shared" si="30"/>
        <v>108.85489419369088</v>
      </c>
      <c r="S96" s="177">
        <f t="shared" si="38"/>
        <v>108.85489419369088</v>
      </c>
      <c r="T96" s="177">
        <f t="shared" si="39"/>
        <v>108.85489419369088</v>
      </c>
      <c r="U96" s="172">
        <f>IF(VLEESKALKOENEN!$H$15="ja",L96-((E96-G96*95%-I96)/E96*L96)*$R$6,L96-((E96-G96*80%-I96)/E96*L96)*$R$6)</f>
        <v>108.85489419369088</v>
      </c>
      <c r="V96" s="109">
        <f t="shared" si="24"/>
        <v>108.85489419369088</v>
      </c>
      <c r="W96" s="188">
        <f t="shared" si="40"/>
        <v>108.85489419369088</v>
      </c>
      <c r="X96" s="217"/>
    </row>
    <row r="97" spans="1:24" x14ac:dyDescent="0.2">
      <c r="A97" s="1">
        <v>88</v>
      </c>
      <c r="B97" s="7">
        <v>10.66</v>
      </c>
      <c r="E97" s="7">
        <f t="shared" si="31"/>
        <v>12.258999999999999</v>
      </c>
      <c r="F97" s="7">
        <f t="shared" si="32"/>
        <v>12.258999999999999</v>
      </c>
      <c r="G97" s="179">
        <f t="shared" si="26"/>
        <v>0</v>
      </c>
      <c r="H97" s="179">
        <f t="shared" si="25"/>
        <v>0</v>
      </c>
      <c r="I97" s="179">
        <f t="shared" si="28"/>
        <v>0</v>
      </c>
      <c r="J97" s="6">
        <f t="shared" si="33"/>
        <v>1.0512120977528023</v>
      </c>
      <c r="K97" s="129">
        <v>1</v>
      </c>
      <c r="L97" s="6">
        <f t="shared" si="34"/>
        <v>112.88844777164003</v>
      </c>
      <c r="M97" s="191">
        <f t="shared" si="35"/>
        <v>112.88844777164003</v>
      </c>
      <c r="N97" s="131">
        <f t="shared" si="27"/>
        <v>112.88844777164003</v>
      </c>
      <c r="O97" s="191">
        <f t="shared" si="36"/>
        <v>112.88844777164003</v>
      </c>
      <c r="P97" s="191">
        <f t="shared" si="29"/>
        <v>112.88844777164003</v>
      </c>
      <c r="Q97" s="6">
        <f t="shared" si="37"/>
        <v>112.88844777164003</v>
      </c>
      <c r="R97" s="177">
        <f t="shared" si="30"/>
        <v>112.88844777164003</v>
      </c>
      <c r="S97" s="177">
        <f t="shared" si="38"/>
        <v>112.88844777164003</v>
      </c>
      <c r="T97" s="177">
        <f t="shared" si="39"/>
        <v>112.88844777164003</v>
      </c>
      <c r="U97" s="172">
        <f>IF(VLEESKALKOENEN!$H$15="ja",L97-((E97-G97*95%-I97)/E97*L97)*$R$6,L97-((E97-G97*80%-I97)/E97*L97)*$R$6)</f>
        <v>112.88844777164003</v>
      </c>
      <c r="V97" s="109">
        <f t="shared" si="24"/>
        <v>112.88844777164003</v>
      </c>
      <c r="W97" s="188">
        <f t="shared" si="40"/>
        <v>112.88844777164003</v>
      </c>
      <c r="X97" s="217"/>
    </row>
    <row r="98" spans="1:24" x14ac:dyDescent="0.2">
      <c r="A98" s="1">
        <v>89</v>
      </c>
      <c r="B98" s="7">
        <v>10.85</v>
      </c>
      <c r="E98" s="7">
        <f t="shared" si="31"/>
        <v>12.477499999999999</v>
      </c>
      <c r="F98" s="7">
        <f t="shared" si="32"/>
        <v>12.477499999999999</v>
      </c>
      <c r="G98" s="179">
        <f t="shared" si="26"/>
        <v>0</v>
      </c>
      <c r="H98" s="179">
        <f t="shared" si="25"/>
        <v>0</v>
      </c>
      <c r="I98" s="179">
        <f t="shared" si="28"/>
        <v>0</v>
      </c>
      <c r="J98" s="6">
        <f t="shared" si="33"/>
        <v>1.0707334459960947</v>
      </c>
      <c r="K98" s="129">
        <v>1</v>
      </c>
      <c r="L98" s="6">
        <f t="shared" si="34"/>
        <v>117.03427077436653</v>
      </c>
      <c r="M98" s="191">
        <f t="shared" si="35"/>
        <v>117.03427077436653</v>
      </c>
      <c r="N98" s="131">
        <f t="shared" si="27"/>
        <v>117.03427077436653</v>
      </c>
      <c r="O98" s="191">
        <f t="shared" si="36"/>
        <v>117.03427077436653</v>
      </c>
      <c r="P98" s="191">
        <f t="shared" si="29"/>
        <v>117.03427077436653</v>
      </c>
      <c r="Q98" s="6">
        <f t="shared" si="37"/>
        <v>117.03427077436653</v>
      </c>
      <c r="R98" s="177">
        <f t="shared" si="30"/>
        <v>117.03427077436653</v>
      </c>
      <c r="S98" s="177">
        <f t="shared" si="38"/>
        <v>117.03427077436653</v>
      </c>
      <c r="T98" s="177">
        <f t="shared" si="39"/>
        <v>117.03427077436653</v>
      </c>
      <c r="U98" s="172">
        <f>IF(VLEESKALKOENEN!$H$15="ja",L98-((E98-G98*95%-I98)/E98*L98)*$R$6,L98-((E98-G98*80%-I98)/E98*L98)*$R$6)</f>
        <v>117.03427077436653</v>
      </c>
      <c r="V98" s="109">
        <f t="shared" si="24"/>
        <v>117.03427077436653</v>
      </c>
      <c r="W98" s="188">
        <f t="shared" si="40"/>
        <v>117.03427077436653</v>
      </c>
      <c r="X98" s="217"/>
    </row>
    <row r="99" spans="1:24" x14ac:dyDescent="0.2">
      <c r="A99" s="1">
        <v>90</v>
      </c>
      <c r="B99" s="7">
        <v>11.05</v>
      </c>
      <c r="E99" s="7">
        <f t="shared" si="31"/>
        <v>12.7075</v>
      </c>
      <c r="F99" s="7">
        <f t="shared" si="32"/>
        <v>12.7075</v>
      </c>
      <c r="G99" s="179">
        <f t="shared" si="26"/>
        <v>0</v>
      </c>
      <c r="H99" s="179">
        <f t="shared" si="25"/>
        <v>0</v>
      </c>
      <c r="I99" s="179">
        <f t="shared" si="28"/>
        <v>0</v>
      </c>
      <c r="J99" s="6">
        <f t="shared" si="33"/>
        <v>1.0906173119825242</v>
      </c>
      <c r="K99" s="129">
        <v>1</v>
      </c>
      <c r="L99" s="6">
        <f t="shared" si="34"/>
        <v>121.40501075007701</v>
      </c>
      <c r="M99" s="191">
        <f t="shared" si="35"/>
        <v>121.40501075007701</v>
      </c>
      <c r="N99" s="131">
        <f t="shared" si="27"/>
        <v>121.40501075007701</v>
      </c>
      <c r="O99" s="191">
        <f t="shared" si="36"/>
        <v>121.40501075007701</v>
      </c>
      <c r="P99" s="191">
        <f t="shared" si="29"/>
        <v>121.40501075007701</v>
      </c>
      <c r="Q99" s="6">
        <f t="shared" si="37"/>
        <v>121.40501075007701</v>
      </c>
      <c r="R99" s="177">
        <f t="shared" si="30"/>
        <v>121.40501075007701</v>
      </c>
      <c r="S99" s="177">
        <f t="shared" si="38"/>
        <v>121.40501075007701</v>
      </c>
      <c r="T99" s="177">
        <f t="shared" si="39"/>
        <v>121.40501075007701</v>
      </c>
      <c r="U99" s="172">
        <f>IF(VLEESKALKOENEN!$H$15="ja",L99-((E99-G99*95%-I99)/E99*L99)*$R$6,L99-((E99-G99*80%-I99)/E99*L99)*$R$6)</f>
        <v>121.40501075007701</v>
      </c>
      <c r="V99" s="109">
        <f t="shared" ref="V99:V121" si="41">L99-((E99-G99-I99)/E99*L99)*$R$6</f>
        <v>121.40501075007701</v>
      </c>
      <c r="W99" s="188">
        <f t="shared" si="40"/>
        <v>121.40501075007701</v>
      </c>
      <c r="X99" s="217"/>
    </row>
    <row r="100" spans="1:24" x14ac:dyDescent="0.2">
      <c r="A100" s="1">
        <v>91</v>
      </c>
      <c r="B100" s="7">
        <v>11.24</v>
      </c>
      <c r="E100" s="7">
        <f t="shared" si="31"/>
        <v>12.925999999999998</v>
      </c>
      <c r="F100" s="7">
        <f t="shared" si="32"/>
        <v>12.925999999999998</v>
      </c>
      <c r="G100" s="179">
        <f t="shared" si="26"/>
        <v>0</v>
      </c>
      <c r="H100" s="179">
        <f t="shared" ref="H100:H121" si="42">IF(E100&lt;$R$5,E100-G100,$R$5)</f>
        <v>0</v>
      </c>
      <c r="I100" s="179">
        <f t="shared" si="28"/>
        <v>0</v>
      </c>
      <c r="J100" s="6">
        <f t="shared" si="33"/>
        <v>1.1108704277836907</v>
      </c>
      <c r="K100" s="129">
        <v>1</v>
      </c>
      <c r="L100" s="6">
        <f t="shared" si="34"/>
        <v>125.78581366990019</v>
      </c>
      <c r="M100" s="191">
        <f t="shared" si="35"/>
        <v>125.78581366990019</v>
      </c>
      <c r="N100" s="131">
        <f t="shared" si="27"/>
        <v>125.78581366990019</v>
      </c>
      <c r="O100" s="191">
        <f t="shared" si="36"/>
        <v>125.78581366990019</v>
      </c>
      <c r="P100" s="191">
        <f t="shared" si="29"/>
        <v>125.78581366990019</v>
      </c>
      <c r="Q100" s="6">
        <f t="shared" si="37"/>
        <v>125.78581366990019</v>
      </c>
      <c r="R100" s="177">
        <f t="shared" si="30"/>
        <v>125.78581366990019</v>
      </c>
      <c r="S100" s="177">
        <f t="shared" si="38"/>
        <v>125.78581366990019</v>
      </c>
      <c r="T100" s="177">
        <f t="shared" si="39"/>
        <v>125.78581366990019</v>
      </c>
      <c r="U100" s="172">
        <f>IF(VLEESKALKOENEN!$H$15="ja",L100-((E100-G100*95%-I100)/E100*L100)*$R$6,L100-((E100-G100*80%-I100)/E100*L100)*$R$6)</f>
        <v>125.78581366990019</v>
      </c>
      <c r="V100" s="109">
        <f t="shared" si="41"/>
        <v>125.78581366990019</v>
      </c>
      <c r="W100" s="188">
        <f t="shared" si="40"/>
        <v>125.78581366990019</v>
      </c>
      <c r="X100" s="217"/>
    </row>
    <row r="101" spans="1:24" x14ac:dyDescent="0.2">
      <c r="A101" s="1">
        <v>92</v>
      </c>
      <c r="B101" s="7">
        <v>11.44</v>
      </c>
      <c r="E101" s="7">
        <f t="shared" si="31"/>
        <v>13.155999999999999</v>
      </c>
      <c r="F101" s="7">
        <f t="shared" si="32"/>
        <v>13.155999999999999</v>
      </c>
      <c r="G101" s="179">
        <f t="shared" ref="G101:G121" si="43">IF($R$4&gt;0&lt;E101,E101,IF($R$4&gt;E101,E101,$R$4))</f>
        <v>0</v>
      </c>
      <c r="H101" s="179">
        <f t="shared" si="42"/>
        <v>0</v>
      </c>
      <c r="I101" s="179">
        <f t="shared" si="28"/>
        <v>0</v>
      </c>
      <c r="J101" s="6">
        <f t="shared" si="33"/>
        <v>1.1314996504879373</v>
      </c>
      <c r="K101" s="129">
        <v>1</v>
      </c>
      <c r="L101" s="6">
        <f t="shared" si="34"/>
        <v>130.40144235993708</v>
      </c>
      <c r="M101" s="191">
        <f t="shared" si="35"/>
        <v>130.40144235993708</v>
      </c>
      <c r="N101" s="131">
        <f t="shared" si="27"/>
        <v>130.40144235993708</v>
      </c>
      <c r="O101" s="191">
        <f t="shared" si="36"/>
        <v>130.40144235993708</v>
      </c>
      <c r="P101" s="191">
        <f t="shared" si="29"/>
        <v>130.40144235993708</v>
      </c>
      <c r="Q101" s="6">
        <f t="shared" si="37"/>
        <v>130.40144235993708</v>
      </c>
      <c r="R101" s="177">
        <f t="shared" si="30"/>
        <v>130.40144235993708</v>
      </c>
      <c r="S101" s="177">
        <f t="shared" si="38"/>
        <v>130.40144235993708</v>
      </c>
      <c r="T101" s="177">
        <f t="shared" si="39"/>
        <v>130.40144235993708</v>
      </c>
      <c r="U101" s="172">
        <f>IF(VLEESKALKOENEN!$H$15="ja",L101-((E101-G101*95%-I101)/E101*L101)*$R$6,L101-((E101-G101*80%-I101)/E101*L101)*$R$6)</f>
        <v>130.40144235993708</v>
      </c>
      <c r="V101" s="109">
        <f t="shared" si="41"/>
        <v>130.40144235993708</v>
      </c>
      <c r="W101" s="188">
        <f t="shared" si="40"/>
        <v>130.40144235993708</v>
      </c>
      <c r="X101" s="217"/>
    </row>
    <row r="102" spans="1:24" x14ac:dyDescent="0.2">
      <c r="A102" s="1">
        <v>93</v>
      </c>
      <c r="B102" s="7">
        <v>11.63</v>
      </c>
      <c r="E102" s="7">
        <f t="shared" si="31"/>
        <v>13.374499999999999</v>
      </c>
      <c r="F102" s="7">
        <f t="shared" si="32"/>
        <v>13.374499999999999</v>
      </c>
      <c r="G102" s="179">
        <f t="shared" si="43"/>
        <v>0</v>
      </c>
      <c r="H102" s="179">
        <f t="shared" si="42"/>
        <v>0</v>
      </c>
      <c r="I102" s="179">
        <f t="shared" si="28"/>
        <v>0</v>
      </c>
      <c r="J102" s="6">
        <f t="shared" si="33"/>
        <v>1.1525119645219535</v>
      </c>
      <c r="K102" s="129">
        <v>1</v>
      </c>
      <c r="L102" s="6">
        <f t="shared" si="34"/>
        <v>135.02901632081009</v>
      </c>
      <c r="M102" s="191">
        <f t="shared" si="35"/>
        <v>135.02901632081009</v>
      </c>
      <c r="N102" s="131">
        <f t="shared" si="27"/>
        <v>135.02901632081009</v>
      </c>
      <c r="O102" s="191">
        <f t="shared" si="36"/>
        <v>135.02901632081009</v>
      </c>
      <c r="P102" s="191">
        <f t="shared" si="29"/>
        <v>135.02901632081009</v>
      </c>
      <c r="Q102" s="6">
        <f t="shared" si="37"/>
        <v>135.02901632081009</v>
      </c>
      <c r="R102" s="177">
        <f t="shared" si="30"/>
        <v>135.02901632081009</v>
      </c>
      <c r="S102" s="177">
        <f t="shared" si="38"/>
        <v>135.02901632081009</v>
      </c>
      <c r="T102" s="177">
        <f t="shared" si="39"/>
        <v>135.02901632081009</v>
      </c>
      <c r="U102" s="172">
        <f>IF(VLEESKALKOENEN!$H$15="ja",L102-((E102-G102*95%-I102)/E102*L102)*$R$6,L102-((E102-G102*80%-I102)/E102*L102)*$R$6)</f>
        <v>135.02901632081009</v>
      </c>
      <c r="V102" s="109">
        <f t="shared" si="41"/>
        <v>135.02901632081009</v>
      </c>
      <c r="W102" s="188">
        <f t="shared" si="40"/>
        <v>135.02901632081009</v>
      </c>
      <c r="X102" s="217"/>
    </row>
    <row r="103" spans="1:24" x14ac:dyDescent="0.2">
      <c r="A103" s="1">
        <v>94</v>
      </c>
      <c r="B103" s="7">
        <v>11.83</v>
      </c>
      <c r="E103" s="7">
        <f t="shared" si="31"/>
        <v>13.6045</v>
      </c>
      <c r="F103" s="7">
        <f t="shared" si="32"/>
        <v>13.6045</v>
      </c>
      <c r="G103" s="179">
        <f t="shared" si="43"/>
        <v>0</v>
      </c>
      <c r="H103" s="179">
        <f t="shared" si="42"/>
        <v>0</v>
      </c>
      <c r="I103" s="179">
        <f t="shared" si="28"/>
        <v>0</v>
      </c>
      <c r="J103" s="6">
        <f t="shared" si="33"/>
        <v>1.1739144840154885</v>
      </c>
      <c r="K103" s="129">
        <v>1</v>
      </c>
      <c r="L103" s="6">
        <f t="shared" si="34"/>
        <v>139.90175167662915</v>
      </c>
      <c r="M103" s="191">
        <f t="shared" si="35"/>
        <v>139.90175167662915</v>
      </c>
      <c r="N103" s="131">
        <f t="shared" si="27"/>
        <v>139.90175167662915</v>
      </c>
      <c r="O103" s="191">
        <f t="shared" si="36"/>
        <v>139.90175167662915</v>
      </c>
      <c r="P103" s="191">
        <f t="shared" si="29"/>
        <v>139.90175167662915</v>
      </c>
      <c r="Q103" s="6">
        <f t="shared" si="37"/>
        <v>139.90175167662915</v>
      </c>
      <c r="R103" s="177">
        <f t="shared" si="30"/>
        <v>139.90175167662915</v>
      </c>
      <c r="S103" s="177">
        <f t="shared" si="38"/>
        <v>139.90175167662915</v>
      </c>
      <c r="T103" s="177">
        <f t="shared" si="39"/>
        <v>139.90175167662915</v>
      </c>
      <c r="U103" s="172">
        <f>IF(VLEESKALKOENEN!$H$15="ja",L103-((E103-G103*95%-I103)/E103*L103)*$R$6,L103-((E103-G103*80%-I103)/E103*L103)*$R$6)</f>
        <v>139.90175167662915</v>
      </c>
      <c r="V103" s="109">
        <f t="shared" si="41"/>
        <v>139.90175167662915</v>
      </c>
      <c r="W103" s="188">
        <f t="shared" si="40"/>
        <v>139.90175167662915</v>
      </c>
      <c r="X103" s="217"/>
    </row>
    <row r="104" spans="1:24" x14ac:dyDescent="0.2">
      <c r="A104" s="1">
        <v>95</v>
      </c>
      <c r="B104" s="7">
        <v>12.02</v>
      </c>
      <c r="E104" s="7">
        <f t="shared" si="31"/>
        <v>13.822999999999999</v>
      </c>
      <c r="F104" s="7">
        <f t="shared" si="32"/>
        <v>13.822999999999999</v>
      </c>
      <c r="G104" s="179">
        <f t="shared" si="43"/>
        <v>0</v>
      </c>
      <c r="H104" s="179">
        <f t="shared" si="42"/>
        <v>0</v>
      </c>
      <c r="I104" s="179">
        <f t="shared" si="28"/>
        <v>0</v>
      </c>
      <c r="J104" s="6">
        <f t="shared" si="33"/>
        <v>1.1957144552099792</v>
      </c>
      <c r="K104" s="129">
        <v>1</v>
      </c>
      <c r="L104" s="6">
        <f t="shared" si="34"/>
        <v>144.78844160985963</v>
      </c>
      <c r="M104" s="191">
        <f t="shared" si="35"/>
        <v>144.78844160985963</v>
      </c>
      <c r="N104" s="131">
        <f t="shared" si="27"/>
        <v>144.78844160985963</v>
      </c>
      <c r="O104" s="191">
        <f t="shared" si="36"/>
        <v>144.78844160985963</v>
      </c>
      <c r="P104" s="191">
        <f t="shared" si="29"/>
        <v>144.78844160985963</v>
      </c>
      <c r="Q104" s="6">
        <f t="shared" si="37"/>
        <v>144.78844160985963</v>
      </c>
      <c r="R104" s="177">
        <f t="shared" si="30"/>
        <v>144.78844160985963</v>
      </c>
      <c r="S104" s="177">
        <f t="shared" si="38"/>
        <v>144.78844160985963</v>
      </c>
      <c r="T104" s="177">
        <f t="shared" si="39"/>
        <v>144.78844160985963</v>
      </c>
      <c r="U104" s="172">
        <f>IF(VLEESKALKOENEN!$H$15="ja",L104-((E104-G104*95%-I104)/E104*L104)*$R$6,L104-((E104-G104*80%-I104)/E104*L104)*$R$6)</f>
        <v>144.78844160985963</v>
      </c>
      <c r="V104" s="109">
        <f t="shared" si="41"/>
        <v>144.78844160985963</v>
      </c>
      <c r="W104" s="188">
        <f t="shared" si="40"/>
        <v>144.78844160985963</v>
      </c>
      <c r="X104" s="217"/>
    </row>
    <row r="105" spans="1:24" x14ac:dyDescent="0.2">
      <c r="A105" s="1">
        <v>96</v>
      </c>
      <c r="B105" s="7">
        <v>12.22</v>
      </c>
      <c r="E105" s="7">
        <f t="shared" si="31"/>
        <v>14.052999999999999</v>
      </c>
      <c r="F105" s="7">
        <f t="shared" si="32"/>
        <v>14.052999999999999</v>
      </c>
      <c r="G105" s="179">
        <f t="shared" si="43"/>
        <v>0</v>
      </c>
      <c r="H105" s="179">
        <f t="shared" si="42"/>
        <v>0</v>
      </c>
      <c r="I105" s="179">
        <f t="shared" si="28"/>
        <v>0</v>
      </c>
      <c r="J105" s="6">
        <f t="shared" si="33"/>
        <v>1.2179192589119072</v>
      </c>
      <c r="K105" s="129">
        <v>1</v>
      </c>
      <c r="L105" s="6">
        <f t="shared" si="34"/>
        <v>149.93107346648389</v>
      </c>
      <c r="M105" s="191">
        <f t="shared" si="35"/>
        <v>149.93107346648389</v>
      </c>
      <c r="N105" s="131">
        <f t="shared" ref="N105:N121" si="44">(((($J105*(1-$R$2))-$J$3)/1000*$F105*24*365*$K105)*(1-R$5))+(((($J105*(1-$R$2))-$J$3)/1000*$G105*24*365*$K105)*(1-R$3))</f>
        <v>149.93107346648389</v>
      </c>
      <c r="O105" s="191">
        <f t="shared" si="36"/>
        <v>149.93107346648389</v>
      </c>
      <c r="P105" s="191">
        <f t="shared" si="29"/>
        <v>149.93107346648389</v>
      </c>
      <c r="Q105" s="6">
        <f t="shared" si="37"/>
        <v>149.93107346648389</v>
      </c>
      <c r="R105" s="177">
        <f t="shared" si="30"/>
        <v>149.93107346648389</v>
      </c>
      <c r="S105" s="177">
        <f t="shared" si="38"/>
        <v>149.93107346648389</v>
      </c>
      <c r="T105" s="177">
        <f t="shared" si="39"/>
        <v>149.93107346648389</v>
      </c>
      <c r="U105" s="172">
        <f>IF(VLEESKALKOENEN!$H$15="ja",L105-((E105-G105*95%-I105)/E105*L105)*$R$6,L105-((E105-G105*80%-I105)/E105*L105)*$R$6)</f>
        <v>149.93107346648389</v>
      </c>
      <c r="V105" s="109">
        <f t="shared" si="41"/>
        <v>149.93107346648389</v>
      </c>
      <c r="W105" s="188">
        <f t="shared" si="40"/>
        <v>149.93107346648389</v>
      </c>
      <c r="X105" s="217"/>
    </row>
    <row r="106" spans="1:24" x14ac:dyDescent="0.2">
      <c r="A106" s="1">
        <v>97</v>
      </c>
      <c r="B106" s="7">
        <v>12.41</v>
      </c>
      <c r="E106" s="7">
        <f t="shared" si="31"/>
        <v>14.2715</v>
      </c>
      <c r="F106" s="7">
        <f t="shared" si="32"/>
        <v>14.2715</v>
      </c>
      <c r="G106" s="179">
        <f t="shared" si="43"/>
        <v>0</v>
      </c>
      <c r="H106" s="179">
        <f t="shared" si="42"/>
        <v>0</v>
      </c>
      <c r="I106" s="179">
        <f t="shared" si="28"/>
        <v>0</v>
      </c>
      <c r="J106" s="6">
        <f t="shared" si="33"/>
        <v>1.2405364129917138</v>
      </c>
      <c r="K106" s="129">
        <v>1</v>
      </c>
      <c r="L106" s="6">
        <f t="shared" si="34"/>
        <v>155.08980306177847</v>
      </c>
      <c r="M106" s="191">
        <f t="shared" si="35"/>
        <v>155.08980306177847</v>
      </c>
      <c r="N106" s="131">
        <f t="shared" si="44"/>
        <v>155.08980306177847</v>
      </c>
      <c r="O106" s="191">
        <f t="shared" si="36"/>
        <v>155.08980306177847</v>
      </c>
      <c r="P106" s="191">
        <f t="shared" si="29"/>
        <v>155.08980306177847</v>
      </c>
      <c r="Q106" s="6">
        <f t="shared" si="37"/>
        <v>155.08980306177847</v>
      </c>
      <c r="R106" s="177">
        <f t="shared" si="30"/>
        <v>155.08980306177847</v>
      </c>
      <c r="S106" s="177">
        <f t="shared" si="38"/>
        <v>155.08980306177847</v>
      </c>
      <c r="T106" s="177">
        <f t="shared" si="39"/>
        <v>155.08980306177847</v>
      </c>
      <c r="U106" s="172">
        <f>IF(VLEESKALKOENEN!$H$15="ja",L106-((E106-G106*95%-I106)/E106*L106)*$R$6,L106-((E106-G106*80%-I106)/E106*L106)*$R$6)</f>
        <v>155.08980306177847</v>
      </c>
      <c r="V106" s="109">
        <f t="shared" si="41"/>
        <v>155.08980306177847</v>
      </c>
      <c r="W106" s="188">
        <f t="shared" si="40"/>
        <v>155.08980306177847</v>
      </c>
      <c r="X106" s="217"/>
    </row>
    <row r="107" spans="1:24" x14ac:dyDescent="0.2">
      <c r="A107" s="1">
        <v>98</v>
      </c>
      <c r="B107" s="7">
        <v>12.61</v>
      </c>
      <c r="E107" s="7">
        <f t="shared" si="31"/>
        <v>14.501499999999998</v>
      </c>
      <c r="F107" s="7">
        <f t="shared" si="32"/>
        <v>14.501499999999998</v>
      </c>
      <c r="G107" s="179">
        <f t="shared" si="43"/>
        <v>0</v>
      </c>
      <c r="H107" s="179">
        <f t="shared" si="42"/>
        <v>0</v>
      </c>
      <c r="I107" s="179">
        <f t="shared" si="28"/>
        <v>0</v>
      </c>
      <c r="J107" s="6">
        <f t="shared" si="33"/>
        <v>1.2635735749291241</v>
      </c>
      <c r="K107" s="129">
        <v>1</v>
      </c>
      <c r="L107" s="6">
        <f t="shared" si="34"/>
        <v>160.51571884427187</v>
      </c>
      <c r="M107" s="191">
        <f t="shared" si="35"/>
        <v>160.51571884427187</v>
      </c>
      <c r="N107" s="131">
        <f t="shared" si="44"/>
        <v>160.51571884427187</v>
      </c>
      <c r="O107" s="191">
        <f t="shared" si="36"/>
        <v>160.51571884427187</v>
      </c>
      <c r="P107" s="191">
        <f t="shared" si="29"/>
        <v>160.51571884427187</v>
      </c>
      <c r="Q107" s="6">
        <f t="shared" si="37"/>
        <v>160.51571884427187</v>
      </c>
      <c r="R107" s="177">
        <f t="shared" si="30"/>
        <v>160.51571884427187</v>
      </c>
      <c r="S107" s="177">
        <f t="shared" si="38"/>
        <v>160.51571884427187</v>
      </c>
      <c r="T107" s="177">
        <f t="shared" si="39"/>
        <v>160.51571884427187</v>
      </c>
      <c r="U107" s="172">
        <f>IF(VLEESKALKOENEN!$H$15="ja",L107-((E107-G107*95%-I107)/E107*L107)*$R$6,L107-((E107-G107*80%-I107)/E107*L107)*$R$6)</f>
        <v>160.51571884427187</v>
      </c>
      <c r="V107" s="109">
        <f t="shared" si="41"/>
        <v>160.51571884427187</v>
      </c>
      <c r="W107" s="188">
        <f t="shared" si="40"/>
        <v>160.51571884427187</v>
      </c>
      <c r="X107" s="217"/>
    </row>
    <row r="108" spans="1:24" x14ac:dyDescent="0.2">
      <c r="A108" s="1">
        <v>99</v>
      </c>
      <c r="B108" s="7">
        <v>12.8</v>
      </c>
      <c r="E108" s="7">
        <f t="shared" si="31"/>
        <v>14.719999999999999</v>
      </c>
      <c r="F108" s="7">
        <f t="shared" si="32"/>
        <v>14.719999999999999</v>
      </c>
      <c r="G108" s="179">
        <f t="shared" si="43"/>
        <v>0</v>
      </c>
      <c r="H108" s="179">
        <f t="shared" si="42"/>
        <v>0</v>
      </c>
      <c r="I108" s="179">
        <f t="shared" si="28"/>
        <v>0</v>
      </c>
      <c r="J108" s="6">
        <f t="shared" si="33"/>
        <v>1.2870385444057348</v>
      </c>
      <c r="K108" s="129">
        <v>1</v>
      </c>
      <c r="L108" s="6">
        <f t="shared" si="34"/>
        <v>165.96001659319515</v>
      </c>
      <c r="M108" s="191">
        <f t="shared" si="35"/>
        <v>165.96001659319515</v>
      </c>
      <c r="N108" s="131">
        <f t="shared" si="44"/>
        <v>165.96001659319515</v>
      </c>
      <c r="O108" s="191">
        <f t="shared" si="36"/>
        <v>165.96001659319515</v>
      </c>
      <c r="P108" s="191">
        <f t="shared" si="29"/>
        <v>165.96001659319515</v>
      </c>
      <c r="Q108" s="6">
        <f t="shared" si="37"/>
        <v>165.96001659319515</v>
      </c>
      <c r="R108" s="177">
        <f t="shared" si="30"/>
        <v>165.96001659319515</v>
      </c>
      <c r="S108" s="177">
        <f t="shared" si="38"/>
        <v>165.96001659319515</v>
      </c>
      <c r="T108" s="177">
        <f t="shared" si="39"/>
        <v>165.96001659319515</v>
      </c>
      <c r="U108" s="172">
        <f>IF(VLEESKALKOENEN!$H$15="ja",L108-((E108-G108*95%-I108)/E108*L108)*$R$6,L108-((E108-G108*80%-I108)/E108*L108)*$R$6)</f>
        <v>165.96001659319515</v>
      </c>
      <c r="V108" s="109">
        <f t="shared" si="41"/>
        <v>165.96001659319515</v>
      </c>
      <c r="W108" s="188">
        <f t="shared" si="40"/>
        <v>165.96001659319515</v>
      </c>
      <c r="X108" s="217"/>
    </row>
    <row r="109" spans="1:24" x14ac:dyDescent="0.2">
      <c r="A109" s="1">
        <v>100</v>
      </c>
      <c r="B109" s="7">
        <v>13</v>
      </c>
      <c r="E109" s="7">
        <f t="shared" si="31"/>
        <v>14.95</v>
      </c>
      <c r="F109" s="7">
        <f t="shared" si="32"/>
        <v>14.95</v>
      </c>
      <c r="G109" s="179">
        <f t="shared" si="43"/>
        <v>0</v>
      </c>
      <c r="H109" s="179">
        <f t="shared" si="42"/>
        <v>0</v>
      </c>
      <c r="I109" s="179">
        <f t="shared" si="28"/>
        <v>0</v>
      </c>
      <c r="J109" s="6">
        <f t="shared" si="33"/>
        <v>1.3109392659457497</v>
      </c>
      <c r="K109" s="129">
        <v>1</v>
      </c>
      <c r="L109" s="6">
        <f t="shared" si="34"/>
        <v>171.68322814678729</v>
      </c>
      <c r="M109" s="191">
        <f t="shared" si="35"/>
        <v>171.68322814678729</v>
      </c>
      <c r="N109" s="131">
        <f t="shared" si="44"/>
        <v>171.68322814678729</v>
      </c>
      <c r="O109" s="191">
        <f t="shared" si="36"/>
        <v>171.68322814678729</v>
      </c>
      <c r="P109" s="191">
        <f t="shared" si="29"/>
        <v>171.68322814678729</v>
      </c>
      <c r="Q109" s="6">
        <f t="shared" si="37"/>
        <v>171.68322814678729</v>
      </c>
      <c r="R109" s="177">
        <f t="shared" si="30"/>
        <v>171.68322814678729</v>
      </c>
      <c r="S109" s="177">
        <f t="shared" si="38"/>
        <v>171.68322814678729</v>
      </c>
      <c r="T109" s="177">
        <f t="shared" si="39"/>
        <v>171.68322814678729</v>
      </c>
      <c r="U109" s="172">
        <f>IF(VLEESKALKOENEN!$H$15="ja",L109-((E109-G109*95%-I109)/E109*L109)*$R$6,L109-((E109-G109*80%-I109)/E109*L109)*$R$6)</f>
        <v>171.68322814678729</v>
      </c>
      <c r="V109" s="109">
        <f t="shared" si="41"/>
        <v>171.68322814678729</v>
      </c>
      <c r="W109" s="188">
        <f t="shared" si="40"/>
        <v>171.68322814678729</v>
      </c>
      <c r="X109" s="217"/>
    </row>
    <row r="110" spans="1:24" x14ac:dyDescent="0.2">
      <c r="A110" s="1">
        <v>101</v>
      </c>
      <c r="B110" s="7">
        <v>13.19</v>
      </c>
      <c r="E110" s="7">
        <f t="shared" si="31"/>
        <v>15.168499999999998</v>
      </c>
      <c r="F110" s="7">
        <f t="shared" si="32"/>
        <v>15.168499999999998</v>
      </c>
      <c r="G110" s="179">
        <f t="shared" si="43"/>
        <v>0</v>
      </c>
      <c r="H110" s="179">
        <f t="shared" si="42"/>
        <v>0</v>
      </c>
      <c r="I110" s="179">
        <f t="shared" si="28"/>
        <v>0</v>
      </c>
      <c r="J110" s="6">
        <f t="shared" si="33"/>
        <v>1.3352838316057536</v>
      </c>
      <c r="K110" s="129">
        <v>1</v>
      </c>
      <c r="L110" s="6">
        <f t="shared" si="34"/>
        <v>177.427254525476</v>
      </c>
      <c r="M110" s="191">
        <f t="shared" si="35"/>
        <v>177.427254525476</v>
      </c>
      <c r="N110" s="131">
        <f t="shared" si="44"/>
        <v>177.427254525476</v>
      </c>
      <c r="O110" s="191">
        <f t="shared" si="36"/>
        <v>177.427254525476</v>
      </c>
      <c r="P110" s="191">
        <f t="shared" si="29"/>
        <v>177.427254525476</v>
      </c>
      <c r="Q110" s="6">
        <f t="shared" si="37"/>
        <v>177.427254525476</v>
      </c>
      <c r="R110" s="177">
        <f t="shared" si="30"/>
        <v>177.427254525476</v>
      </c>
      <c r="S110" s="177">
        <f t="shared" si="38"/>
        <v>177.427254525476</v>
      </c>
      <c r="T110" s="177">
        <f t="shared" si="39"/>
        <v>177.427254525476</v>
      </c>
      <c r="U110" s="172">
        <f>IF(VLEESKALKOENEN!$H$15="ja",L110-((E110-G110*95%-I110)/E110*L110)*$R$6,L110-((E110-G110*80%-I110)/E110*L110)*$R$6)</f>
        <v>177.427254525476</v>
      </c>
      <c r="V110" s="109">
        <f t="shared" si="41"/>
        <v>177.427254525476</v>
      </c>
      <c r="W110" s="188">
        <f t="shared" si="40"/>
        <v>177.427254525476</v>
      </c>
      <c r="X110" s="217"/>
    </row>
    <row r="111" spans="1:24" x14ac:dyDescent="0.2">
      <c r="A111" s="1">
        <v>102</v>
      </c>
      <c r="B111" s="7">
        <v>13.38</v>
      </c>
      <c r="E111" s="7">
        <f t="shared" si="31"/>
        <v>15.387</v>
      </c>
      <c r="F111" s="7">
        <f t="shared" si="32"/>
        <v>15.387</v>
      </c>
      <c r="G111" s="179">
        <f t="shared" si="43"/>
        <v>0</v>
      </c>
      <c r="H111" s="179">
        <f t="shared" si="42"/>
        <v>0</v>
      </c>
      <c r="I111" s="179">
        <f t="shared" si="28"/>
        <v>0</v>
      </c>
      <c r="J111" s="6">
        <f t="shared" si="33"/>
        <v>1.3600804837144354</v>
      </c>
      <c r="K111" s="129">
        <v>1</v>
      </c>
      <c r="L111" s="6">
        <f t="shared" si="34"/>
        <v>183.32541160952678</v>
      </c>
      <c r="M111" s="191">
        <f t="shared" si="35"/>
        <v>183.32541160952678</v>
      </c>
      <c r="N111" s="131">
        <f t="shared" si="44"/>
        <v>183.32541160952678</v>
      </c>
      <c r="O111" s="191">
        <f t="shared" si="36"/>
        <v>183.32541160952678</v>
      </c>
      <c r="P111" s="191">
        <f t="shared" si="29"/>
        <v>183.32541160952678</v>
      </c>
      <c r="Q111" s="6">
        <f t="shared" si="37"/>
        <v>183.32541160952678</v>
      </c>
      <c r="R111" s="177">
        <f t="shared" si="30"/>
        <v>183.32541160952678</v>
      </c>
      <c r="S111" s="177">
        <f t="shared" si="38"/>
        <v>183.32541160952678</v>
      </c>
      <c r="T111" s="177">
        <f t="shared" si="39"/>
        <v>183.32541160952678</v>
      </c>
      <c r="U111" s="172">
        <f>IF(VLEESKALKOENEN!$H$15="ja",L111-((E111-G111*95%-I111)/E111*L111)*$R$6,L111-((E111-G111*80%-I111)/E111*L111)*$R$6)</f>
        <v>183.32541160952678</v>
      </c>
      <c r="V111" s="109">
        <f t="shared" si="41"/>
        <v>183.32541160952678</v>
      </c>
      <c r="W111" s="188">
        <f t="shared" si="40"/>
        <v>183.32541160952678</v>
      </c>
      <c r="X111" s="217"/>
    </row>
    <row r="112" spans="1:24" x14ac:dyDescent="0.2">
      <c r="A112" s="1">
        <v>103</v>
      </c>
      <c r="B112" s="7">
        <v>13.58</v>
      </c>
      <c r="E112" s="7">
        <f t="shared" si="31"/>
        <v>15.616999999999999</v>
      </c>
      <c r="F112" s="7">
        <f t="shared" si="32"/>
        <v>15.616999999999999</v>
      </c>
      <c r="G112" s="179">
        <f t="shared" si="43"/>
        <v>0</v>
      </c>
      <c r="H112" s="179">
        <f t="shared" si="42"/>
        <v>0</v>
      </c>
      <c r="I112" s="179">
        <f t="shared" si="28"/>
        <v>0</v>
      </c>
      <c r="J112" s="6">
        <f t="shared" si="33"/>
        <v>1.3853376176631913</v>
      </c>
      <c r="K112" s="129">
        <v>1</v>
      </c>
      <c r="L112" s="6">
        <f t="shared" si="34"/>
        <v>189.52100195740346</v>
      </c>
      <c r="M112" s="191">
        <f t="shared" si="35"/>
        <v>189.52100195740346</v>
      </c>
      <c r="N112" s="131">
        <f t="shared" si="44"/>
        <v>189.52100195740346</v>
      </c>
      <c r="O112" s="191">
        <f t="shared" si="36"/>
        <v>189.52100195740346</v>
      </c>
      <c r="P112" s="191">
        <f t="shared" si="29"/>
        <v>189.52100195740346</v>
      </c>
      <c r="Q112" s="6">
        <f t="shared" si="37"/>
        <v>189.52100195740346</v>
      </c>
      <c r="R112" s="177">
        <f t="shared" si="30"/>
        <v>189.52100195740346</v>
      </c>
      <c r="S112" s="177">
        <f t="shared" si="38"/>
        <v>189.52100195740346</v>
      </c>
      <c r="T112" s="177">
        <f t="shared" si="39"/>
        <v>189.52100195740346</v>
      </c>
      <c r="U112" s="172">
        <f>IF(VLEESKALKOENEN!$H$15="ja",L112-((E112-G112*95%-I112)/E112*L112)*$R$6,L112-((E112-G112*80%-I112)/E112*L112)*$R$6)</f>
        <v>189.52100195740346</v>
      </c>
      <c r="V112" s="109">
        <f t="shared" si="41"/>
        <v>189.52100195740346</v>
      </c>
      <c r="W112" s="188">
        <f t="shared" si="40"/>
        <v>189.52100195740346</v>
      </c>
      <c r="X112" s="217"/>
    </row>
    <row r="113" spans="1:24" x14ac:dyDescent="0.2">
      <c r="A113" s="1">
        <v>104</v>
      </c>
      <c r="B113" s="7">
        <v>13.77</v>
      </c>
      <c r="E113" s="7">
        <f t="shared" si="31"/>
        <v>15.835499999999998</v>
      </c>
      <c r="F113" s="7">
        <f t="shared" si="32"/>
        <v>15.835499999999998</v>
      </c>
      <c r="G113" s="179">
        <f t="shared" si="43"/>
        <v>0</v>
      </c>
      <c r="H113" s="179">
        <f t="shared" si="42"/>
        <v>0</v>
      </c>
      <c r="I113" s="179">
        <f t="shared" si="28"/>
        <v>0</v>
      </c>
      <c r="J113" s="6">
        <f t="shared" si="33"/>
        <v>1.4110637847485474</v>
      </c>
      <c r="K113" s="129">
        <v>1</v>
      </c>
      <c r="L113" s="6">
        <f t="shared" si="34"/>
        <v>195.741328935258</v>
      </c>
      <c r="M113" s="191">
        <f t="shared" si="35"/>
        <v>195.741328935258</v>
      </c>
      <c r="N113" s="131">
        <f t="shared" si="44"/>
        <v>195.741328935258</v>
      </c>
      <c r="O113" s="191">
        <f t="shared" si="36"/>
        <v>195.741328935258</v>
      </c>
      <c r="P113" s="191">
        <f t="shared" si="29"/>
        <v>195.741328935258</v>
      </c>
      <c r="Q113" s="6">
        <f t="shared" si="37"/>
        <v>195.741328935258</v>
      </c>
      <c r="R113" s="177">
        <f t="shared" si="30"/>
        <v>195.741328935258</v>
      </c>
      <c r="S113" s="177">
        <f t="shared" si="38"/>
        <v>195.741328935258</v>
      </c>
      <c r="T113" s="177">
        <f t="shared" si="39"/>
        <v>195.741328935258</v>
      </c>
      <c r="U113" s="172">
        <f>IF(VLEESKALKOENEN!$H$15="ja",L113-((E113-G113*95%-I113)/E113*L113)*$R$6,L113-((E113-G113*80%-I113)/E113*L113)*$R$6)</f>
        <v>195.741328935258</v>
      </c>
      <c r="V113" s="109">
        <f t="shared" si="41"/>
        <v>195.741328935258</v>
      </c>
      <c r="W113" s="188">
        <f t="shared" si="40"/>
        <v>195.741328935258</v>
      </c>
      <c r="X113" s="217"/>
    </row>
    <row r="114" spans="1:24" x14ac:dyDescent="0.2">
      <c r="A114" s="1">
        <v>105</v>
      </c>
      <c r="B114" s="7">
        <v>13.96</v>
      </c>
      <c r="E114" s="7">
        <f t="shared" si="31"/>
        <v>16.053999999999998</v>
      </c>
      <c r="F114" s="7">
        <f t="shared" si="32"/>
        <v>16.053999999999998</v>
      </c>
      <c r="G114" s="179">
        <f t="shared" si="43"/>
        <v>0</v>
      </c>
      <c r="H114" s="179">
        <f t="shared" si="42"/>
        <v>0</v>
      </c>
      <c r="I114" s="179">
        <f t="shared" si="28"/>
        <v>0</v>
      </c>
      <c r="J114" s="6">
        <f t="shared" si="33"/>
        <v>1.4372676950673688</v>
      </c>
      <c r="K114" s="129">
        <v>1</v>
      </c>
      <c r="L114" s="6">
        <f t="shared" si="34"/>
        <v>202.12732525111707</v>
      </c>
      <c r="M114" s="191">
        <f t="shared" si="35"/>
        <v>202.12732525111707</v>
      </c>
      <c r="N114" s="131">
        <f t="shared" si="44"/>
        <v>202.12732525111707</v>
      </c>
      <c r="O114" s="191">
        <f t="shared" si="36"/>
        <v>202.12732525111707</v>
      </c>
      <c r="P114" s="191">
        <f t="shared" si="29"/>
        <v>202.12732525111707</v>
      </c>
      <c r="Q114" s="6">
        <f t="shared" si="37"/>
        <v>202.12732525111707</v>
      </c>
      <c r="R114" s="177">
        <f t="shared" si="30"/>
        <v>202.12732525111707</v>
      </c>
      <c r="S114" s="177">
        <f t="shared" si="38"/>
        <v>202.12732525111707</v>
      </c>
      <c r="T114" s="177">
        <f t="shared" si="39"/>
        <v>202.12732525111707</v>
      </c>
      <c r="U114" s="172">
        <f>IF(VLEESKALKOENEN!$H$15="ja",L114-((E114-G114*95%-I114)/E114*L114)*$R$6,L114-((E114-G114*80%-I114)/E114*L114)*$R$6)</f>
        <v>202.12732525111707</v>
      </c>
      <c r="V114" s="109">
        <f t="shared" si="41"/>
        <v>202.12732525111707</v>
      </c>
      <c r="W114" s="188">
        <f t="shared" si="40"/>
        <v>202.12732525111707</v>
      </c>
      <c r="X114" s="217"/>
    </row>
    <row r="115" spans="1:24" x14ac:dyDescent="0.2">
      <c r="A115" s="1">
        <v>106</v>
      </c>
      <c r="B115" s="7">
        <v>14.15</v>
      </c>
      <c r="E115" s="7">
        <f t="shared" si="31"/>
        <v>16.272500000000001</v>
      </c>
      <c r="F115" s="7">
        <f t="shared" si="32"/>
        <v>16.272500000000001</v>
      </c>
      <c r="G115" s="179">
        <f t="shared" si="43"/>
        <v>0</v>
      </c>
      <c r="H115" s="179">
        <f t="shared" si="42"/>
        <v>0</v>
      </c>
      <c r="I115" s="179">
        <f t="shared" si="28"/>
        <v>0</v>
      </c>
      <c r="J115" s="6">
        <f t="shared" si="33"/>
        <v>1.4639582204658335</v>
      </c>
      <c r="K115" s="129">
        <v>1</v>
      </c>
      <c r="L115" s="6">
        <f t="shared" si="34"/>
        <v>208.68299884856523</v>
      </c>
      <c r="M115" s="191">
        <f t="shared" si="35"/>
        <v>208.68299884856523</v>
      </c>
      <c r="N115" s="131">
        <f t="shared" si="44"/>
        <v>208.68299884856523</v>
      </c>
      <c r="O115" s="191">
        <f t="shared" si="36"/>
        <v>208.68299884856523</v>
      </c>
      <c r="P115" s="191">
        <f t="shared" si="29"/>
        <v>208.68299884856523</v>
      </c>
      <c r="Q115" s="6">
        <f t="shared" si="37"/>
        <v>208.68299884856523</v>
      </c>
      <c r="R115" s="177">
        <f t="shared" si="30"/>
        <v>208.68299884856523</v>
      </c>
      <c r="S115" s="177">
        <f t="shared" si="38"/>
        <v>208.68299884856523</v>
      </c>
      <c r="T115" s="177">
        <f t="shared" si="39"/>
        <v>208.68299884856523</v>
      </c>
      <c r="U115" s="172">
        <f>IF(VLEESKALKOENEN!$H$15="ja",L115-((E115-G115*95%-I115)/E115*L115)*$R$6,L115-((E115-G115*80%-I115)/E115*L115)*$R$6)</f>
        <v>208.68299884856523</v>
      </c>
      <c r="V115" s="109">
        <f t="shared" si="41"/>
        <v>208.68299884856523</v>
      </c>
      <c r="W115" s="188">
        <f t="shared" si="40"/>
        <v>208.68299884856523</v>
      </c>
      <c r="X115" s="217"/>
    </row>
    <row r="116" spans="1:24" x14ac:dyDescent="0.2">
      <c r="A116" s="1">
        <v>107</v>
      </c>
      <c r="B116" s="7">
        <v>14.35</v>
      </c>
      <c r="E116" s="7">
        <f t="shared" si="31"/>
        <v>16.502499999999998</v>
      </c>
      <c r="F116" s="7">
        <f t="shared" si="32"/>
        <v>16.502499999999998</v>
      </c>
      <c r="G116" s="179">
        <f t="shared" si="43"/>
        <v>0</v>
      </c>
      <c r="H116" s="179">
        <f t="shared" si="42"/>
        <v>0</v>
      </c>
      <c r="I116" s="179">
        <f t="shared" ref="I116:I121" si="45">MIN(R$5,E116-G116)</f>
        <v>0</v>
      </c>
      <c r="J116" s="6">
        <f t="shared" si="33"/>
        <v>1.4911443975431682</v>
      </c>
      <c r="K116" s="129">
        <v>1</v>
      </c>
      <c r="L116" s="6">
        <f t="shared" si="34"/>
        <v>215.56266728319565</v>
      </c>
      <c r="M116" s="191">
        <f t="shared" si="35"/>
        <v>215.56266728319565</v>
      </c>
      <c r="N116" s="131">
        <f t="shared" si="44"/>
        <v>215.56266728319565</v>
      </c>
      <c r="O116" s="191">
        <f t="shared" si="36"/>
        <v>215.56266728319565</v>
      </c>
      <c r="P116" s="191">
        <f t="shared" ref="P116:P121" si="46">IF(I116=0,L116,IF(I116&gt;$R$5,L116-(R$5)/E116*L116*99%,L116-(I116)/E116*L116*99%))</f>
        <v>215.56266728319565</v>
      </c>
      <c r="Q116" s="6">
        <f t="shared" si="37"/>
        <v>215.56266728319565</v>
      </c>
      <c r="R116" s="177">
        <f t="shared" ref="R116:R121" si="47">IF(E116-G116-H116&gt;=0,L116-((E116-G116*80%-H116*95%)/E116*L116)*$R$6,IF(G116&gt;H116,L116-((E116-G116)/E116*L116)*$R$6,L116-((E116-H116)/E116*L116)*$R$6))</f>
        <v>215.56266728319565</v>
      </c>
      <c r="S116" s="177">
        <f t="shared" si="38"/>
        <v>215.56266728319565</v>
      </c>
      <c r="T116" s="177">
        <f t="shared" si="39"/>
        <v>215.56266728319565</v>
      </c>
      <c r="U116" s="172">
        <f>IF(VLEESKALKOENEN!$H$15="ja",L116-((E116-G116*95%-I116)/E116*L116)*$R$6,L116-((E116-G116*80%-I116)/E116*L116)*$R$6)</f>
        <v>215.56266728319565</v>
      </c>
      <c r="V116" s="109">
        <f t="shared" si="41"/>
        <v>215.56266728319565</v>
      </c>
      <c r="W116" s="188">
        <f t="shared" si="40"/>
        <v>215.56266728319565</v>
      </c>
      <c r="X116" s="217"/>
    </row>
    <row r="117" spans="1:24" x14ac:dyDescent="0.2">
      <c r="A117" s="1">
        <v>108</v>
      </c>
      <c r="B117" s="7">
        <v>14.54</v>
      </c>
      <c r="E117" s="7">
        <f t="shared" si="31"/>
        <v>16.720999999999997</v>
      </c>
      <c r="F117" s="7">
        <f t="shared" si="32"/>
        <v>16.720999999999997</v>
      </c>
      <c r="G117" s="179">
        <f t="shared" si="43"/>
        <v>0</v>
      </c>
      <c r="H117" s="179">
        <f t="shared" si="42"/>
        <v>0</v>
      </c>
      <c r="I117" s="179">
        <f t="shared" si="45"/>
        <v>0</v>
      </c>
      <c r="J117" s="6">
        <f t="shared" si="33"/>
        <v>1.5188354307111678</v>
      </c>
      <c r="K117" s="129">
        <v>1</v>
      </c>
      <c r="L117" s="6">
        <f t="shared" si="34"/>
        <v>222.47287779543171</v>
      </c>
      <c r="M117" s="191">
        <f t="shared" si="35"/>
        <v>222.47287779543171</v>
      </c>
      <c r="N117" s="131">
        <f t="shared" si="44"/>
        <v>222.47287779543171</v>
      </c>
      <c r="O117" s="191">
        <f t="shared" si="36"/>
        <v>222.47287779543171</v>
      </c>
      <c r="P117" s="191">
        <f t="shared" si="46"/>
        <v>222.47287779543171</v>
      </c>
      <c r="Q117" s="6">
        <f t="shared" si="37"/>
        <v>222.47287779543171</v>
      </c>
      <c r="R117" s="177">
        <f t="shared" si="47"/>
        <v>222.47287779543171</v>
      </c>
      <c r="S117" s="177">
        <f t="shared" si="38"/>
        <v>222.47287779543171</v>
      </c>
      <c r="T117" s="177">
        <f t="shared" si="39"/>
        <v>222.47287779543171</v>
      </c>
      <c r="U117" s="172">
        <f>IF(VLEESKALKOENEN!$H$15="ja",L117-((E117-G117*95%-I117)/E117*L117)*$R$6,L117-((E117-G117*80%-I117)/E117*L117)*$R$6)</f>
        <v>222.47287779543171</v>
      </c>
      <c r="V117" s="109">
        <f t="shared" si="41"/>
        <v>222.47287779543171</v>
      </c>
      <c r="W117" s="188">
        <f t="shared" si="40"/>
        <v>222.47287779543171</v>
      </c>
      <c r="X117" s="217"/>
    </row>
    <row r="118" spans="1:24" x14ac:dyDescent="0.2">
      <c r="A118" s="1">
        <v>109</v>
      </c>
      <c r="B118" s="7">
        <v>14.73</v>
      </c>
      <c r="E118" s="7">
        <f t="shared" si="31"/>
        <v>16.939499999999999</v>
      </c>
      <c r="F118" s="7">
        <f t="shared" si="32"/>
        <v>16.939499999999999</v>
      </c>
      <c r="G118" s="179">
        <f t="shared" si="43"/>
        <v>0</v>
      </c>
      <c r="H118" s="179">
        <f t="shared" si="42"/>
        <v>0</v>
      </c>
      <c r="I118" s="179">
        <f t="shared" si="45"/>
        <v>0</v>
      </c>
      <c r="J118" s="6">
        <f t="shared" si="33"/>
        <v>1.5470406953105251</v>
      </c>
      <c r="K118" s="129">
        <v>1</v>
      </c>
      <c r="L118" s="6">
        <f t="shared" si="34"/>
        <v>229.56539971794271</v>
      </c>
      <c r="M118" s="191">
        <f t="shared" si="35"/>
        <v>229.56539971794271</v>
      </c>
      <c r="N118" s="131">
        <f t="shared" si="44"/>
        <v>229.56539971794271</v>
      </c>
      <c r="O118" s="191">
        <f t="shared" si="36"/>
        <v>229.56539971794271</v>
      </c>
      <c r="P118" s="191">
        <f t="shared" si="46"/>
        <v>229.56539971794271</v>
      </c>
      <c r="Q118" s="6">
        <f t="shared" si="37"/>
        <v>229.56539971794271</v>
      </c>
      <c r="R118" s="177">
        <f t="shared" si="47"/>
        <v>229.56539971794271</v>
      </c>
      <c r="S118" s="177">
        <f t="shared" si="38"/>
        <v>229.56539971794271</v>
      </c>
      <c r="T118" s="177">
        <f t="shared" si="39"/>
        <v>229.56539971794271</v>
      </c>
      <c r="U118" s="172">
        <f>IF(VLEESKALKOENEN!$H$15="ja",L118-((E118-G118*95%-I118)/E118*L118)*$R$6,L118-((E118-G118*80%-I118)/E118*L118)*$R$6)</f>
        <v>229.56539971794271</v>
      </c>
      <c r="V118" s="109">
        <f t="shared" si="41"/>
        <v>229.56539971794271</v>
      </c>
      <c r="W118" s="188">
        <f t="shared" si="40"/>
        <v>229.56539971794271</v>
      </c>
      <c r="X118" s="217"/>
    </row>
    <row r="119" spans="1:24" x14ac:dyDescent="0.2">
      <c r="A119" s="1">
        <v>110</v>
      </c>
      <c r="B119" s="7">
        <v>14.92</v>
      </c>
      <c r="E119" s="7">
        <f t="shared" si="31"/>
        <v>17.157999999999998</v>
      </c>
      <c r="F119" s="7">
        <f t="shared" si="32"/>
        <v>17.157999999999998</v>
      </c>
      <c r="G119" s="179">
        <f t="shared" si="43"/>
        <v>0</v>
      </c>
      <c r="H119" s="179">
        <f t="shared" si="42"/>
        <v>0</v>
      </c>
      <c r="I119" s="179">
        <f t="shared" si="45"/>
        <v>0</v>
      </c>
      <c r="J119" s="6">
        <f t="shared" si="33"/>
        <v>1.5757697407850417</v>
      </c>
      <c r="K119" s="129">
        <v>1</v>
      </c>
      <c r="L119" s="6">
        <f t="shared" si="34"/>
        <v>236.84462118053412</v>
      </c>
      <c r="M119" s="191">
        <f t="shared" si="35"/>
        <v>236.84462118053412</v>
      </c>
      <c r="N119" s="131">
        <f t="shared" si="44"/>
        <v>236.84462118053412</v>
      </c>
      <c r="O119" s="191">
        <f t="shared" si="36"/>
        <v>236.84462118053412</v>
      </c>
      <c r="P119" s="191">
        <f t="shared" si="46"/>
        <v>236.84462118053412</v>
      </c>
      <c r="Q119" s="6">
        <f t="shared" si="37"/>
        <v>236.84462118053412</v>
      </c>
      <c r="R119" s="177">
        <f t="shared" si="47"/>
        <v>236.84462118053412</v>
      </c>
      <c r="S119" s="177">
        <f t="shared" si="38"/>
        <v>236.84462118053412</v>
      </c>
      <c r="T119" s="177">
        <f t="shared" si="39"/>
        <v>236.84462118053412</v>
      </c>
      <c r="U119" s="172">
        <f>IF(VLEESKALKOENEN!$H$15="ja",L119-((E119-G119*95%-I119)/E119*L119)*$R$6,L119-((E119-G119*80%-I119)/E119*L119)*$R$6)</f>
        <v>236.84462118053412</v>
      </c>
      <c r="V119" s="109">
        <f t="shared" si="41"/>
        <v>236.84462118053412</v>
      </c>
      <c r="W119" s="188">
        <f t="shared" si="40"/>
        <v>236.84462118053412</v>
      </c>
      <c r="X119" s="217"/>
    </row>
    <row r="120" spans="1:24" x14ac:dyDescent="0.2">
      <c r="A120" s="1">
        <v>111</v>
      </c>
      <c r="B120" s="7">
        <v>15.11</v>
      </c>
      <c r="E120" s="7">
        <f t="shared" si="31"/>
        <v>17.376499999999997</v>
      </c>
      <c r="F120" s="7">
        <f t="shared" si="32"/>
        <v>17.376499999999997</v>
      </c>
      <c r="G120" s="179">
        <f t="shared" si="43"/>
        <v>0</v>
      </c>
      <c r="H120" s="179">
        <f t="shared" si="42"/>
        <v>0</v>
      </c>
      <c r="I120" s="179">
        <f t="shared" si="45"/>
        <v>0</v>
      </c>
      <c r="J120" s="6">
        <f t="shared" si="33"/>
        <v>1.6050322939147728</v>
      </c>
      <c r="K120" s="129">
        <v>1</v>
      </c>
      <c r="L120" s="6">
        <f t="shared" si="34"/>
        <v>244.31503041963995</v>
      </c>
      <c r="M120" s="191">
        <f t="shared" si="35"/>
        <v>244.31503041963995</v>
      </c>
      <c r="N120" s="131">
        <f t="shared" si="44"/>
        <v>244.31503041963995</v>
      </c>
      <c r="O120" s="191">
        <f t="shared" si="36"/>
        <v>244.31503041963995</v>
      </c>
      <c r="P120" s="191">
        <f t="shared" si="46"/>
        <v>244.31503041963995</v>
      </c>
      <c r="Q120" s="6">
        <f t="shared" si="37"/>
        <v>244.31503041963995</v>
      </c>
      <c r="R120" s="177">
        <f t="shared" si="47"/>
        <v>244.31503041963995</v>
      </c>
      <c r="S120" s="177">
        <f t="shared" si="38"/>
        <v>244.31503041963995</v>
      </c>
      <c r="T120" s="177">
        <f t="shared" si="39"/>
        <v>244.31503041963995</v>
      </c>
      <c r="U120" s="172">
        <f>IF(VLEESKALKOENEN!$H$15="ja",L120-((E120-G120*95%-I120)/E120*L120)*$R$6,L120-((E120-G120*80%-I120)/E120*L120)*$R$6)</f>
        <v>244.31503041963995</v>
      </c>
      <c r="V120" s="109">
        <f t="shared" si="41"/>
        <v>244.31503041963995</v>
      </c>
      <c r="W120" s="188">
        <f t="shared" si="40"/>
        <v>244.31503041963995</v>
      </c>
      <c r="X120" s="217"/>
    </row>
    <row r="121" spans="1:24" x14ac:dyDescent="0.2">
      <c r="A121" s="1">
        <v>112</v>
      </c>
      <c r="B121" s="7">
        <v>15.3</v>
      </c>
      <c r="E121" s="7">
        <f t="shared" si="31"/>
        <v>17.594999999999999</v>
      </c>
      <c r="F121" s="7">
        <f t="shared" si="32"/>
        <v>17.594999999999999</v>
      </c>
      <c r="G121" s="179">
        <f t="shared" si="43"/>
        <v>0</v>
      </c>
      <c r="H121" s="179">
        <f t="shared" si="42"/>
        <v>0</v>
      </c>
      <c r="I121" s="179">
        <f t="shared" si="45"/>
        <v>0</v>
      </c>
      <c r="J121" s="6">
        <f t="shared" si="33"/>
        <v>1.6348382621092228</v>
      </c>
      <c r="K121" s="129">
        <v>1</v>
      </c>
      <c r="L121" s="6">
        <f t="shared" si="34"/>
        <v>251.98121798307113</v>
      </c>
      <c r="M121" s="191">
        <f t="shared" si="35"/>
        <v>251.98121798307113</v>
      </c>
      <c r="N121" s="131">
        <f t="shared" si="44"/>
        <v>251.98121798307113</v>
      </c>
      <c r="O121" s="191">
        <f t="shared" si="36"/>
        <v>251.98121798307113</v>
      </c>
      <c r="P121" s="191">
        <f t="shared" si="46"/>
        <v>251.98121798307113</v>
      </c>
      <c r="Q121" s="6">
        <f t="shared" si="37"/>
        <v>251.98121798307113</v>
      </c>
      <c r="R121" s="177">
        <f t="shared" si="47"/>
        <v>251.98121798307113</v>
      </c>
      <c r="S121" s="177">
        <f t="shared" si="38"/>
        <v>251.98121798307113</v>
      </c>
      <c r="T121" s="177">
        <f t="shared" si="39"/>
        <v>251.98121798307113</v>
      </c>
      <c r="U121" s="172">
        <f>IF(VLEESKALKOENEN!$H$15="ja",L121-((E121-G121*95%-I121)/E121*L121)*$R$6,L121-((E121-G121*80%-I121)/E121*L121)*$R$6)</f>
        <v>251.98121798307113</v>
      </c>
      <c r="V121" s="109">
        <f t="shared" si="41"/>
        <v>251.98121798307113</v>
      </c>
      <c r="W121" s="188">
        <f t="shared" si="40"/>
        <v>251.98121798307113</v>
      </c>
      <c r="X121" s="217"/>
    </row>
    <row r="122" spans="1:24" x14ac:dyDescent="0.2">
      <c r="A122" s="1">
        <v>113</v>
      </c>
      <c r="B122" s="7">
        <v>15.49</v>
      </c>
      <c r="E122" s="7">
        <f t="shared" ref="E122:E156" si="48">B122*1.15</f>
        <v>17.813499999999998</v>
      </c>
      <c r="F122" s="7">
        <f t="shared" ref="F122:F156" si="49">E122-G122</f>
        <v>17.813499999999998</v>
      </c>
      <c r="G122" s="179">
        <f t="shared" ref="G122:G156" si="50">IF($R$4&gt;0&lt;E122,E122,IF($R$4&gt;E122,E122,$R$4))</f>
        <v>0</v>
      </c>
      <c r="H122" s="179">
        <f t="shared" ref="H122:H156" si="51">IF(E122&lt;$R$5,E122-G122,$R$5)</f>
        <v>0</v>
      </c>
      <c r="I122" s="179">
        <f t="shared" ref="I122:I156" si="52">MIN(R$5,E122-G122)</f>
        <v>0</v>
      </c>
      <c r="J122" s="6">
        <f t="shared" ref="J122:J156" si="53">0.2082*EXP(0.0184*A122)</f>
        <v>1.6651977367616904</v>
      </c>
      <c r="K122" s="129">
        <v>1</v>
      </c>
      <c r="L122" s="6">
        <f t="shared" ref="L122:L156" si="54">J122/1000*E122*24*365</f>
        <v>259.84787898212625</v>
      </c>
      <c r="M122" s="191">
        <f t="shared" ref="M122:M156" si="55">IF(E122&gt;$R$5,L122-(R$5)/E122*L122*99%,L122-(E122)/E122*L122*99%)</f>
        <v>259.84787898212625</v>
      </c>
      <c r="N122" s="131">
        <f t="shared" ref="N122:N156" si="56">(((($J122*(1-$R$2))-$J$3)/1000*$F122*24*365*$K122)*(1-R$5))+(((($J122*(1-$R$2))-$J$3)/1000*$G122*24*365*$K122)*(1-R$3))</f>
        <v>259.84787898212625</v>
      </c>
      <c r="O122" s="191">
        <f t="shared" ref="O122:O156" si="57">(((($J122)-$J$3)/1000*$F122*24*365*$K122))+(((($J122*(1-$R$2))-$J$3)/1000*$G122*24*365*$K122)*(1-R$3))</f>
        <v>259.84787898212625</v>
      </c>
      <c r="P122" s="191">
        <f t="shared" ref="P122:P156" si="58">IF(I122=0,L122,IF(I122&gt;$R$5,L122-(R$5)/E122*L122*99%,L122-(I122)/E122*L122*99%))</f>
        <v>259.84787898212625</v>
      </c>
      <c r="Q122" s="6">
        <f t="shared" si="37"/>
        <v>259.84787898212625</v>
      </c>
      <c r="R122" s="177">
        <f t="shared" ref="R122:R156" si="59">IF(E122-G122-H122&gt;=0,L122-((E122-G122*80%-H122*95%)/E122*L122)*$R$6,IF(G122&gt;H122,L122-((E122-G122)/E122*L122)*$R$6,L122-((E122-H122)/E122*L122)*$R$6))</f>
        <v>259.84787898212625</v>
      </c>
      <c r="S122" s="177">
        <f t="shared" ref="S122:S156" si="60">IF(E122-G122-H122&gt;=0,L122-((E122-G122-H122)/E122*L122)*$R$6,IF(G122&gt;H122,L122-((E122-G122)/E122*L122)*$R$6,L122-((E122-H122)/E122*L122)*$R$6))</f>
        <v>259.84787898212625</v>
      </c>
      <c r="T122" s="177">
        <f t="shared" ref="T122:T156" si="61">L122-(E122-H122)/E122*L122*$R$6</f>
        <v>259.84787898212625</v>
      </c>
      <c r="U122" s="172">
        <f>IF(VLEESKALKOENEN!$H$15="ja",L122-((E122-G122*95%-I122)/E122*L122)*$R$6,L122-((E122-G122*80%-I122)/E122*L122)*$R$6)</f>
        <v>259.84787898212625</v>
      </c>
      <c r="V122" s="109">
        <f t="shared" ref="V122:V156" si="62">L122-((E122-G122-I122)/E122*L122)*$R$6</f>
        <v>259.84787898212625</v>
      </c>
      <c r="W122" s="188">
        <f t="shared" ref="W122:W156" si="63">L122-(E122-H122)/E122*L122*$R$6</f>
        <v>259.84787898212625</v>
      </c>
      <c r="X122" s="217"/>
    </row>
    <row r="123" spans="1:24" x14ac:dyDescent="0.2">
      <c r="A123" s="1">
        <v>114</v>
      </c>
      <c r="B123" s="7">
        <v>14.58</v>
      </c>
      <c r="E123" s="7">
        <f t="shared" si="48"/>
        <v>16.766999999999999</v>
      </c>
      <c r="F123" s="7">
        <f t="shared" si="49"/>
        <v>16.766999999999999</v>
      </c>
      <c r="G123" s="179">
        <f t="shared" si="50"/>
        <v>0</v>
      </c>
      <c r="H123" s="179">
        <f t="shared" si="51"/>
        <v>0</v>
      </c>
      <c r="I123" s="179">
        <f t="shared" si="52"/>
        <v>0</v>
      </c>
      <c r="J123" s="6">
        <f t="shared" si="53"/>
        <v>1.6961209966659074</v>
      </c>
      <c r="K123" s="129">
        <v>1</v>
      </c>
      <c r="L123" s="6">
        <f t="shared" si="54"/>
        <v>249.12442017961209</v>
      </c>
      <c r="M123" s="191">
        <f t="shared" si="55"/>
        <v>249.12442017961209</v>
      </c>
      <c r="N123" s="131">
        <f t="shared" si="56"/>
        <v>249.12442017961209</v>
      </c>
      <c r="O123" s="191">
        <f t="shared" si="57"/>
        <v>249.12442017961209</v>
      </c>
      <c r="P123" s="191">
        <f t="shared" si="58"/>
        <v>249.12442017961209</v>
      </c>
      <c r="Q123" s="6">
        <f t="shared" si="37"/>
        <v>249.12442017961209</v>
      </c>
      <c r="R123" s="177">
        <f t="shared" si="59"/>
        <v>249.12442017961209</v>
      </c>
      <c r="S123" s="177">
        <f t="shared" si="60"/>
        <v>249.12442017961209</v>
      </c>
      <c r="T123" s="177">
        <f t="shared" si="61"/>
        <v>249.12442017961209</v>
      </c>
      <c r="U123" s="172">
        <f>IF(VLEESKALKOENEN!$H$15="ja",L123-((E123-G123*95%-I123)/E123*L123)*$R$6,L123-((E123-G123*80%-I123)/E123*L123)*$R$6)</f>
        <v>249.12442017961209</v>
      </c>
      <c r="V123" s="109">
        <f t="shared" si="62"/>
        <v>249.12442017961209</v>
      </c>
      <c r="W123" s="188">
        <f t="shared" si="63"/>
        <v>249.12442017961209</v>
      </c>
      <c r="X123" s="217"/>
    </row>
    <row r="124" spans="1:24" x14ac:dyDescent="0.2">
      <c r="A124" s="1">
        <v>115</v>
      </c>
      <c r="B124" s="7">
        <v>15.86</v>
      </c>
      <c r="E124" s="7">
        <f t="shared" si="48"/>
        <v>18.238999999999997</v>
      </c>
      <c r="F124" s="7">
        <f t="shared" si="49"/>
        <v>18.238999999999997</v>
      </c>
      <c r="G124" s="179">
        <f t="shared" si="50"/>
        <v>0</v>
      </c>
      <c r="H124" s="179">
        <f t="shared" si="51"/>
        <v>0</v>
      </c>
      <c r="I124" s="179">
        <f t="shared" si="52"/>
        <v>0</v>
      </c>
      <c r="J124" s="6">
        <f t="shared" si="53"/>
        <v>1.7276185114961276</v>
      </c>
      <c r="K124" s="129">
        <v>1</v>
      </c>
      <c r="L124" s="6">
        <f t="shared" si="54"/>
        <v>276.02789811311811</v>
      </c>
      <c r="M124" s="191">
        <f t="shared" si="55"/>
        <v>276.02789811311811</v>
      </c>
      <c r="N124" s="131">
        <f t="shared" si="56"/>
        <v>276.02789811311811</v>
      </c>
      <c r="O124" s="191">
        <f t="shared" si="57"/>
        <v>276.02789811311811</v>
      </c>
      <c r="P124" s="191">
        <f t="shared" si="58"/>
        <v>276.02789811311811</v>
      </c>
      <c r="Q124" s="6">
        <f t="shared" si="37"/>
        <v>276.02789811311811</v>
      </c>
      <c r="R124" s="177">
        <f t="shared" si="59"/>
        <v>276.02789811311811</v>
      </c>
      <c r="S124" s="177">
        <f t="shared" si="60"/>
        <v>276.02789811311811</v>
      </c>
      <c r="T124" s="177">
        <f t="shared" si="61"/>
        <v>276.02789811311811</v>
      </c>
      <c r="U124" s="172">
        <f>IF(VLEESKALKOENEN!$H$15="ja",L124-((E124-G124*95%-I124)/E124*L124)*$R$6,L124-((E124-G124*80%-I124)/E124*L124)*$R$6)</f>
        <v>276.02789811311811</v>
      </c>
      <c r="V124" s="109">
        <f t="shared" si="62"/>
        <v>276.02789811311811</v>
      </c>
      <c r="W124" s="188">
        <f t="shared" si="63"/>
        <v>276.02789811311811</v>
      </c>
      <c r="X124" s="217"/>
    </row>
    <row r="125" spans="1:24" x14ac:dyDescent="0.2">
      <c r="A125" s="1">
        <v>116</v>
      </c>
      <c r="B125" s="7">
        <v>16.05</v>
      </c>
      <c r="E125" s="7">
        <f t="shared" si="48"/>
        <v>18.4575</v>
      </c>
      <c r="F125" s="7">
        <f t="shared" si="49"/>
        <v>18.4575</v>
      </c>
      <c r="G125" s="179">
        <f t="shared" si="50"/>
        <v>0</v>
      </c>
      <c r="H125" s="179">
        <f t="shared" si="51"/>
        <v>0</v>
      </c>
      <c r="I125" s="179">
        <f t="shared" si="52"/>
        <v>0</v>
      </c>
      <c r="J125" s="6">
        <f t="shared" si="53"/>
        <v>1.7597009453518353</v>
      </c>
      <c r="K125" s="129">
        <v>1</v>
      </c>
      <c r="L125" s="6">
        <f t="shared" si="54"/>
        <v>284.52199854176394</v>
      </c>
      <c r="M125" s="191">
        <f t="shared" si="55"/>
        <v>284.52199854176394</v>
      </c>
      <c r="N125" s="131">
        <f t="shared" si="56"/>
        <v>284.52199854176394</v>
      </c>
      <c r="O125" s="191">
        <f t="shared" si="57"/>
        <v>284.52199854176394</v>
      </c>
      <c r="P125" s="191">
        <f t="shared" si="58"/>
        <v>284.52199854176394</v>
      </c>
      <c r="Q125" s="6">
        <f t="shared" si="37"/>
        <v>284.52199854176394</v>
      </c>
      <c r="R125" s="177">
        <f t="shared" si="59"/>
        <v>284.52199854176394</v>
      </c>
      <c r="S125" s="177">
        <f t="shared" si="60"/>
        <v>284.52199854176394</v>
      </c>
      <c r="T125" s="177">
        <f t="shared" si="61"/>
        <v>284.52199854176394</v>
      </c>
      <c r="U125" s="172">
        <f>IF(VLEESKALKOENEN!$H$15="ja",L125-((E125-G125*95%-I125)/E125*L125)*$R$6,L125-((E125-G125*80%-I125)/E125*L125)*$R$6)</f>
        <v>284.52199854176394</v>
      </c>
      <c r="V125" s="109">
        <f t="shared" si="62"/>
        <v>284.52199854176394</v>
      </c>
      <c r="W125" s="188">
        <f t="shared" si="63"/>
        <v>284.52199854176394</v>
      </c>
      <c r="X125" s="217"/>
    </row>
    <row r="126" spans="1:24" x14ac:dyDescent="0.2">
      <c r="A126" s="1">
        <v>117</v>
      </c>
      <c r="B126" s="7">
        <v>16.239999999999998</v>
      </c>
      <c r="E126" s="7">
        <f t="shared" si="48"/>
        <v>18.675999999999998</v>
      </c>
      <c r="F126" s="7">
        <f t="shared" si="49"/>
        <v>18.675999999999998</v>
      </c>
      <c r="G126" s="179">
        <f t="shared" si="50"/>
        <v>0</v>
      </c>
      <c r="H126" s="179">
        <f t="shared" si="51"/>
        <v>0</v>
      </c>
      <c r="I126" s="179">
        <f t="shared" si="52"/>
        <v>0</v>
      </c>
      <c r="J126" s="6">
        <f t="shared" si="53"/>
        <v>1.7923791603682901</v>
      </c>
      <c r="K126" s="129">
        <v>1</v>
      </c>
      <c r="L126" s="6">
        <f t="shared" si="54"/>
        <v>293.23638522357453</v>
      </c>
      <c r="M126" s="191">
        <f t="shared" si="55"/>
        <v>293.23638522357453</v>
      </c>
      <c r="N126" s="131">
        <f t="shared" si="56"/>
        <v>293.23638522357453</v>
      </c>
      <c r="O126" s="191">
        <f t="shared" si="57"/>
        <v>293.23638522357453</v>
      </c>
      <c r="P126" s="191">
        <f t="shared" si="58"/>
        <v>293.23638522357453</v>
      </c>
      <c r="Q126" s="6">
        <f t="shared" si="37"/>
        <v>293.23638522357453</v>
      </c>
      <c r="R126" s="177">
        <f t="shared" si="59"/>
        <v>293.23638522357453</v>
      </c>
      <c r="S126" s="177">
        <f t="shared" si="60"/>
        <v>293.23638522357453</v>
      </c>
      <c r="T126" s="177">
        <f t="shared" si="61"/>
        <v>293.23638522357453</v>
      </c>
      <c r="U126" s="172">
        <f>IF(VLEESKALKOENEN!$H$15="ja",L126-((E126-G126*95%-I126)/E126*L126)*$R$6,L126-((E126-G126*80%-I126)/E126*L126)*$R$6)</f>
        <v>293.23638522357453</v>
      </c>
      <c r="V126" s="109">
        <f t="shared" si="62"/>
        <v>293.23638522357453</v>
      </c>
      <c r="W126" s="188">
        <f t="shared" si="63"/>
        <v>293.23638522357453</v>
      </c>
      <c r="X126" s="217"/>
    </row>
    <row r="127" spans="1:24" x14ac:dyDescent="0.2">
      <c r="A127" s="1">
        <v>118</v>
      </c>
      <c r="B127" s="7">
        <v>16.420000000000002</v>
      </c>
      <c r="E127" s="7">
        <f t="shared" si="48"/>
        <v>18.882999999999999</v>
      </c>
      <c r="F127" s="7">
        <f t="shared" si="49"/>
        <v>18.882999999999999</v>
      </c>
      <c r="G127" s="179">
        <f t="shared" si="50"/>
        <v>0</v>
      </c>
      <c r="H127" s="179">
        <f t="shared" si="51"/>
        <v>0</v>
      </c>
      <c r="I127" s="179">
        <f t="shared" si="52"/>
        <v>0</v>
      </c>
      <c r="J127" s="6">
        <f t="shared" si="53"/>
        <v>1.8256642203941094</v>
      </c>
      <c r="K127" s="129">
        <v>1</v>
      </c>
      <c r="L127" s="6">
        <f t="shared" si="54"/>
        <v>301.9923930696292</v>
      </c>
      <c r="M127" s="191">
        <f t="shared" si="55"/>
        <v>301.9923930696292</v>
      </c>
      <c r="N127" s="131">
        <f t="shared" si="56"/>
        <v>301.9923930696292</v>
      </c>
      <c r="O127" s="191">
        <f t="shared" si="57"/>
        <v>301.9923930696292</v>
      </c>
      <c r="P127" s="191">
        <f t="shared" si="58"/>
        <v>301.9923930696292</v>
      </c>
      <c r="Q127" s="6">
        <f t="shared" si="37"/>
        <v>301.9923930696292</v>
      </c>
      <c r="R127" s="177">
        <f t="shared" si="59"/>
        <v>301.9923930696292</v>
      </c>
      <c r="S127" s="177">
        <f t="shared" si="60"/>
        <v>301.9923930696292</v>
      </c>
      <c r="T127" s="177">
        <f t="shared" si="61"/>
        <v>301.9923930696292</v>
      </c>
      <c r="U127" s="172">
        <f>IF(VLEESKALKOENEN!$H$15="ja",L127-((E127-G127*95%-I127)/E127*L127)*$R$6,L127-((E127-G127*80%-I127)/E127*L127)*$R$6)</f>
        <v>301.9923930696292</v>
      </c>
      <c r="V127" s="109">
        <f t="shared" si="62"/>
        <v>301.9923930696292</v>
      </c>
      <c r="W127" s="188">
        <f t="shared" si="63"/>
        <v>301.9923930696292</v>
      </c>
      <c r="X127" s="217"/>
    </row>
    <row r="128" spans="1:24" x14ac:dyDescent="0.2">
      <c r="A128" s="1">
        <v>119</v>
      </c>
      <c r="B128" s="7">
        <v>16.61</v>
      </c>
      <c r="E128" s="7">
        <f t="shared" si="48"/>
        <v>19.101499999999998</v>
      </c>
      <c r="F128" s="7">
        <f t="shared" si="49"/>
        <v>19.101499999999998</v>
      </c>
      <c r="G128" s="179">
        <f t="shared" si="50"/>
        <v>0</v>
      </c>
      <c r="H128" s="179">
        <f t="shared" si="51"/>
        <v>0</v>
      </c>
      <c r="I128" s="179">
        <f t="shared" si="52"/>
        <v>0</v>
      </c>
      <c r="J128" s="6">
        <f t="shared" si="53"/>
        <v>1.8595673947371558</v>
      </c>
      <c r="K128" s="129">
        <v>1</v>
      </c>
      <c r="L128" s="6">
        <f t="shared" si="54"/>
        <v>311.15981293340872</v>
      </c>
      <c r="M128" s="191">
        <f t="shared" si="55"/>
        <v>311.15981293340872</v>
      </c>
      <c r="N128" s="131">
        <f t="shared" si="56"/>
        <v>311.15981293340872</v>
      </c>
      <c r="O128" s="191">
        <f t="shared" si="57"/>
        <v>311.15981293340872</v>
      </c>
      <c r="P128" s="191">
        <f t="shared" si="58"/>
        <v>311.15981293340872</v>
      </c>
      <c r="Q128" s="6">
        <f t="shared" si="37"/>
        <v>311.15981293340872</v>
      </c>
      <c r="R128" s="177">
        <f t="shared" si="59"/>
        <v>311.15981293340872</v>
      </c>
      <c r="S128" s="177">
        <f t="shared" si="60"/>
        <v>311.15981293340872</v>
      </c>
      <c r="T128" s="177">
        <f t="shared" si="61"/>
        <v>311.15981293340872</v>
      </c>
      <c r="U128" s="172">
        <f>IF(VLEESKALKOENEN!$H$15="ja",L128-((E128-G128*95%-I128)/E128*L128)*$R$6,L128-((E128-G128*80%-I128)/E128*L128)*$R$6)</f>
        <v>311.15981293340872</v>
      </c>
      <c r="V128" s="109">
        <f t="shared" si="62"/>
        <v>311.15981293340872</v>
      </c>
      <c r="W128" s="188">
        <f t="shared" si="63"/>
        <v>311.15981293340872</v>
      </c>
      <c r="X128" s="217"/>
    </row>
    <row r="129" spans="1:24" x14ac:dyDescent="0.2">
      <c r="A129" s="1">
        <v>120</v>
      </c>
      <c r="B129" s="7">
        <v>16.8</v>
      </c>
      <c r="E129" s="7">
        <f t="shared" si="48"/>
        <v>19.32</v>
      </c>
      <c r="F129" s="7">
        <f t="shared" si="49"/>
        <v>19.32</v>
      </c>
      <c r="G129" s="179">
        <f t="shared" si="50"/>
        <v>0</v>
      </c>
      <c r="H129" s="179">
        <f t="shared" si="51"/>
        <v>0</v>
      </c>
      <c r="I129" s="179">
        <f t="shared" si="52"/>
        <v>0</v>
      </c>
      <c r="J129" s="6">
        <f t="shared" si="53"/>
        <v>1.894100161979978</v>
      </c>
      <c r="K129" s="129">
        <v>1</v>
      </c>
      <c r="L129" s="6">
        <f t="shared" si="54"/>
        <v>320.56357253400984</v>
      </c>
      <c r="M129" s="191">
        <f t="shared" si="55"/>
        <v>320.56357253400984</v>
      </c>
      <c r="N129" s="131">
        <f t="shared" si="56"/>
        <v>320.56357253400984</v>
      </c>
      <c r="O129" s="191">
        <f t="shared" si="57"/>
        <v>320.56357253400984</v>
      </c>
      <c r="P129" s="191">
        <f t="shared" si="58"/>
        <v>320.56357253400984</v>
      </c>
      <c r="Q129" s="6">
        <f t="shared" si="37"/>
        <v>320.56357253400984</v>
      </c>
      <c r="R129" s="177">
        <f t="shared" si="59"/>
        <v>320.56357253400984</v>
      </c>
      <c r="S129" s="177">
        <f t="shared" si="60"/>
        <v>320.56357253400984</v>
      </c>
      <c r="T129" s="177">
        <f t="shared" si="61"/>
        <v>320.56357253400984</v>
      </c>
      <c r="U129" s="172">
        <f>IF(VLEESKALKOENEN!$H$15="ja",L129-((E129-G129*95%-I129)/E129*L129)*$R$6,L129-((E129-G129*80%-I129)/E129*L129)*$R$6)</f>
        <v>320.56357253400984</v>
      </c>
      <c r="V129" s="109">
        <f t="shared" si="62"/>
        <v>320.56357253400984</v>
      </c>
      <c r="W129" s="188">
        <f t="shared" si="63"/>
        <v>320.56357253400984</v>
      </c>
      <c r="X129" s="217"/>
    </row>
    <row r="130" spans="1:24" x14ac:dyDescent="0.2">
      <c r="A130" s="1">
        <v>121</v>
      </c>
      <c r="B130" s="7">
        <v>16.98</v>
      </c>
      <c r="E130" s="7">
        <f t="shared" si="48"/>
        <v>19.526999999999997</v>
      </c>
      <c r="F130" s="7">
        <f t="shared" si="49"/>
        <v>19.526999999999997</v>
      </c>
      <c r="G130" s="179">
        <f t="shared" si="50"/>
        <v>0</v>
      </c>
      <c r="H130" s="179">
        <f t="shared" si="51"/>
        <v>0</v>
      </c>
      <c r="I130" s="179">
        <f t="shared" si="52"/>
        <v>0</v>
      </c>
      <c r="J130" s="6">
        <f t="shared" si="53"/>
        <v>1.9292742138661108</v>
      </c>
      <c r="K130" s="129">
        <v>1</v>
      </c>
      <c r="L130" s="6">
        <f t="shared" si="54"/>
        <v>330.01493314967263</v>
      </c>
      <c r="M130" s="191">
        <f t="shared" si="55"/>
        <v>330.01493314967263</v>
      </c>
      <c r="N130" s="131">
        <f t="shared" si="56"/>
        <v>330.01493314967263</v>
      </c>
      <c r="O130" s="191">
        <f t="shared" si="57"/>
        <v>330.01493314967263</v>
      </c>
      <c r="P130" s="191">
        <f t="shared" si="58"/>
        <v>330.01493314967263</v>
      </c>
      <c r="Q130" s="6">
        <f t="shared" si="37"/>
        <v>330.01493314967263</v>
      </c>
      <c r="R130" s="177">
        <f t="shared" si="59"/>
        <v>330.01493314967263</v>
      </c>
      <c r="S130" s="177">
        <f t="shared" si="60"/>
        <v>330.01493314967263</v>
      </c>
      <c r="T130" s="177">
        <f t="shared" si="61"/>
        <v>330.01493314967263</v>
      </c>
      <c r="U130" s="172">
        <f>IF(VLEESKALKOENEN!$H$15="ja",L130-((E130-G130*95%-I130)/E130*L130)*$R$6,L130-((E130-G130*80%-I130)/E130*L130)*$R$6)</f>
        <v>330.01493314967263</v>
      </c>
      <c r="V130" s="109">
        <f t="shared" si="62"/>
        <v>330.01493314967263</v>
      </c>
      <c r="W130" s="188">
        <f t="shared" si="63"/>
        <v>330.01493314967263</v>
      </c>
      <c r="X130" s="217"/>
    </row>
    <row r="131" spans="1:24" x14ac:dyDescent="0.2">
      <c r="A131" s="1">
        <v>122</v>
      </c>
      <c r="B131" s="7">
        <v>17.16</v>
      </c>
      <c r="E131" s="7">
        <f t="shared" si="48"/>
        <v>19.733999999999998</v>
      </c>
      <c r="F131" s="7">
        <f t="shared" si="49"/>
        <v>19.733999999999998</v>
      </c>
      <c r="G131" s="179">
        <f t="shared" si="50"/>
        <v>0</v>
      </c>
      <c r="H131" s="179">
        <f t="shared" si="51"/>
        <v>0</v>
      </c>
      <c r="I131" s="179">
        <f t="shared" si="52"/>
        <v>0</v>
      </c>
      <c r="J131" s="6">
        <f t="shared" si="53"/>
        <v>1.9651014592585447</v>
      </c>
      <c r="K131" s="129">
        <v>1</v>
      </c>
      <c r="L131" s="6">
        <f t="shared" si="54"/>
        <v>339.70677484579119</v>
      </c>
      <c r="M131" s="191">
        <f t="shared" si="55"/>
        <v>339.70677484579119</v>
      </c>
      <c r="N131" s="131">
        <f t="shared" si="56"/>
        <v>339.70677484579119</v>
      </c>
      <c r="O131" s="191">
        <f t="shared" si="57"/>
        <v>339.70677484579119</v>
      </c>
      <c r="P131" s="191">
        <f t="shared" si="58"/>
        <v>339.70677484579119</v>
      </c>
      <c r="Q131" s="6">
        <f t="shared" si="37"/>
        <v>339.70677484579119</v>
      </c>
      <c r="R131" s="177">
        <f t="shared" si="59"/>
        <v>339.70677484579119</v>
      </c>
      <c r="S131" s="177">
        <f t="shared" si="60"/>
        <v>339.70677484579119</v>
      </c>
      <c r="T131" s="177">
        <f t="shared" si="61"/>
        <v>339.70677484579119</v>
      </c>
      <c r="U131" s="172">
        <f>IF(VLEESKALKOENEN!$H$15="ja",L131-((E131-G131*95%-I131)/E131*L131)*$R$6,L131-((E131-G131*80%-I131)/E131*L131)*$R$6)</f>
        <v>339.70677484579119</v>
      </c>
      <c r="V131" s="109">
        <f t="shared" si="62"/>
        <v>339.70677484579119</v>
      </c>
      <c r="W131" s="188">
        <f t="shared" si="63"/>
        <v>339.70677484579119</v>
      </c>
      <c r="X131" s="217"/>
    </row>
    <row r="132" spans="1:24" x14ac:dyDescent="0.2">
      <c r="A132" s="1">
        <v>123</v>
      </c>
      <c r="B132" s="7">
        <v>17.350000000000001</v>
      </c>
      <c r="E132" s="7">
        <f t="shared" si="48"/>
        <v>19.952500000000001</v>
      </c>
      <c r="F132" s="7">
        <f t="shared" si="49"/>
        <v>19.952500000000001</v>
      </c>
      <c r="G132" s="179">
        <f t="shared" si="50"/>
        <v>0</v>
      </c>
      <c r="H132" s="179">
        <f t="shared" si="51"/>
        <v>0</v>
      </c>
      <c r="I132" s="179">
        <f t="shared" si="52"/>
        <v>0</v>
      </c>
      <c r="J132" s="6">
        <f t="shared" si="53"/>
        <v>2.0015940281717008</v>
      </c>
      <c r="K132" s="129">
        <v>1</v>
      </c>
      <c r="L132" s="6">
        <f t="shared" si="54"/>
        <v>349.84641046055981</v>
      </c>
      <c r="M132" s="191">
        <f t="shared" si="55"/>
        <v>349.84641046055981</v>
      </c>
      <c r="N132" s="131">
        <f t="shared" si="56"/>
        <v>349.84641046055981</v>
      </c>
      <c r="O132" s="191">
        <f t="shared" si="57"/>
        <v>349.84641046055981</v>
      </c>
      <c r="P132" s="191">
        <f t="shared" si="58"/>
        <v>349.84641046055981</v>
      </c>
      <c r="Q132" s="6">
        <f t="shared" si="37"/>
        <v>349.84641046055981</v>
      </c>
      <c r="R132" s="177">
        <f t="shared" si="59"/>
        <v>349.84641046055981</v>
      </c>
      <c r="S132" s="177">
        <f t="shared" si="60"/>
        <v>349.84641046055981</v>
      </c>
      <c r="T132" s="177">
        <f t="shared" si="61"/>
        <v>349.84641046055981</v>
      </c>
      <c r="U132" s="172">
        <f>IF(VLEESKALKOENEN!$H$15="ja",L132-((E132-G132*95%-I132)/E132*L132)*$R$6,L132-((E132-G132*80%-I132)/E132*L132)*$R$6)</f>
        <v>349.84641046055981</v>
      </c>
      <c r="V132" s="109">
        <f t="shared" si="62"/>
        <v>349.84641046055981</v>
      </c>
      <c r="W132" s="188">
        <f t="shared" si="63"/>
        <v>349.84641046055981</v>
      </c>
      <c r="X132" s="217"/>
    </row>
    <row r="133" spans="1:24" x14ac:dyDescent="0.2">
      <c r="A133" s="1">
        <v>124</v>
      </c>
      <c r="B133" s="7">
        <v>17.53</v>
      </c>
      <c r="E133" s="7">
        <f t="shared" si="48"/>
        <v>20.159500000000001</v>
      </c>
      <c r="F133" s="7">
        <f t="shared" si="49"/>
        <v>20.159500000000001</v>
      </c>
      <c r="G133" s="179">
        <f t="shared" si="50"/>
        <v>0</v>
      </c>
      <c r="H133" s="179">
        <f t="shared" si="51"/>
        <v>0</v>
      </c>
      <c r="I133" s="179">
        <f t="shared" si="52"/>
        <v>0</v>
      </c>
      <c r="J133" s="6">
        <f t="shared" si="53"/>
        <v>2.0387642758782905</v>
      </c>
      <c r="K133" s="129">
        <v>1</v>
      </c>
      <c r="L133" s="6">
        <f t="shared" si="54"/>
        <v>360.04010335541921</v>
      </c>
      <c r="M133" s="191">
        <f t="shared" si="55"/>
        <v>360.04010335541921</v>
      </c>
      <c r="N133" s="131">
        <f t="shared" si="56"/>
        <v>360.04010335541921</v>
      </c>
      <c r="O133" s="191">
        <f t="shared" si="57"/>
        <v>360.04010335541921</v>
      </c>
      <c r="P133" s="191">
        <f t="shared" si="58"/>
        <v>360.04010335541921</v>
      </c>
      <c r="Q133" s="6">
        <f t="shared" si="37"/>
        <v>360.04010335541921</v>
      </c>
      <c r="R133" s="177">
        <f t="shared" si="59"/>
        <v>360.04010335541921</v>
      </c>
      <c r="S133" s="177">
        <f t="shared" si="60"/>
        <v>360.04010335541921</v>
      </c>
      <c r="T133" s="177">
        <f t="shared" si="61"/>
        <v>360.04010335541921</v>
      </c>
      <c r="U133" s="172">
        <f>IF(VLEESKALKOENEN!$H$15="ja",L133-((E133-G133*95%-I133)/E133*L133)*$R$6,L133-((E133-G133*80%-I133)/E133*L133)*$R$6)</f>
        <v>360.04010335541921</v>
      </c>
      <c r="V133" s="109">
        <f t="shared" si="62"/>
        <v>360.04010335541921</v>
      </c>
      <c r="W133" s="188">
        <f t="shared" si="63"/>
        <v>360.04010335541921</v>
      </c>
      <c r="X133" s="217"/>
    </row>
    <row r="134" spans="1:24" x14ac:dyDescent="0.2">
      <c r="A134" s="1">
        <v>125</v>
      </c>
      <c r="B134" s="7">
        <v>17.71</v>
      </c>
      <c r="E134" s="7">
        <f t="shared" si="48"/>
        <v>20.366499999999998</v>
      </c>
      <c r="F134" s="7">
        <f t="shared" si="49"/>
        <v>20.366499999999998</v>
      </c>
      <c r="G134" s="179">
        <f t="shared" si="50"/>
        <v>0</v>
      </c>
      <c r="H134" s="179">
        <f t="shared" si="51"/>
        <v>0</v>
      </c>
      <c r="I134" s="179">
        <f t="shared" si="52"/>
        <v>0</v>
      </c>
      <c r="J134" s="6">
        <f t="shared" si="53"/>
        <v>2.0766247870924244</v>
      </c>
      <c r="K134" s="129">
        <v>1</v>
      </c>
      <c r="L134" s="6">
        <f t="shared" si="54"/>
        <v>370.49174964254439</v>
      </c>
      <c r="M134" s="191">
        <f t="shared" si="55"/>
        <v>370.49174964254439</v>
      </c>
      <c r="N134" s="131">
        <f t="shared" si="56"/>
        <v>370.49174964254439</v>
      </c>
      <c r="O134" s="191">
        <f t="shared" si="57"/>
        <v>370.49174964254439</v>
      </c>
      <c r="P134" s="191">
        <f t="shared" si="58"/>
        <v>370.49174964254439</v>
      </c>
      <c r="Q134" s="6">
        <f t="shared" si="37"/>
        <v>370.49174964254439</v>
      </c>
      <c r="R134" s="177">
        <f t="shared" si="59"/>
        <v>370.49174964254439</v>
      </c>
      <c r="S134" s="177">
        <f t="shared" si="60"/>
        <v>370.49174964254439</v>
      </c>
      <c r="T134" s="177">
        <f t="shared" si="61"/>
        <v>370.49174964254439</v>
      </c>
      <c r="U134" s="172">
        <f>IF(VLEESKALKOENEN!$H$15="ja",L134-((E134-G134*95%-I134)/E134*L134)*$R$6,L134-((E134-G134*80%-I134)/E134*L134)*$R$6)</f>
        <v>370.49174964254439</v>
      </c>
      <c r="V134" s="109">
        <f t="shared" si="62"/>
        <v>370.49174964254439</v>
      </c>
      <c r="W134" s="188">
        <f t="shared" si="63"/>
        <v>370.49174964254439</v>
      </c>
      <c r="X134" s="217"/>
    </row>
    <row r="135" spans="1:24" x14ac:dyDescent="0.2">
      <c r="A135" s="1">
        <v>126</v>
      </c>
      <c r="B135" s="7">
        <v>17.899999999999999</v>
      </c>
      <c r="E135" s="7">
        <f t="shared" si="48"/>
        <v>20.584999999999997</v>
      </c>
      <c r="F135" s="7">
        <f t="shared" si="49"/>
        <v>20.584999999999997</v>
      </c>
      <c r="G135" s="179">
        <f t="shared" si="50"/>
        <v>0</v>
      </c>
      <c r="H135" s="179">
        <f t="shared" si="51"/>
        <v>0</v>
      </c>
      <c r="I135" s="179">
        <f t="shared" si="52"/>
        <v>0</v>
      </c>
      <c r="J135" s="6">
        <f t="shared" si="53"/>
        <v>2.1151883802304265</v>
      </c>
      <c r="K135" s="129">
        <v>1</v>
      </c>
      <c r="L135" s="6">
        <f t="shared" si="54"/>
        <v>381.42049858969955</v>
      </c>
      <c r="M135" s="191">
        <f t="shared" si="55"/>
        <v>381.42049858969955</v>
      </c>
      <c r="N135" s="131">
        <f t="shared" si="56"/>
        <v>381.42049858969955</v>
      </c>
      <c r="O135" s="191">
        <f t="shared" si="57"/>
        <v>381.42049858969955</v>
      </c>
      <c r="P135" s="191">
        <f t="shared" si="58"/>
        <v>381.42049858969955</v>
      </c>
      <c r="Q135" s="6">
        <f t="shared" si="37"/>
        <v>381.42049858969955</v>
      </c>
      <c r="R135" s="177">
        <f t="shared" si="59"/>
        <v>381.42049858969955</v>
      </c>
      <c r="S135" s="177">
        <f t="shared" si="60"/>
        <v>381.42049858969955</v>
      </c>
      <c r="T135" s="177">
        <f t="shared" si="61"/>
        <v>381.42049858969955</v>
      </c>
      <c r="U135" s="172">
        <f>IF(VLEESKALKOENEN!$H$15="ja",L135-((E135-G135*95%-I135)/E135*L135)*$R$6,L135-((E135-G135*80%-I135)/E135*L135)*$R$6)</f>
        <v>381.42049858969955</v>
      </c>
      <c r="V135" s="109">
        <f t="shared" si="62"/>
        <v>381.42049858969955</v>
      </c>
      <c r="W135" s="188">
        <f t="shared" si="63"/>
        <v>381.42049858969955</v>
      </c>
      <c r="X135" s="217"/>
    </row>
    <row r="136" spans="1:24" x14ac:dyDescent="0.2">
      <c r="A136" s="1">
        <v>127</v>
      </c>
      <c r="B136" s="7">
        <v>18.079999999999998</v>
      </c>
      <c r="E136" s="7">
        <f t="shared" si="48"/>
        <v>20.791999999999998</v>
      </c>
      <c r="F136" s="7">
        <f t="shared" si="49"/>
        <v>20.791999999999998</v>
      </c>
      <c r="G136" s="179">
        <f t="shared" si="50"/>
        <v>0</v>
      </c>
      <c r="H136" s="179">
        <f t="shared" si="51"/>
        <v>0</v>
      </c>
      <c r="I136" s="179">
        <f t="shared" si="52"/>
        <v>0</v>
      </c>
      <c r="J136" s="6">
        <f t="shared" si="53"/>
        <v>2.1544681117507474</v>
      </c>
      <c r="K136" s="129">
        <v>1</v>
      </c>
      <c r="L136" s="6">
        <f t="shared" si="54"/>
        <v>392.41034058060859</v>
      </c>
      <c r="M136" s="191">
        <f t="shared" si="55"/>
        <v>392.41034058060859</v>
      </c>
      <c r="N136" s="131">
        <f t="shared" si="56"/>
        <v>392.41034058060859</v>
      </c>
      <c r="O136" s="191">
        <f t="shared" si="57"/>
        <v>392.41034058060859</v>
      </c>
      <c r="P136" s="191">
        <f t="shared" si="58"/>
        <v>392.41034058060859</v>
      </c>
      <c r="Q136" s="6">
        <f t="shared" si="37"/>
        <v>392.41034058060859</v>
      </c>
      <c r="R136" s="177">
        <f t="shared" si="59"/>
        <v>392.41034058060859</v>
      </c>
      <c r="S136" s="177">
        <f t="shared" si="60"/>
        <v>392.41034058060859</v>
      </c>
      <c r="T136" s="177">
        <f t="shared" si="61"/>
        <v>392.41034058060859</v>
      </c>
      <c r="U136" s="172">
        <f>IF(VLEESKALKOENEN!$H$15="ja",L136-((E136-G136*95%-I136)/E136*L136)*$R$6,L136-((E136-G136*80%-I136)/E136*L136)*$R$6)</f>
        <v>392.41034058060859</v>
      </c>
      <c r="V136" s="109">
        <f t="shared" si="62"/>
        <v>392.41034058060859</v>
      </c>
      <c r="W136" s="188">
        <f t="shared" si="63"/>
        <v>392.41034058060859</v>
      </c>
      <c r="X136" s="217"/>
    </row>
    <row r="137" spans="1:24" x14ac:dyDescent="0.2">
      <c r="A137" s="1">
        <v>128</v>
      </c>
      <c r="B137" s="7">
        <v>18.260000000000002</v>
      </c>
      <c r="E137" s="7">
        <f t="shared" si="48"/>
        <v>20.998999999999999</v>
      </c>
      <c r="F137" s="7">
        <f t="shared" si="49"/>
        <v>20.998999999999999</v>
      </c>
      <c r="G137" s="179">
        <f t="shared" si="50"/>
        <v>0</v>
      </c>
      <c r="H137" s="179">
        <f t="shared" si="51"/>
        <v>0</v>
      </c>
      <c r="I137" s="179">
        <f t="shared" si="52"/>
        <v>0</v>
      </c>
      <c r="J137" s="6">
        <f t="shared" si="53"/>
        <v>2.194477280574493</v>
      </c>
      <c r="K137" s="129">
        <v>1</v>
      </c>
      <c r="L137" s="6">
        <f t="shared" si="54"/>
        <v>403.67681691350583</v>
      </c>
      <c r="M137" s="191">
        <f t="shared" si="55"/>
        <v>403.67681691350583</v>
      </c>
      <c r="N137" s="131">
        <f t="shared" si="56"/>
        <v>403.67681691350583</v>
      </c>
      <c r="O137" s="191">
        <f t="shared" si="57"/>
        <v>403.67681691350583</v>
      </c>
      <c r="P137" s="191">
        <f t="shared" si="58"/>
        <v>403.67681691350583</v>
      </c>
      <c r="Q137" s="6">
        <f t="shared" si="37"/>
        <v>403.67681691350583</v>
      </c>
      <c r="R137" s="177">
        <f t="shared" si="59"/>
        <v>403.67681691350583</v>
      </c>
      <c r="S137" s="177">
        <f t="shared" si="60"/>
        <v>403.67681691350583</v>
      </c>
      <c r="T137" s="177">
        <f t="shared" si="61"/>
        <v>403.67681691350583</v>
      </c>
      <c r="U137" s="172">
        <f>IF(VLEESKALKOENEN!$H$15="ja",L137-((E137-G137*95%-I137)/E137*L137)*$R$6,L137-((E137-G137*80%-I137)/E137*L137)*$R$6)</f>
        <v>403.67681691350583</v>
      </c>
      <c r="V137" s="109">
        <f t="shared" si="62"/>
        <v>403.67681691350583</v>
      </c>
      <c r="W137" s="188">
        <f t="shared" si="63"/>
        <v>403.67681691350583</v>
      </c>
      <c r="X137" s="217"/>
    </row>
    <row r="138" spans="1:24" x14ac:dyDescent="0.2">
      <c r="A138" s="1">
        <v>129</v>
      </c>
      <c r="B138" s="7">
        <v>18.440000000000001</v>
      </c>
      <c r="E138" s="7">
        <f t="shared" si="48"/>
        <v>21.206</v>
      </c>
      <c r="F138" s="7">
        <f t="shared" si="49"/>
        <v>21.206</v>
      </c>
      <c r="G138" s="179">
        <f t="shared" si="50"/>
        <v>0</v>
      </c>
      <c r="H138" s="179">
        <f t="shared" si="51"/>
        <v>0</v>
      </c>
      <c r="I138" s="179">
        <f t="shared" si="52"/>
        <v>0</v>
      </c>
      <c r="J138" s="6">
        <f t="shared" si="53"/>
        <v>2.2352294325880275</v>
      </c>
      <c r="K138" s="129">
        <v>1</v>
      </c>
      <c r="L138" s="6">
        <f t="shared" si="54"/>
        <v>415.22641204376458</v>
      </c>
      <c r="M138" s="191">
        <f t="shared" si="55"/>
        <v>415.22641204376458</v>
      </c>
      <c r="N138" s="131">
        <f t="shared" si="56"/>
        <v>415.22641204376458</v>
      </c>
      <c r="O138" s="191">
        <f t="shared" si="57"/>
        <v>415.22641204376458</v>
      </c>
      <c r="P138" s="191">
        <f t="shared" si="58"/>
        <v>415.22641204376458</v>
      </c>
      <c r="Q138" s="6">
        <f t="shared" si="37"/>
        <v>415.22641204376458</v>
      </c>
      <c r="R138" s="177">
        <f t="shared" si="59"/>
        <v>415.22641204376458</v>
      </c>
      <c r="S138" s="177">
        <f t="shared" si="60"/>
        <v>415.22641204376458</v>
      </c>
      <c r="T138" s="177">
        <f t="shared" si="61"/>
        <v>415.22641204376458</v>
      </c>
      <c r="U138" s="172">
        <f>IF(VLEESKALKOENEN!$H$15="ja",L138-((E138-G138*95%-I138)/E138*L138)*$R$6,L138-((E138-G138*80%-I138)/E138*L138)*$R$6)</f>
        <v>415.22641204376458</v>
      </c>
      <c r="V138" s="109">
        <f t="shared" si="62"/>
        <v>415.22641204376458</v>
      </c>
      <c r="W138" s="188">
        <f t="shared" si="63"/>
        <v>415.22641204376458</v>
      </c>
      <c r="X138" s="217"/>
    </row>
    <row r="139" spans="1:24" x14ac:dyDescent="0.2">
      <c r="A139" s="1">
        <v>130</v>
      </c>
      <c r="B139" s="7">
        <v>18.62</v>
      </c>
      <c r="E139" s="7">
        <f t="shared" si="48"/>
        <v>21.413</v>
      </c>
      <c r="F139" s="7">
        <f t="shared" si="49"/>
        <v>21.413</v>
      </c>
      <c r="G139" s="179">
        <f t="shared" si="50"/>
        <v>0</v>
      </c>
      <c r="H139" s="179">
        <f t="shared" si="51"/>
        <v>0</v>
      </c>
      <c r="I139" s="179">
        <f t="shared" si="52"/>
        <v>0</v>
      </c>
      <c r="J139" s="6">
        <f t="shared" si="53"/>
        <v>2.2767383652292006</v>
      </c>
      <c r="K139" s="129">
        <v>1</v>
      </c>
      <c r="L139" s="6">
        <f t="shared" si="54"/>
        <v>427.06575586435912</v>
      </c>
      <c r="M139" s="191">
        <f t="shared" si="55"/>
        <v>427.06575586435912</v>
      </c>
      <c r="N139" s="131">
        <f t="shared" si="56"/>
        <v>427.06575586435912</v>
      </c>
      <c r="O139" s="191">
        <f t="shared" si="57"/>
        <v>427.06575586435912</v>
      </c>
      <c r="P139" s="191">
        <f t="shared" si="58"/>
        <v>427.06575586435912</v>
      </c>
      <c r="Q139" s="6">
        <f t="shared" ref="Q139:Q156" si="64">(((($J139)-$J$3)/1000*$F139*24*365*$K139))+(((($J139)-$J$3)/1000*$G139*24*365*$K139)*(1-95%))</f>
        <v>427.06575586435912</v>
      </c>
      <c r="R139" s="177">
        <f t="shared" si="59"/>
        <v>427.06575586435912</v>
      </c>
      <c r="S139" s="177">
        <f t="shared" si="60"/>
        <v>427.06575586435912</v>
      </c>
      <c r="T139" s="177">
        <f t="shared" si="61"/>
        <v>427.06575586435912</v>
      </c>
      <c r="U139" s="172">
        <f>IF(VLEESKALKOENEN!$H$15="ja",L139-((E139-G139*95%-I139)/E139*L139)*$R$6,L139-((E139-G139*80%-I139)/E139*L139)*$R$6)</f>
        <v>427.06575586435912</v>
      </c>
      <c r="V139" s="109">
        <f t="shared" si="62"/>
        <v>427.06575586435912</v>
      </c>
      <c r="W139" s="188">
        <f t="shared" si="63"/>
        <v>427.06575586435912</v>
      </c>
      <c r="X139" s="217"/>
    </row>
    <row r="140" spans="1:24" x14ac:dyDescent="0.2">
      <c r="A140" s="1">
        <v>131</v>
      </c>
      <c r="B140" s="7">
        <v>18.8</v>
      </c>
      <c r="E140" s="7">
        <f t="shared" si="48"/>
        <v>21.619999999999997</v>
      </c>
      <c r="F140" s="7">
        <f t="shared" si="49"/>
        <v>21.619999999999997</v>
      </c>
      <c r="G140" s="179">
        <f t="shared" si="50"/>
        <v>0</v>
      </c>
      <c r="H140" s="179">
        <f t="shared" si="51"/>
        <v>0</v>
      </c>
      <c r="I140" s="179">
        <f t="shared" si="52"/>
        <v>0</v>
      </c>
      <c r="J140" s="6">
        <f t="shared" si="53"/>
        <v>2.3190181321587433</v>
      </c>
      <c r="K140" s="129">
        <v>1</v>
      </c>
      <c r="L140" s="6">
        <f t="shared" si="54"/>
        <v>439.20162687130284</v>
      </c>
      <c r="M140" s="191">
        <f t="shared" si="55"/>
        <v>439.20162687130284</v>
      </c>
      <c r="N140" s="131">
        <f t="shared" si="56"/>
        <v>439.20162687130284</v>
      </c>
      <c r="O140" s="191">
        <f t="shared" si="57"/>
        <v>439.20162687130284</v>
      </c>
      <c r="P140" s="191">
        <f t="shared" si="58"/>
        <v>439.20162687130284</v>
      </c>
      <c r="Q140" s="6">
        <f t="shared" si="64"/>
        <v>439.20162687130284</v>
      </c>
      <c r="R140" s="177">
        <f t="shared" si="59"/>
        <v>439.20162687130284</v>
      </c>
      <c r="S140" s="177">
        <f t="shared" si="60"/>
        <v>439.20162687130284</v>
      </c>
      <c r="T140" s="177">
        <f t="shared" si="61"/>
        <v>439.20162687130284</v>
      </c>
      <c r="U140" s="172">
        <f>IF(VLEESKALKOENEN!$H$15="ja",L140-((E140-G140*95%-I140)/E140*L140)*$R$6,L140-((E140-G140*80%-I140)/E140*L140)*$R$6)</f>
        <v>439.20162687130284</v>
      </c>
      <c r="V140" s="109">
        <f t="shared" si="62"/>
        <v>439.20162687130284</v>
      </c>
      <c r="W140" s="188">
        <f t="shared" si="63"/>
        <v>439.20162687130284</v>
      </c>
      <c r="X140" s="217"/>
    </row>
    <row r="141" spans="1:24" x14ac:dyDescent="0.2">
      <c r="A141" s="1">
        <v>132</v>
      </c>
      <c r="B141" s="7">
        <v>18.98</v>
      </c>
      <c r="E141" s="7">
        <f t="shared" si="48"/>
        <v>21.826999999999998</v>
      </c>
      <c r="F141" s="7">
        <f t="shared" si="49"/>
        <v>21.826999999999998</v>
      </c>
      <c r="G141" s="179">
        <f t="shared" si="50"/>
        <v>0</v>
      </c>
      <c r="H141" s="179">
        <f t="shared" si="51"/>
        <v>0</v>
      </c>
      <c r="I141" s="179">
        <f t="shared" si="52"/>
        <v>0</v>
      </c>
      <c r="J141" s="6">
        <f t="shared" si="53"/>
        <v>2.3620830480184019</v>
      </c>
      <c r="K141" s="129">
        <v>1</v>
      </c>
      <c r="L141" s="6">
        <f t="shared" si="54"/>
        <v>451.64095539649543</v>
      </c>
      <c r="M141" s="191">
        <f t="shared" si="55"/>
        <v>451.64095539649543</v>
      </c>
      <c r="N141" s="131">
        <f t="shared" si="56"/>
        <v>451.64095539649543</v>
      </c>
      <c r="O141" s="191">
        <f t="shared" si="57"/>
        <v>451.64095539649543</v>
      </c>
      <c r="P141" s="191">
        <f t="shared" si="58"/>
        <v>451.64095539649543</v>
      </c>
      <c r="Q141" s="6">
        <f t="shared" si="64"/>
        <v>451.64095539649543</v>
      </c>
      <c r="R141" s="177">
        <f t="shared" si="59"/>
        <v>451.64095539649543</v>
      </c>
      <c r="S141" s="177">
        <f t="shared" si="60"/>
        <v>451.64095539649543</v>
      </c>
      <c r="T141" s="177">
        <f t="shared" si="61"/>
        <v>451.64095539649543</v>
      </c>
      <c r="U141" s="172">
        <f>IF(VLEESKALKOENEN!$H$15="ja",L141-((E141-G141*95%-I141)/E141*L141)*$R$6,L141-((E141-G141*80%-I141)/E141*L141)*$R$6)</f>
        <v>451.64095539649543</v>
      </c>
      <c r="V141" s="109">
        <f t="shared" si="62"/>
        <v>451.64095539649543</v>
      </c>
      <c r="W141" s="188">
        <f t="shared" si="63"/>
        <v>451.64095539649543</v>
      </c>
      <c r="X141" s="217"/>
    </row>
    <row r="142" spans="1:24" x14ac:dyDescent="0.2">
      <c r="A142" s="1">
        <v>133</v>
      </c>
      <c r="B142" s="7">
        <v>19.16</v>
      </c>
      <c r="E142" s="7">
        <f t="shared" si="48"/>
        <v>22.033999999999999</v>
      </c>
      <c r="F142" s="7">
        <f t="shared" si="49"/>
        <v>22.033999999999999</v>
      </c>
      <c r="G142" s="179">
        <f t="shared" si="50"/>
        <v>0</v>
      </c>
      <c r="H142" s="179">
        <f t="shared" si="51"/>
        <v>0</v>
      </c>
      <c r="I142" s="179">
        <f t="shared" si="52"/>
        <v>0</v>
      </c>
      <c r="J142" s="6">
        <f t="shared" si="53"/>
        <v>2.4059476932774495</v>
      </c>
      <c r="K142" s="129">
        <v>1</v>
      </c>
      <c r="L142" s="6">
        <f t="shared" si="54"/>
        <v>464.39082690939586</v>
      </c>
      <c r="M142" s="191">
        <f t="shared" si="55"/>
        <v>464.39082690939586</v>
      </c>
      <c r="N142" s="131">
        <f t="shared" si="56"/>
        <v>464.39082690939586</v>
      </c>
      <c r="O142" s="191">
        <f t="shared" si="57"/>
        <v>464.39082690939586</v>
      </c>
      <c r="P142" s="191">
        <f t="shared" si="58"/>
        <v>464.39082690939586</v>
      </c>
      <c r="Q142" s="6">
        <f t="shared" si="64"/>
        <v>464.39082690939586</v>
      </c>
      <c r="R142" s="177">
        <f t="shared" si="59"/>
        <v>464.39082690939586</v>
      </c>
      <c r="S142" s="177">
        <f t="shared" si="60"/>
        <v>464.39082690939586</v>
      </c>
      <c r="T142" s="177">
        <f t="shared" si="61"/>
        <v>464.39082690939586</v>
      </c>
      <c r="U142" s="172">
        <f>IF(VLEESKALKOENEN!$H$15="ja",L142-((E142-G142*95%-I142)/E142*L142)*$R$6,L142-((E142-G142*80%-I142)/E142*L142)*$R$6)</f>
        <v>464.39082690939586</v>
      </c>
      <c r="V142" s="109">
        <f t="shared" si="62"/>
        <v>464.39082690939586</v>
      </c>
      <c r="W142" s="188">
        <f t="shared" si="63"/>
        <v>464.39082690939586</v>
      </c>
      <c r="X142" s="217"/>
    </row>
    <row r="143" spans="1:24" x14ac:dyDescent="0.2">
      <c r="A143" s="1">
        <v>134</v>
      </c>
      <c r="B143" s="7">
        <v>19.329999999999998</v>
      </c>
      <c r="E143" s="7">
        <f t="shared" si="48"/>
        <v>22.229499999999998</v>
      </c>
      <c r="F143" s="7">
        <f t="shared" si="49"/>
        <v>22.229499999999998</v>
      </c>
      <c r="G143" s="179">
        <f t="shared" si="50"/>
        <v>0</v>
      </c>
      <c r="H143" s="179">
        <f t="shared" si="51"/>
        <v>0</v>
      </c>
      <c r="I143" s="179">
        <f t="shared" si="52"/>
        <v>0</v>
      </c>
      <c r="J143" s="6">
        <f t="shared" si="53"/>
        <v>2.450626919169177</v>
      </c>
      <c r="K143" s="129">
        <v>1</v>
      </c>
      <c r="L143" s="6">
        <f t="shared" si="54"/>
        <v>477.21160923311982</v>
      </c>
      <c r="M143" s="191">
        <f t="shared" si="55"/>
        <v>477.21160923311982</v>
      </c>
      <c r="N143" s="131">
        <f t="shared" si="56"/>
        <v>477.21160923311982</v>
      </c>
      <c r="O143" s="191">
        <f t="shared" si="57"/>
        <v>477.21160923311982</v>
      </c>
      <c r="P143" s="191">
        <f t="shared" si="58"/>
        <v>477.21160923311982</v>
      </c>
      <c r="Q143" s="6">
        <f t="shared" si="64"/>
        <v>477.21160923311982</v>
      </c>
      <c r="R143" s="177">
        <f t="shared" si="59"/>
        <v>477.21160923311982</v>
      </c>
      <c r="S143" s="177">
        <f t="shared" si="60"/>
        <v>477.21160923311982</v>
      </c>
      <c r="T143" s="177">
        <f t="shared" si="61"/>
        <v>477.21160923311982</v>
      </c>
      <c r="U143" s="172">
        <f>IF(VLEESKALKOENEN!$H$15="ja",L143-((E143-G143*95%-I143)/E143*L143)*$R$6,L143-((E143-G143*80%-I143)/E143*L143)*$R$6)</f>
        <v>477.21160923311982</v>
      </c>
      <c r="V143" s="109">
        <f t="shared" si="62"/>
        <v>477.21160923311982</v>
      </c>
      <c r="W143" s="188">
        <f t="shared" si="63"/>
        <v>477.21160923311982</v>
      </c>
      <c r="X143" s="217"/>
    </row>
    <row r="144" spans="1:24" x14ac:dyDescent="0.2">
      <c r="A144" s="1">
        <v>135</v>
      </c>
      <c r="B144" s="7">
        <v>19.510000000000002</v>
      </c>
      <c r="E144" s="7">
        <f t="shared" si="48"/>
        <v>22.436499999999999</v>
      </c>
      <c r="F144" s="7">
        <f t="shared" si="49"/>
        <v>22.436499999999999</v>
      </c>
      <c r="G144" s="179">
        <f t="shared" si="50"/>
        <v>0</v>
      </c>
      <c r="H144" s="179">
        <f t="shared" si="51"/>
        <v>0</v>
      </c>
      <c r="I144" s="179">
        <f t="shared" si="52"/>
        <v>0</v>
      </c>
      <c r="J144" s="6">
        <f t="shared" si="53"/>
        <v>2.4961358527190827</v>
      </c>
      <c r="K144" s="129">
        <v>1</v>
      </c>
      <c r="L144" s="6">
        <f t="shared" si="54"/>
        <v>490.59987604149768</v>
      </c>
      <c r="M144" s="191">
        <f t="shared" si="55"/>
        <v>490.59987604149768</v>
      </c>
      <c r="N144" s="131">
        <f t="shared" si="56"/>
        <v>490.59987604149768</v>
      </c>
      <c r="O144" s="191">
        <f t="shared" si="57"/>
        <v>490.59987604149768</v>
      </c>
      <c r="P144" s="191">
        <f t="shared" si="58"/>
        <v>490.59987604149768</v>
      </c>
      <c r="Q144" s="6">
        <f t="shared" si="64"/>
        <v>490.59987604149768</v>
      </c>
      <c r="R144" s="177">
        <f t="shared" si="59"/>
        <v>490.59987604149768</v>
      </c>
      <c r="S144" s="177">
        <f t="shared" si="60"/>
        <v>490.59987604149768</v>
      </c>
      <c r="T144" s="177">
        <f t="shared" si="61"/>
        <v>490.59987604149768</v>
      </c>
      <c r="U144" s="172">
        <f>IF(VLEESKALKOENEN!$H$15="ja",L144-((E144-G144*95%-I144)/E144*L144)*$R$6,L144-((E144-G144*80%-I144)/E144*L144)*$R$6)</f>
        <v>490.59987604149768</v>
      </c>
      <c r="V144" s="109">
        <f t="shared" si="62"/>
        <v>490.59987604149768</v>
      </c>
      <c r="W144" s="188">
        <f t="shared" si="63"/>
        <v>490.59987604149768</v>
      </c>
      <c r="X144" s="217"/>
    </row>
    <row r="145" spans="1:24" x14ac:dyDescent="0.2">
      <c r="A145" s="1">
        <v>136</v>
      </c>
      <c r="B145" s="7">
        <v>19.690000000000001</v>
      </c>
      <c r="E145" s="7">
        <f t="shared" si="48"/>
        <v>22.6435</v>
      </c>
      <c r="F145" s="7">
        <f t="shared" si="49"/>
        <v>22.6435</v>
      </c>
      <c r="G145" s="179">
        <f t="shared" si="50"/>
        <v>0</v>
      </c>
      <c r="H145" s="179">
        <f t="shared" si="51"/>
        <v>0</v>
      </c>
      <c r="I145" s="179">
        <f t="shared" si="52"/>
        <v>0</v>
      </c>
      <c r="J145" s="6">
        <f t="shared" si="53"/>
        <v>2.5424899018664084</v>
      </c>
      <c r="K145" s="129">
        <v>1</v>
      </c>
      <c r="L145" s="6">
        <f t="shared" si="54"/>
        <v>504.32082201390932</v>
      </c>
      <c r="M145" s="191">
        <f t="shared" si="55"/>
        <v>504.32082201390932</v>
      </c>
      <c r="N145" s="131">
        <f t="shared" si="56"/>
        <v>504.32082201390932</v>
      </c>
      <c r="O145" s="191">
        <f t="shared" si="57"/>
        <v>504.32082201390932</v>
      </c>
      <c r="P145" s="191">
        <f t="shared" si="58"/>
        <v>504.32082201390932</v>
      </c>
      <c r="Q145" s="6">
        <f t="shared" si="64"/>
        <v>504.32082201390932</v>
      </c>
      <c r="R145" s="177">
        <f t="shared" si="59"/>
        <v>504.32082201390932</v>
      </c>
      <c r="S145" s="177">
        <f t="shared" si="60"/>
        <v>504.32082201390932</v>
      </c>
      <c r="T145" s="177">
        <f t="shared" si="61"/>
        <v>504.32082201390932</v>
      </c>
      <c r="U145" s="172">
        <f>IF(VLEESKALKOENEN!$H$15="ja",L145-((E145-G145*95%-I145)/E145*L145)*$R$6,L145-((E145-G145*80%-I145)/E145*L145)*$R$6)</f>
        <v>504.32082201390932</v>
      </c>
      <c r="V145" s="109">
        <f t="shared" si="62"/>
        <v>504.32082201390932</v>
      </c>
      <c r="W145" s="188">
        <f t="shared" si="63"/>
        <v>504.32082201390932</v>
      </c>
      <c r="X145" s="217"/>
    </row>
    <row r="146" spans="1:24" x14ac:dyDescent="0.2">
      <c r="A146" s="1">
        <v>137</v>
      </c>
      <c r="B146" s="7">
        <v>19.86</v>
      </c>
      <c r="E146" s="7">
        <f t="shared" si="48"/>
        <v>22.838999999999999</v>
      </c>
      <c r="F146" s="7">
        <f t="shared" si="49"/>
        <v>22.838999999999999</v>
      </c>
      <c r="G146" s="179">
        <f t="shared" si="50"/>
        <v>0</v>
      </c>
      <c r="H146" s="179">
        <f t="shared" si="51"/>
        <v>0</v>
      </c>
      <c r="I146" s="179">
        <f t="shared" si="52"/>
        <v>0</v>
      </c>
      <c r="J146" s="6">
        <f t="shared" si="53"/>
        <v>2.5897047606808092</v>
      </c>
      <c r="K146" s="129">
        <v>1</v>
      </c>
      <c r="L146" s="6">
        <f t="shared" si="54"/>
        <v>518.12129917569564</v>
      </c>
      <c r="M146" s="191">
        <f t="shared" si="55"/>
        <v>518.12129917569564</v>
      </c>
      <c r="N146" s="131">
        <f t="shared" si="56"/>
        <v>518.12129917569564</v>
      </c>
      <c r="O146" s="191">
        <f t="shared" si="57"/>
        <v>518.12129917569564</v>
      </c>
      <c r="P146" s="191">
        <f t="shared" si="58"/>
        <v>518.12129917569564</v>
      </c>
      <c r="Q146" s="6">
        <f t="shared" si="64"/>
        <v>518.12129917569564</v>
      </c>
      <c r="R146" s="177">
        <f t="shared" si="59"/>
        <v>518.12129917569564</v>
      </c>
      <c r="S146" s="177">
        <f t="shared" si="60"/>
        <v>518.12129917569564</v>
      </c>
      <c r="T146" s="177">
        <f t="shared" si="61"/>
        <v>518.12129917569564</v>
      </c>
      <c r="U146" s="172">
        <f>IF(VLEESKALKOENEN!$H$15="ja",L146-((E146-G146*95%-I146)/E146*L146)*$R$6,L146-((E146-G146*80%-I146)/E146*L146)*$R$6)</f>
        <v>518.12129917569564</v>
      </c>
      <c r="V146" s="109">
        <f t="shared" si="62"/>
        <v>518.12129917569564</v>
      </c>
      <c r="W146" s="188">
        <f t="shared" si="63"/>
        <v>518.12129917569564</v>
      </c>
      <c r="X146" s="217"/>
    </row>
    <row r="147" spans="1:24" x14ac:dyDescent="0.2">
      <c r="A147" s="1">
        <v>138</v>
      </c>
      <c r="B147" s="7">
        <v>20.04</v>
      </c>
      <c r="E147" s="7">
        <f t="shared" si="48"/>
        <v>23.045999999999996</v>
      </c>
      <c r="F147" s="7">
        <f t="shared" si="49"/>
        <v>23.045999999999996</v>
      </c>
      <c r="G147" s="179">
        <f t="shared" si="50"/>
        <v>0</v>
      </c>
      <c r="H147" s="179">
        <f t="shared" si="51"/>
        <v>0</v>
      </c>
      <c r="I147" s="179">
        <f t="shared" si="52"/>
        <v>0</v>
      </c>
      <c r="J147" s="6">
        <f t="shared" si="53"/>
        <v>2.6377964146758832</v>
      </c>
      <c r="K147" s="129">
        <v>1</v>
      </c>
      <c r="L147" s="6">
        <f t="shared" si="54"/>
        <v>532.52614807215457</v>
      </c>
      <c r="M147" s="191">
        <f t="shared" si="55"/>
        <v>532.52614807215457</v>
      </c>
      <c r="N147" s="131">
        <f t="shared" si="56"/>
        <v>532.52614807215457</v>
      </c>
      <c r="O147" s="191">
        <f t="shared" si="57"/>
        <v>532.52614807215457</v>
      </c>
      <c r="P147" s="191">
        <f t="shared" si="58"/>
        <v>532.52614807215457</v>
      </c>
      <c r="Q147" s="6">
        <f t="shared" si="64"/>
        <v>532.52614807215457</v>
      </c>
      <c r="R147" s="177">
        <f t="shared" si="59"/>
        <v>532.52614807215457</v>
      </c>
      <c r="S147" s="177">
        <f t="shared" si="60"/>
        <v>532.52614807215457</v>
      </c>
      <c r="T147" s="177">
        <f t="shared" si="61"/>
        <v>532.52614807215457</v>
      </c>
      <c r="U147" s="172">
        <f>IF(VLEESKALKOENEN!$H$15="ja",L147-((E147-G147*95%-I147)/E147*L147)*$R$6,L147-((E147-G147*80%-I147)/E147*L147)*$R$6)</f>
        <v>532.52614807215457</v>
      </c>
      <c r="V147" s="109">
        <f t="shared" si="62"/>
        <v>532.52614807215457</v>
      </c>
      <c r="W147" s="188">
        <f t="shared" si="63"/>
        <v>532.52614807215457</v>
      </c>
      <c r="X147" s="217"/>
    </row>
    <row r="148" spans="1:24" x14ac:dyDescent="0.2">
      <c r="A148" s="1">
        <v>139</v>
      </c>
      <c r="B148" s="7">
        <v>20.22</v>
      </c>
      <c r="E148" s="7">
        <f t="shared" si="48"/>
        <v>23.252999999999997</v>
      </c>
      <c r="F148" s="7">
        <f t="shared" si="49"/>
        <v>23.252999999999997</v>
      </c>
      <c r="G148" s="179">
        <f t="shared" si="50"/>
        <v>0</v>
      </c>
      <c r="H148" s="179">
        <f t="shared" si="51"/>
        <v>0</v>
      </c>
      <c r="I148" s="179">
        <f t="shared" si="52"/>
        <v>0</v>
      </c>
      <c r="J148" s="6">
        <f t="shared" si="53"/>
        <v>2.6867811462213758</v>
      </c>
      <c r="K148" s="129">
        <v>1</v>
      </c>
      <c r="L148" s="6">
        <f t="shared" si="54"/>
        <v>547.28732465943017</v>
      </c>
      <c r="M148" s="191">
        <f t="shared" si="55"/>
        <v>547.28732465943017</v>
      </c>
      <c r="N148" s="131">
        <f t="shared" si="56"/>
        <v>547.28732465943017</v>
      </c>
      <c r="O148" s="191">
        <f t="shared" si="57"/>
        <v>547.28732465943017</v>
      </c>
      <c r="P148" s="191">
        <f t="shared" si="58"/>
        <v>547.28732465943017</v>
      </c>
      <c r="Q148" s="6">
        <f t="shared" si="64"/>
        <v>547.28732465943017</v>
      </c>
      <c r="R148" s="177">
        <f t="shared" si="59"/>
        <v>547.28732465943017</v>
      </c>
      <c r="S148" s="177">
        <f t="shared" si="60"/>
        <v>547.28732465943017</v>
      </c>
      <c r="T148" s="177">
        <f t="shared" si="61"/>
        <v>547.28732465943017</v>
      </c>
      <c r="U148" s="172">
        <f>IF(VLEESKALKOENEN!$H$15="ja",L148-((E148-G148*95%-I148)/E148*L148)*$R$6,L148-((E148-G148*80%-I148)/E148*L148)*$R$6)</f>
        <v>547.28732465943017</v>
      </c>
      <c r="V148" s="109">
        <f t="shared" si="62"/>
        <v>547.28732465943017</v>
      </c>
      <c r="W148" s="188">
        <f t="shared" si="63"/>
        <v>547.28732465943017</v>
      </c>
      <c r="X148" s="217"/>
    </row>
    <row r="149" spans="1:24" x14ac:dyDescent="0.2">
      <c r="A149" s="1">
        <v>140</v>
      </c>
      <c r="B149" s="7">
        <v>20.39</v>
      </c>
      <c r="E149" s="7">
        <f t="shared" si="48"/>
        <v>23.448499999999999</v>
      </c>
      <c r="F149" s="7">
        <f t="shared" si="49"/>
        <v>23.448499999999999</v>
      </c>
      <c r="G149" s="179">
        <f t="shared" si="50"/>
        <v>0</v>
      </c>
      <c r="H149" s="179">
        <f t="shared" si="51"/>
        <v>0</v>
      </c>
      <c r="I149" s="179">
        <f t="shared" si="52"/>
        <v>0</v>
      </c>
      <c r="J149" s="6">
        <f t="shared" si="53"/>
        <v>2.7366755400559057</v>
      </c>
      <c r="K149" s="129">
        <v>1</v>
      </c>
      <c r="L149" s="6">
        <f t="shared" si="54"/>
        <v>562.13740287276801</v>
      </c>
      <c r="M149" s="191">
        <f t="shared" si="55"/>
        <v>562.13740287276801</v>
      </c>
      <c r="N149" s="131">
        <f t="shared" si="56"/>
        <v>562.13740287276801</v>
      </c>
      <c r="O149" s="191">
        <f t="shared" si="57"/>
        <v>562.13740287276801</v>
      </c>
      <c r="P149" s="191">
        <f t="shared" si="58"/>
        <v>562.13740287276801</v>
      </c>
      <c r="Q149" s="6">
        <f t="shared" si="64"/>
        <v>562.13740287276801</v>
      </c>
      <c r="R149" s="177">
        <f t="shared" si="59"/>
        <v>562.13740287276801</v>
      </c>
      <c r="S149" s="177">
        <f t="shared" si="60"/>
        <v>562.13740287276801</v>
      </c>
      <c r="T149" s="177">
        <f t="shared" si="61"/>
        <v>562.13740287276801</v>
      </c>
      <c r="U149" s="172">
        <f>IF(VLEESKALKOENEN!$H$15="ja",L149-((E149-G149*95%-I149)/E149*L149)*$R$6,L149-((E149-G149*80%-I149)/E149*L149)*$R$6)</f>
        <v>562.13740287276801</v>
      </c>
      <c r="V149" s="109">
        <f t="shared" si="62"/>
        <v>562.13740287276801</v>
      </c>
      <c r="W149" s="188">
        <f t="shared" si="63"/>
        <v>562.13740287276801</v>
      </c>
      <c r="X149" s="217"/>
    </row>
    <row r="150" spans="1:24" x14ac:dyDescent="0.2">
      <c r="A150" s="1">
        <v>141</v>
      </c>
      <c r="B150" s="7">
        <v>20.57</v>
      </c>
      <c r="E150" s="7">
        <f t="shared" si="48"/>
        <v>23.6555</v>
      </c>
      <c r="F150" s="7">
        <f t="shared" si="49"/>
        <v>23.6555</v>
      </c>
      <c r="G150" s="179">
        <f t="shared" si="50"/>
        <v>0</v>
      </c>
      <c r="H150" s="179">
        <f t="shared" si="51"/>
        <v>0</v>
      </c>
      <c r="I150" s="179">
        <f t="shared" si="52"/>
        <v>0</v>
      </c>
      <c r="J150" s="6">
        <f t="shared" si="53"/>
        <v>2.7874964889020388</v>
      </c>
      <c r="K150" s="129">
        <v>1</v>
      </c>
      <c r="L150" s="6">
        <f t="shared" si="54"/>
        <v>577.63109917262636</v>
      </c>
      <c r="M150" s="191">
        <f t="shared" si="55"/>
        <v>577.63109917262636</v>
      </c>
      <c r="N150" s="131">
        <f t="shared" si="56"/>
        <v>577.63109917262636</v>
      </c>
      <c r="O150" s="191">
        <f t="shared" si="57"/>
        <v>577.63109917262636</v>
      </c>
      <c r="P150" s="191">
        <f t="shared" si="58"/>
        <v>577.63109917262636</v>
      </c>
      <c r="Q150" s="6">
        <f t="shared" si="64"/>
        <v>577.63109917262636</v>
      </c>
      <c r="R150" s="177">
        <f t="shared" si="59"/>
        <v>577.63109917262636</v>
      </c>
      <c r="S150" s="177">
        <f t="shared" si="60"/>
        <v>577.63109917262636</v>
      </c>
      <c r="T150" s="177">
        <f t="shared" si="61"/>
        <v>577.63109917262636</v>
      </c>
      <c r="U150" s="172">
        <f>IF(VLEESKALKOENEN!$H$15="ja",L150-((E150-G150*95%-I150)/E150*L150)*$R$6,L150-((E150-G150*80%-I150)/E150*L150)*$R$6)</f>
        <v>577.63109917262636</v>
      </c>
      <c r="V150" s="109">
        <f t="shared" si="62"/>
        <v>577.63109917262636</v>
      </c>
      <c r="W150" s="188">
        <f t="shared" si="63"/>
        <v>577.63109917262636</v>
      </c>
      <c r="X150" s="217"/>
    </row>
    <row r="151" spans="1:24" x14ac:dyDescent="0.2">
      <c r="A151" s="1">
        <v>142</v>
      </c>
      <c r="B151" s="7">
        <v>20.74</v>
      </c>
      <c r="E151" s="7">
        <f t="shared" si="48"/>
        <v>23.850999999999996</v>
      </c>
      <c r="F151" s="7">
        <f t="shared" si="49"/>
        <v>23.850999999999996</v>
      </c>
      <c r="G151" s="179">
        <f t="shared" si="50"/>
        <v>0</v>
      </c>
      <c r="H151" s="179">
        <f t="shared" si="51"/>
        <v>0</v>
      </c>
      <c r="I151" s="179">
        <f t="shared" si="52"/>
        <v>0</v>
      </c>
      <c r="J151" s="6">
        <f t="shared" si="53"/>
        <v>2.8392611991856609</v>
      </c>
      <c r="K151" s="129">
        <v>1</v>
      </c>
      <c r="L151" s="6">
        <f t="shared" si="54"/>
        <v>593.22035722916826</v>
      </c>
      <c r="M151" s="191">
        <f t="shared" si="55"/>
        <v>593.22035722916826</v>
      </c>
      <c r="N151" s="131">
        <f t="shared" si="56"/>
        <v>593.22035722916826</v>
      </c>
      <c r="O151" s="191">
        <f t="shared" si="57"/>
        <v>593.22035722916826</v>
      </c>
      <c r="P151" s="191">
        <f t="shared" si="58"/>
        <v>593.22035722916826</v>
      </c>
      <c r="Q151" s="6">
        <f t="shared" si="64"/>
        <v>593.22035722916826</v>
      </c>
      <c r="R151" s="177">
        <f t="shared" si="59"/>
        <v>593.22035722916826</v>
      </c>
      <c r="S151" s="177">
        <f t="shared" si="60"/>
        <v>593.22035722916826</v>
      </c>
      <c r="T151" s="177">
        <f t="shared" si="61"/>
        <v>593.22035722916826</v>
      </c>
      <c r="U151" s="172">
        <f>IF(VLEESKALKOENEN!$H$15="ja",L151-((E151-G151*95%-I151)/E151*L151)*$R$6,L151-((E151-G151*80%-I151)/E151*L151)*$R$6)</f>
        <v>593.22035722916826</v>
      </c>
      <c r="V151" s="109">
        <f t="shared" si="62"/>
        <v>593.22035722916826</v>
      </c>
      <c r="W151" s="188">
        <f t="shared" si="63"/>
        <v>593.22035722916826</v>
      </c>
      <c r="X151" s="217"/>
    </row>
    <row r="152" spans="1:24" x14ac:dyDescent="0.2">
      <c r="A152" s="1">
        <v>143</v>
      </c>
      <c r="B152" s="7">
        <v>20.91</v>
      </c>
      <c r="E152" s="7">
        <f t="shared" si="48"/>
        <v>24.046499999999998</v>
      </c>
      <c r="F152" s="7">
        <f t="shared" si="49"/>
        <v>24.046499999999998</v>
      </c>
      <c r="G152" s="179">
        <f t="shared" si="50"/>
        <v>0</v>
      </c>
      <c r="H152" s="179">
        <f t="shared" si="51"/>
        <v>0</v>
      </c>
      <c r="I152" s="179">
        <f t="shared" si="52"/>
        <v>0</v>
      </c>
      <c r="J152" s="6">
        <f t="shared" si="53"/>
        <v>2.8919871968615403</v>
      </c>
      <c r="K152" s="129">
        <v>1</v>
      </c>
      <c r="L152" s="6">
        <f t="shared" si="54"/>
        <v>609.18941033293981</v>
      </c>
      <c r="M152" s="191">
        <f t="shared" si="55"/>
        <v>609.18941033293981</v>
      </c>
      <c r="N152" s="131">
        <f t="shared" si="56"/>
        <v>609.18941033293981</v>
      </c>
      <c r="O152" s="191">
        <f t="shared" si="57"/>
        <v>609.18941033293981</v>
      </c>
      <c r="P152" s="191">
        <f t="shared" si="58"/>
        <v>609.18941033293981</v>
      </c>
      <c r="Q152" s="6">
        <f t="shared" si="64"/>
        <v>609.18941033293981</v>
      </c>
      <c r="R152" s="177">
        <f t="shared" si="59"/>
        <v>609.18941033293981</v>
      </c>
      <c r="S152" s="177">
        <f t="shared" si="60"/>
        <v>609.18941033293981</v>
      </c>
      <c r="T152" s="177">
        <f t="shared" si="61"/>
        <v>609.18941033293981</v>
      </c>
      <c r="U152" s="172">
        <f>IF(VLEESKALKOENEN!$H$15="ja",L152-((E152-G152*95%-I152)/E152*L152)*$R$6,L152-((E152-G152*80%-I152)/E152*L152)*$R$6)</f>
        <v>609.18941033293981</v>
      </c>
      <c r="V152" s="109">
        <f t="shared" si="62"/>
        <v>609.18941033293981</v>
      </c>
      <c r="W152" s="188">
        <f t="shared" si="63"/>
        <v>609.18941033293981</v>
      </c>
      <c r="X152" s="217"/>
    </row>
    <row r="153" spans="1:24" x14ac:dyDescent="0.2">
      <c r="A153" s="1">
        <v>144</v>
      </c>
      <c r="B153" s="7">
        <v>21.09</v>
      </c>
      <c r="E153" s="7">
        <f t="shared" si="48"/>
        <v>24.253499999999999</v>
      </c>
      <c r="F153" s="7">
        <f t="shared" si="49"/>
        <v>24.253499999999999</v>
      </c>
      <c r="G153" s="179">
        <f t="shared" si="50"/>
        <v>0</v>
      </c>
      <c r="H153" s="179">
        <f t="shared" si="51"/>
        <v>0</v>
      </c>
      <c r="I153" s="179">
        <f t="shared" si="52"/>
        <v>0</v>
      </c>
      <c r="J153" s="6">
        <f t="shared" si="53"/>
        <v>2.9456923333470928</v>
      </c>
      <c r="K153" s="129">
        <v>1</v>
      </c>
      <c r="L153" s="6">
        <f t="shared" si="54"/>
        <v>625.84373729986339</v>
      </c>
      <c r="M153" s="191">
        <f t="shared" si="55"/>
        <v>625.84373729986339</v>
      </c>
      <c r="N153" s="131">
        <f t="shared" si="56"/>
        <v>625.84373729986339</v>
      </c>
      <c r="O153" s="191">
        <f t="shared" si="57"/>
        <v>625.84373729986339</v>
      </c>
      <c r="P153" s="191">
        <f t="shared" si="58"/>
        <v>625.84373729986339</v>
      </c>
      <c r="Q153" s="6">
        <f t="shared" si="64"/>
        <v>625.84373729986339</v>
      </c>
      <c r="R153" s="177">
        <f t="shared" si="59"/>
        <v>625.84373729986339</v>
      </c>
      <c r="S153" s="177">
        <f t="shared" si="60"/>
        <v>625.84373729986339</v>
      </c>
      <c r="T153" s="177">
        <f t="shared" si="61"/>
        <v>625.84373729986339</v>
      </c>
      <c r="U153" s="172">
        <f>IF(VLEESKALKOENEN!$H$15="ja",L153-((E153-G153*95%-I153)/E153*L153)*$R$6,L153-((E153-G153*80%-I153)/E153*L153)*$R$6)</f>
        <v>625.84373729986339</v>
      </c>
      <c r="V153" s="109">
        <f t="shared" si="62"/>
        <v>625.84373729986339</v>
      </c>
      <c r="W153" s="188">
        <f t="shared" si="63"/>
        <v>625.84373729986339</v>
      </c>
      <c r="X153" s="217"/>
    </row>
    <row r="154" spans="1:24" x14ac:dyDescent="0.2">
      <c r="A154" s="1">
        <v>145</v>
      </c>
      <c r="B154" s="7">
        <v>21.26</v>
      </c>
      <c r="E154" s="7">
        <f t="shared" si="48"/>
        <v>24.449000000000002</v>
      </c>
      <c r="F154" s="7">
        <f t="shared" si="49"/>
        <v>24.449000000000002</v>
      </c>
      <c r="G154" s="179">
        <f t="shared" si="50"/>
        <v>0</v>
      </c>
      <c r="H154" s="179">
        <f t="shared" si="51"/>
        <v>0</v>
      </c>
      <c r="I154" s="179">
        <f t="shared" si="52"/>
        <v>0</v>
      </c>
      <c r="J154" s="6">
        <f t="shared" si="53"/>
        <v>3.0003947915663174</v>
      </c>
      <c r="K154" s="129">
        <v>1</v>
      </c>
      <c r="L154" s="6">
        <f t="shared" si="54"/>
        <v>642.60427378888289</v>
      </c>
      <c r="M154" s="191">
        <f t="shared" si="55"/>
        <v>642.60427378888289</v>
      </c>
      <c r="N154" s="131">
        <f t="shared" si="56"/>
        <v>642.60427378888289</v>
      </c>
      <c r="O154" s="191">
        <f t="shared" si="57"/>
        <v>642.60427378888289</v>
      </c>
      <c r="P154" s="191">
        <f t="shared" si="58"/>
        <v>642.60427378888289</v>
      </c>
      <c r="Q154" s="6">
        <f t="shared" si="64"/>
        <v>642.60427378888289</v>
      </c>
      <c r="R154" s="177">
        <f t="shared" si="59"/>
        <v>642.60427378888289</v>
      </c>
      <c r="S154" s="177">
        <f t="shared" si="60"/>
        <v>642.60427378888289</v>
      </c>
      <c r="T154" s="177">
        <f t="shared" si="61"/>
        <v>642.60427378888289</v>
      </c>
      <c r="U154" s="172">
        <f>IF(VLEESKALKOENEN!$H$15="ja",L154-((E154-G154*95%-I154)/E154*L154)*$R$6,L154-((E154-G154*80%-I154)/E154*L154)*$R$6)</f>
        <v>642.60427378888289</v>
      </c>
      <c r="V154" s="109">
        <f t="shared" si="62"/>
        <v>642.60427378888289</v>
      </c>
      <c r="W154" s="188">
        <f t="shared" si="63"/>
        <v>642.60427378888289</v>
      </c>
      <c r="X154" s="217"/>
    </row>
    <row r="155" spans="1:24" x14ac:dyDescent="0.2">
      <c r="A155" s="1">
        <v>146</v>
      </c>
      <c r="B155" s="7">
        <v>21.43</v>
      </c>
      <c r="E155" s="7">
        <f t="shared" si="48"/>
        <v>24.644499999999997</v>
      </c>
      <c r="F155" s="7">
        <f t="shared" si="49"/>
        <v>24.644499999999997</v>
      </c>
      <c r="G155" s="179">
        <f t="shared" si="50"/>
        <v>0</v>
      </c>
      <c r="H155" s="179">
        <f t="shared" si="51"/>
        <v>0</v>
      </c>
      <c r="I155" s="179">
        <f t="shared" si="52"/>
        <v>0</v>
      </c>
      <c r="J155" s="6">
        <f t="shared" si="53"/>
        <v>3.0561130921059858</v>
      </c>
      <c r="K155" s="129">
        <v>1</v>
      </c>
      <c r="L155" s="6">
        <f t="shared" si="54"/>
        <v>659.77148090203616</v>
      </c>
      <c r="M155" s="191">
        <f t="shared" si="55"/>
        <v>659.77148090203616</v>
      </c>
      <c r="N155" s="131">
        <f t="shared" si="56"/>
        <v>659.77148090203616</v>
      </c>
      <c r="O155" s="191">
        <f t="shared" si="57"/>
        <v>659.77148090203616</v>
      </c>
      <c r="P155" s="191">
        <f t="shared" si="58"/>
        <v>659.77148090203616</v>
      </c>
      <c r="Q155" s="6">
        <f t="shared" si="64"/>
        <v>659.77148090203616</v>
      </c>
      <c r="R155" s="177">
        <f t="shared" si="59"/>
        <v>659.77148090203616</v>
      </c>
      <c r="S155" s="177">
        <f t="shared" si="60"/>
        <v>659.77148090203616</v>
      </c>
      <c r="T155" s="177">
        <f t="shared" si="61"/>
        <v>659.77148090203616</v>
      </c>
      <c r="U155" s="172">
        <f>IF(VLEESKALKOENEN!$H$15="ja",L155-((E155-G155*95%-I155)/E155*L155)*$R$6,L155-((E155-G155*80%-I155)/E155*L155)*$R$6)</f>
        <v>659.77148090203616</v>
      </c>
      <c r="V155" s="109">
        <f t="shared" si="62"/>
        <v>659.77148090203616</v>
      </c>
      <c r="W155" s="188">
        <f t="shared" si="63"/>
        <v>659.77148090203616</v>
      </c>
      <c r="X155" s="217"/>
    </row>
    <row r="156" spans="1:24" x14ac:dyDescent="0.2">
      <c r="A156" s="1">
        <v>147</v>
      </c>
      <c r="B156" s="235">
        <v>21.6</v>
      </c>
      <c r="E156" s="7">
        <f t="shared" si="48"/>
        <v>24.84</v>
      </c>
      <c r="F156" s="7">
        <f t="shared" si="49"/>
        <v>24.84</v>
      </c>
      <c r="G156" s="179">
        <f t="shared" si="50"/>
        <v>0</v>
      </c>
      <c r="H156" s="179">
        <f t="shared" si="51"/>
        <v>0</v>
      </c>
      <c r="I156" s="179">
        <f t="shared" si="52"/>
        <v>0</v>
      </c>
      <c r="J156" s="6">
        <f t="shared" si="53"/>
        <v>3.1128660994861539</v>
      </c>
      <c r="K156" s="129">
        <v>1</v>
      </c>
      <c r="L156" s="6">
        <f t="shared" si="54"/>
        <v>677.35468266242788</v>
      </c>
      <c r="M156" s="191">
        <f t="shared" si="55"/>
        <v>677.35468266242788</v>
      </c>
      <c r="N156" s="131">
        <f t="shared" si="56"/>
        <v>677.35468266242788</v>
      </c>
      <c r="O156" s="191">
        <f t="shared" si="57"/>
        <v>677.35468266242788</v>
      </c>
      <c r="P156" s="191">
        <f t="shared" si="58"/>
        <v>677.35468266242788</v>
      </c>
      <c r="Q156" s="6">
        <f t="shared" si="64"/>
        <v>677.35468266242788</v>
      </c>
      <c r="R156" s="177">
        <f t="shared" si="59"/>
        <v>677.35468266242788</v>
      </c>
      <c r="S156" s="177">
        <f t="shared" si="60"/>
        <v>677.35468266242788</v>
      </c>
      <c r="T156" s="177">
        <f t="shared" si="61"/>
        <v>677.35468266242788</v>
      </c>
      <c r="U156" s="172">
        <f>IF(VLEESKALKOENEN!$H$15="ja",L156-((E156-G156*95%-I156)/E156*L156)*$R$6,L156-((E156-G156*80%-I156)/E156*L156)*$R$6)</f>
        <v>677.35468266242788</v>
      </c>
      <c r="V156" s="109">
        <f t="shared" si="62"/>
        <v>677.35468266242788</v>
      </c>
      <c r="W156" s="188">
        <f t="shared" si="63"/>
        <v>677.35468266242788</v>
      </c>
      <c r="X156" s="217"/>
    </row>
    <row r="157" spans="1:24" x14ac:dyDescent="0.2">
      <c r="B157" s="7"/>
      <c r="E157" s="7"/>
      <c r="F157" s="7"/>
      <c r="G157" s="179"/>
      <c r="H157" s="179"/>
      <c r="I157" s="179"/>
      <c r="J157" s="6"/>
      <c r="K157" s="13"/>
      <c r="L157" s="6"/>
      <c r="M157" s="191"/>
      <c r="N157" s="131"/>
      <c r="O157" s="191"/>
      <c r="P157" s="191"/>
      <c r="Q157" s="6"/>
      <c r="R157" s="177"/>
      <c r="S157" s="177"/>
      <c r="T157" s="177"/>
      <c r="U157" s="172"/>
      <c r="V157" s="109"/>
      <c r="W157" s="188"/>
      <c r="X157" s="217"/>
    </row>
    <row r="158" spans="1:24" x14ac:dyDescent="0.2">
      <c r="B158" s="7"/>
      <c r="M158" s="17" t="s">
        <v>33</v>
      </c>
      <c r="O158" s="190" t="s">
        <v>33</v>
      </c>
      <c r="P158" s="199"/>
      <c r="Q158" s="1">
        <f>I50/(E50-G50)*(L50-(L50-O50)/80%)*5%</f>
        <v>0</v>
      </c>
      <c r="R158" s="33" t="s">
        <v>33</v>
      </c>
      <c r="S158" s="108"/>
      <c r="T158" s="108"/>
      <c r="U158" s="173"/>
      <c r="W158" s="32" t="s">
        <v>33</v>
      </c>
    </row>
    <row r="159" spans="1:24" x14ac:dyDescent="0.2">
      <c r="B159" s="7"/>
      <c r="E159" s="7">
        <f>AVERAGE(E10:E51)</f>
        <v>1.160952380952381</v>
      </c>
      <c r="G159" s="1" t="s">
        <v>33</v>
      </c>
      <c r="L159" s="1" t="s">
        <v>33</v>
      </c>
      <c r="M159" s="190"/>
      <c r="O159" s="17"/>
      <c r="P159" s="200">
        <f>IF(R$5&lt;E5,R$5/E47*(L47-(L47-O47)/80%)*95%,E$5/E47*(L47-(L47-O47)/80%)*95%)</f>
        <v>0</v>
      </c>
      <c r="Q159" s="1">
        <f>L51-I51/(E51)*(L51-(L51-O51)/80%)*95%</f>
        <v>12.583029546323031</v>
      </c>
      <c r="R159" s="1">
        <f>(L45-(L45-O45)/80%)</f>
        <v>8.3796630706863198</v>
      </c>
      <c r="S159" s="107">
        <f>5%*R159</f>
        <v>0.41898315353431603</v>
      </c>
      <c r="T159" s="107" t="s">
        <v>33</v>
      </c>
      <c r="U159" s="174" t="s">
        <v>33</v>
      </c>
    </row>
    <row r="160" spans="1:24" x14ac:dyDescent="0.2">
      <c r="B160" s="7"/>
      <c r="D160" s="1" t="s">
        <v>185</v>
      </c>
      <c r="F160" s="157">
        <v>0</v>
      </c>
      <c r="H160" s="1" t="s">
        <v>33</v>
      </c>
      <c r="M160" s="17"/>
      <c r="O160" s="191"/>
      <c r="P160" s="17">
        <f>L51-R$5/E51*L51*95%</f>
        <v>12.583029546323031</v>
      </c>
      <c r="Q160" s="1">
        <f>E49/(E49-G49)*(L49-(L49-O49)/80%)*(1-95%)</f>
        <v>0.55168853093565262</v>
      </c>
      <c r="R160" s="1">
        <f>I51/(E51-G51)</f>
        <v>0</v>
      </c>
      <c r="U160" s="173"/>
    </row>
    <row r="161" spans="2:24" x14ac:dyDescent="0.2">
      <c r="B161" s="7"/>
      <c r="E161" s="7">
        <f>SUM(E10:E51)</f>
        <v>48.76</v>
      </c>
      <c r="F161" s="7">
        <f>SUM(F10:F51)</f>
        <v>48.76</v>
      </c>
      <c r="G161" s="7">
        <f>SUM(G10:G51)</f>
        <v>0</v>
      </c>
      <c r="H161" s="7"/>
      <c r="I161" s="7"/>
      <c r="K161" s="33" t="s">
        <v>186</v>
      </c>
      <c r="L161" s="7">
        <f t="shared" ref="L161:W161" si="65">AVERAGE(L10:L156)</f>
        <v>151.23449644273165</v>
      </c>
      <c r="M161" s="23">
        <f t="shared" si="65"/>
        <v>151.23449644273165</v>
      </c>
      <c r="N161" s="158">
        <f t="shared" si="65"/>
        <v>151.23449644273165</v>
      </c>
      <c r="O161" s="23">
        <f t="shared" si="65"/>
        <v>151.23449644273165</v>
      </c>
      <c r="P161" s="23">
        <f t="shared" si="65"/>
        <v>151.23449644273165</v>
      </c>
      <c r="Q161" s="158">
        <f t="shared" si="65"/>
        <v>151.23449644273165</v>
      </c>
      <c r="R161" s="158">
        <f t="shared" si="65"/>
        <v>151.23449644273165</v>
      </c>
      <c r="S161" s="158">
        <f t="shared" si="65"/>
        <v>151.23449644273165</v>
      </c>
      <c r="T161" s="158">
        <f t="shared" si="65"/>
        <v>151.23449644273165</v>
      </c>
      <c r="U161" s="158">
        <f t="shared" si="65"/>
        <v>151.23449644273165</v>
      </c>
      <c r="V161" s="158">
        <f t="shared" si="65"/>
        <v>151.23449644273165</v>
      </c>
      <c r="W161" s="158">
        <f t="shared" si="65"/>
        <v>151.23449644273165</v>
      </c>
      <c r="X161" s="33" t="s">
        <v>33</v>
      </c>
    </row>
    <row r="162" spans="2:24" x14ac:dyDescent="0.2">
      <c r="B162" s="7"/>
      <c r="F162" s="13">
        <f>F161/$E$161</f>
        <v>1</v>
      </c>
      <c r="G162" s="13">
        <f>G161/$E$161</f>
        <v>0</v>
      </c>
      <c r="H162" s="13"/>
      <c r="I162" s="13"/>
      <c r="K162" s="33" t="s">
        <v>187</v>
      </c>
      <c r="L162" s="7">
        <f t="shared" ref="L162:W162" si="66">L161*0.81</f>
        <v>122.49994211861265</v>
      </c>
      <c r="M162" s="23">
        <f t="shared" si="66"/>
        <v>122.49994211861265</v>
      </c>
      <c r="N162" s="158">
        <f t="shared" si="66"/>
        <v>122.49994211861265</v>
      </c>
      <c r="O162" s="23">
        <f t="shared" si="66"/>
        <v>122.49994211861265</v>
      </c>
      <c r="P162" s="23">
        <f t="shared" si="66"/>
        <v>122.49994211861265</v>
      </c>
      <c r="Q162" s="158">
        <f t="shared" si="66"/>
        <v>122.49994211861265</v>
      </c>
      <c r="R162" s="158">
        <f t="shared" si="66"/>
        <v>122.49994211861265</v>
      </c>
      <c r="S162" s="158">
        <f t="shared" si="66"/>
        <v>122.49994211861265</v>
      </c>
      <c r="T162" s="158">
        <f t="shared" si="66"/>
        <v>122.49994211861265</v>
      </c>
      <c r="U162" s="175">
        <f t="shared" si="66"/>
        <v>122.49994211861265</v>
      </c>
      <c r="V162" s="158">
        <f t="shared" si="66"/>
        <v>122.49994211861265</v>
      </c>
      <c r="W162" s="158">
        <f t="shared" si="66"/>
        <v>122.49994211861265</v>
      </c>
    </row>
    <row r="163" spans="2:24" x14ac:dyDescent="0.2">
      <c r="B163" s="7"/>
      <c r="D163" s="1" t="s">
        <v>188</v>
      </c>
      <c r="K163" s="1" t="s">
        <v>184</v>
      </c>
      <c r="L163" s="159">
        <f t="shared" ref="L163:W163" si="67">1-(L162/$L$162)</f>
        <v>0</v>
      </c>
      <c r="M163" s="192">
        <f t="shared" si="67"/>
        <v>0</v>
      </c>
      <c r="N163" s="159">
        <f t="shared" si="67"/>
        <v>0</v>
      </c>
      <c r="O163" s="192">
        <f t="shared" si="67"/>
        <v>0</v>
      </c>
      <c r="P163" s="192">
        <f>1-(P162/($L$162))</f>
        <v>0</v>
      </c>
      <c r="Q163" s="159">
        <f t="shared" si="67"/>
        <v>0</v>
      </c>
      <c r="R163" s="159">
        <f>1-(R162/$L$162)</f>
        <v>0</v>
      </c>
      <c r="S163" s="159">
        <f>1-(S162/$L$162)</f>
        <v>0</v>
      </c>
      <c r="T163" s="159">
        <f>1-(T162/$L$162)</f>
        <v>0</v>
      </c>
      <c r="U163" s="176">
        <f t="shared" si="67"/>
        <v>0</v>
      </c>
      <c r="V163" s="159">
        <f t="shared" si="67"/>
        <v>0</v>
      </c>
      <c r="W163" s="159">
        <f t="shared" si="67"/>
        <v>0</v>
      </c>
    </row>
    <row r="164" spans="2:24" x14ac:dyDescent="0.2">
      <c r="B164" s="7"/>
      <c r="P164" s="218">
        <f>M163-P163</f>
        <v>0</v>
      </c>
    </row>
    <row r="165" spans="2:24" x14ac:dyDescent="0.2">
      <c r="B165" s="7"/>
      <c r="D165" s="157"/>
      <c r="O165" s="6">
        <f>O51+P51</f>
        <v>25.166059092646062</v>
      </c>
      <c r="P165" s="1">
        <f>(L51-I51/(E51-G51)*(L51-(L51-O51)/80%))*95%</f>
        <v>11.95387806900688</v>
      </c>
      <c r="W165" s="32" t="s">
        <v>33</v>
      </c>
    </row>
    <row r="166" spans="2:24" x14ac:dyDescent="0.2">
      <c r="B166" s="7"/>
      <c r="E166" s="7"/>
      <c r="P166" s="1">
        <f>(L51-I51/(E51-G51))*(1-95%)</f>
        <v>0.62915147731615206</v>
      </c>
      <c r="Q166" s="1" t="s">
        <v>33</v>
      </c>
    </row>
    <row r="167" spans="2:24" x14ac:dyDescent="0.2">
      <c r="B167" s="7"/>
      <c r="P167" s="1">
        <f>(L51-I51/(E51-G51))*5%</f>
        <v>0.62915147731615162</v>
      </c>
    </row>
    <row r="168" spans="2:24" x14ac:dyDescent="0.2">
      <c r="B168" s="7"/>
      <c r="P168" s="1">
        <f>(O51-(L51-O51)/80%)</f>
        <v>12.583029546323031</v>
      </c>
    </row>
    <row r="169" spans="2:24" x14ac:dyDescent="0.2">
      <c r="B169" s="7"/>
      <c r="P169" s="1">
        <f>I51/(E51-G51)</f>
        <v>0</v>
      </c>
    </row>
    <row r="170" spans="2:24" x14ac:dyDescent="0.2">
      <c r="B170" s="7"/>
      <c r="N170" s="1">
        <f>20%*O170</f>
        <v>0</v>
      </c>
      <c r="O170" s="6">
        <f>L51-O51</f>
        <v>0</v>
      </c>
    </row>
    <row r="171" spans="2:24" x14ac:dyDescent="0.2">
      <c r="B171" s="7"/>
      <c r="N171" s="6">
        <f>O51-N170</f>
        <v>12.583029546323031</v>
      </c>
      <c r="O171" s="1">
        <f>O170/95%</f>
        <v>0</v>
      </c>
    </row>
    <row r="172" spans="2:24" x14ac:dyDescent="0.2">
      <c r="B172" s="7"/>
      <c r="N172" s="1">
        <f>95%*N171</f>
        <v>11.95387806900688</v>
      </c>
      <c r="O172" s="6">
        <f>L51-O171</f>
        <v>12.583029546323031</v>
      </c>
    </row>
    <row r="173" spans="2:24" x14ac:dyDescent="0.2">
      <c r="B173" s="7"/>
      <c r="N173" s="6">
        <f>L51-P51</f>
        <v>0</v>
      </c>
      <c r="O173" s="1">
        <f>5%*O172</f>
        <v>0.62915147731615162</v>
      </c>
    </row>
    <row r="174" spans="2:24" x14ac:dyDescent="0.2">
      <c r="B174" s="7"/>
      <c r="O174" s="217">
        <f>5.95/L51</f>
        <v>0.47285909789019676</v>
      </c>
    </row>
    <row r="175" spans="2:24" x14ac:dyDescent="0.2">
      <c r="B175" s="7"/>
      <c r="N175" s="1">
        <f>95%*P51</f>
        <v>11.95387806900688</v>
      </c>
    </row>
    <row r="176" spans="2:24" x14ac:dyDescent="0.2">
      <c r="B176" s="7"/>
    </row>
    <row r="177" spans="2:2" x14ac:dyDescent="0.2">
      <c r="B177" s="7"/>
    </row>
  </sheetData>
  <sheetProtection algorithmName="SHA-512" hashValue="pcU/rmI+Fxc3ckmnNKfOnTN0CAfI/o72Z74ey4qOmM+w0va0tXISysSF/dbCCgv6qZ6jl573Ff/z9N1hkLVLmQ==" saltValue="ef4iToH+Td63zB/7ZUet/w==" spinCount="100000" sheet="1" objects="1" scenarios="1"/>
  <mergeCells count="3">
    <mergeCell ref="AB1:AF1"/>
    <mergeCell ref="AC4:AD4"/>
    <mergeCell ref="AE4:AF4"/>
  </mergeCells>
  <printOptions gridLines="1"/>
  <pageMargins left="0.2" right="0.21" top="0.18" bottom="0.17" header="0.17" footer="0.17"/>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I46"/>
  <sheetViews>
    <sheetView topLeftCell="J10" zoomScale="85" zoomScaleNormal="85" workbookViewId="0">
      <selection activeCell="I10" sqref="A1:I1048576"/>
    </sheetView>
  </sheetViews>
  <sheetFormatPr defaultColWidth="8.85546875" defaultRowHeight="11.25" x14ac:dyDescent="0.15"/>
  <cols>
    <col min="1" max="1" width="29.7109375" style="63" hidden="1" customWidth="1"/>
    <col min="2" max="2" width="18.7109375" style="63" hidden="1" customWidth="1"/>
    <col min="3" max="3" width="11.7109375" style="63" hidden="1" customWidth="1"/>
    <col min="4" max="4" width="13.140625" style="63" hidden="1" customWidth="1"/>
    <col min="5" max="5" width="12" style="63" hidden="1" customWidth="1"/>
    <col min="6" max="6" width="13.28515625" style="63" hidden="1" customWidth="1"/>
    <col min="7" max="7" width="12.140625" style="63" hidden="1" customWidth="1"/>
    <col min="8" max="8" width="12.28515625" style="63" hidden="1" customWidth="1"/>
    <col min="9" max="9" width="12.85546875" style="63" hidden="1" customWidth="1"/>
    <col min="10" max="16384" width="8.85546875" style="63"/>
  </cols>
  <sheetData>
    <row r="1" spans="1:4" x14ac:dyDescent="0.15">
      <c r="A1" s="62" t="s">
        <v>85</v>
      </c>
    </row>
    <row r="3" spans="1:4" x14ac:dyDescent="0.15">
      <c r="B3" s="64" t="s">
        <v>86</v>
      </c>
    </row>
    <row r="4" spans="1:4" x14ac:dyDescent="0.15">
      <c r="B4" s="65"/>
    </row>
    <row r="5" spans="1:4" x14ac:dyDescent="0.15">
      <c r="A5" s="66" t="s">
        <v>87</v>
      </c>
    </row>
    <row r="6" spans="1:4" x14ac:dyDescent="0.15">
      <c r="A6" s="63" t="s">
        <v>88</v>
      </c>
      <c r="B6" s="63">
        <v>1.73</v>
      </c>
    </row>
    <row r="7" spans="1:4" x14ac:dyDescent="0.15">
      <c r="A7" s="63" t="s">
        <v>89</v>
      </c>
      <c r="B7" s="63">
        <v>8.01</v>
      </c>
    </row>
    <row r="8" spans="1:4" x14ac:dyDescent="0.15">
      <c r="A8" s="63" t="s">
        <v>90</v>
      </c>
      <c r="B8" s="63">
        <v>4.8600000000000003</v>
      </c>
    </row>
    <row r="9" spans="1:4" x14ac:dyDescent="0.15">
      <c r="A9" s="63" t="s">
        <v>91</v>
      </c>
      <c r="B9" s="63">
        <v>15</v>
      </c>
    </row>
    <row r="10" spans="1:4" x14ac:dyDescent="0.15">
      <c r="A10" s="63" t="s">
        <v>92</v>
      </c>
      <c r="B10" s="63">
        <v>6.1761991606700253</v>
      </c>
    </row>
    <row r="11" spans="1:4" x14ac:dyDescent="0.15">
      <c r="A11" s="63" t="s">
        <v>93</v>
      </c>
      <c r="B11" s="63">
        <v>12.35</v>
      </c>
    </row>
    <row r="12" spans="1:4" x14ac:dyDescent="0.15">
      <c r="A12" s="63" t="s">
        <v>94</v>
      </c>
      <c r="B12" s="63">
        <v>24.84</v>
      </c>
    </row>
    <row r="13" spans="1:4" x14ac:dyDescent="0.15">
      <c r="A13" s="63" t="s">
        <v>95</v>
      </c>
      <c r="B13" s="63">
        <v>12.56</v>
      </c>
    </row>
    <row r="16" spans="1:4" x14ac:dyDescent="0.15">
      <c r="A16" s="66" t="s">
        <v>96</v>
      </c>
      <c r="C16" s="67" t="s">
        <v>97</v>
      </c>
      <c r="D16" s="67" t="s">
        <v>98</v>
      </c>
    </row>
    <row r="17" spans="1:9" x14ac:dyDescent="0.15">
      <c r="A17" s="63" t="s">
        <v>88</v>
      </c>
      <c r="B17" s="63" t="s">
        <v>99</v>
      </c>
      <c r="C17" s="68">
        <v>0.80700000000000005</v>
      </c>
      <c r="D17" s="69">
        <v>0.85</v>
      </c>
      <c r="E17" s="63" t="s">
        <v>100</v>
      </c>
    </row>
    <row r="18" spans="1:9" x14ac:dyDescent="0.15">
      <c r="B18" s="63" t="s">
        <v>101</v>
      </c>
      <c r="C18" s="68">
        <v>0.83799999999999997</v>
      </c>
      <c r="D18" s="69">
        <v>0.85</v>
      </c>
    </row>
    <row r="19" spans="1:9" x14ac:dyDescent="0.15">
      <c r="A19" s="63" t="s">
        <v>89</v>
      </c>
      <c r="B19" s="63" t="s">
        <v>99</v>
      </c>
      <c r="C19" s="68">
        <v>1.835</v>
      </c>
      <c r="D19" s="70">
        <v>2</v>
      </c>
    </row>
    <row r="20" spans="1:9" x14ac:dyDescent="0.15">
      <c r="B20" s="63" t="s">
        <v>101</v>
      </c>
      <c r="C20" s="68">
        <v>1.899</v>
      </c>
      <c r="D20" s="70">
        <v>2</v>
      </c>
    </row>
    <row r="23" spans="1:9" x14ac:dyDescent="0.15">
      <c r="A23" s="66" t="s">
        <v>102</v>
      </c>
    </row>
    <row r="24" spans="1:9" x14ac:dyDescent="0.15">
      <c r="A24" s="64" t="s">
        <v>103</v>
      </c>
    </row>
    <row r="25" spans="1:9" x14ac:dyDescent="0.15">
      <c r="A25" s="71" t="s">
        <v>104</v>
      </c>
      <c r="B25" s="72">
        <v>0.13</v>
      </c>
      <c r="C25" s="71"/>
      <c r="D25" s="72">
        <v>0.31</v>
      </c>
      <c r="E25" s="71"/>
      <c r="F25" s="72">
        <v>0.37</v>
      </c>
      <c r="G25" s="71"/>
      <c r="H25" s="72">
        <v>0.5</v>
      </c>
      <c r="I25" s="71"/>
    </row>
    <row r="26" spans="1:9" x14ac:dyDescent="0.15">
      <c r="B26" s="67" t="s">
        <v>97</v>
      </c>
      <c r="C26" s="67" t="s">
        <v>98</v>
      </c>
      <c r="D26" s="67" t="s">
        <v>97</v>
      </c>
      <c r="E26" s="67" t="s">
        <v>98</v>
      </c>
      <c r="F26" s="67" t="s">
        <v>97</v>
      </c>
      <c r="G26" s="67" t="s">
        <v>98</v>
      </c>
      <c r="H26" s="67" t="s">
        <v>97</v>
      </c>
      <c r="I26" s="67" t="s">
        <v>98</v>
      </c>
    </row>
    <row r="27" spans="1:9" x14ac:dyDescent="0.15">
      <c r="A27" s="63" t="s">
        <v>88</v>
      </c>
      <c r="B27" s="63">
        <v>0.17499999999999999</v>
      </c>
      <c r="C27" s="63">
        <v>0.2</v>
      </c>
      <c r="D27" s="63">
        <v>0.434</v>
      </c>
      <c r="E27" s="73">
        <v>0.4</v>
      </c>
      <c r="F27" s="63">
        <v>0.52700000000000002</v>
      </c>
      <c r="G27" s="63">
        <v>0.55000000000000004</v>
      </c>
      <c r="H27" s="63">
        <v>0.745</v>
      </c>
      <c r="I27" s="63">
        <v>0.8</v>
      </c>
    </row>
    <row r="28" spans="1:9" x14ac:dyDescent="0.15">
      <c r="A28" s="63" t="s">
        <v>89</v>
      </c>
      <c r="B28" s="63">
        <v>0.439</v>
      </c>
      <c r="C28" s="63">
        <v>0.4</v>
      </c>
      <c r="D28" s="63">
        <v>1.048</v>
      </c>
      <c r="E28" s="73">
        <v>1</v>
      </c>
      <c r="F28" s="63">
        <v>1.252</v>
      </c>
      <c r="G28" s="63">
        <v>1.25</v>
      </c>
      <c r="H28" s="63">
        <v>1.708</v>
      </c>
      <c r="I28" s="63">
        <v>1.8</v>
      </c>
    </row>
    <row r="29" spans="1:9" x14ac:dyDescent="0.15">
      <c r="A29" s="63" t="s">
        <v>90</v>
      </c>
      <c r="B29" s="63">
        <v>0.42</v>
      </c>
      <c r="C29" s="63">
        <v>0.4</v>
      </c>
      <c r="D29" s="63">
        <v>1.0469999999999999</v>
      </c>
      <c r="E29" s="73">
        <v>1</v>
      </c>
      <c r="F29" s="63">
        <v>1.2789999999999999</v>
      </c>
      <c r="G29" s="63">
        <v>1.3</v>
      </c>
      <c r="H29" s="63">
        <v>1.84</v>
      </c>
      <c r="I29" s="63">
        <v>1.9</v>
      </c>
    </row>
    <row r="30" spans="1:9" x14ac:dyDescent="0.15">
      <c r="A30" s="63" t="s">
        <v>91</v>
      </c>
      <c r="B30" s="63">
        <v>0.59499999999999997</v>
      </c>
      <c r="C30" s="63">
        <v>0.6</v>
      </c>
      <c r="D30" s="63">
        <v>1.4850000000000001</v>
      </c>
      <c r="E30" s="73">
        <v>1.5</v>
      </c>
      <c r="F30" s="63">
        <v>1.845</v>
      </c>
      <c r="G30" s="63">
        <v>1.85</v>
      </c>
      <c r="H30" s="63">
        <v>2.8450000000000002</v>
      </c>
      <c r="I30" s="63">
        <v>2.9</v>
      </c>
    </row>
    <row r="31" spans="1:9" x14ac:dyDescent="0.15">
      <c r="A31" s="63" t="s">
        <v>92</v>
      </c>
      <c r="B31" s="63">
        <v>0.35699999999999998</v>
      </c>
      <c r="C31" s="63">
        <v>0.35</v>
      </c>
      <c r="D31" s="63">
        <v>1.0009999999999999</v>
      </c>
      <c r="E31" s="73">
        <v>1</v>
      </c>
      <c r="F31" s="63">
        <v>1.27</v>
      </c>
      <c r="G31" s="63">
        <v>1.3</v>
      </c>
      <c r="H31" s="63">
        <v>1.9750000000000001</v>
      </c>
      <c r="I31" s="73">
        <v>2</v>
      </c>
    </row>
    <row r="32" spans="1:9" x14ac:dyDescent="0.15">
      <c r="A32" s="63" t="s">
        <v>93</v>
      </c>
      <c r="B32" s="63">
        <v>1.2450000000000001</v>
      </c>
      <c r="C32" s="63">
        <v>1.1000000000000001</v>
      </c>
      <c r="D32" s="63">
        <v>3.17</v>
      </c>
      <c r="E32" s="73">
        <v>3</v>
      </c>
      <c r="F32" s="63">
        <v>3.86</v>
      </c>
      <c r="G32" s="63">
        <v>3.85</v>
      </c>
      <c r="H32" s="63">
        <v>5.5</v>
      </c>
      <c r="I32" s="63">
        <v>5.6</v>
      </c>
    </row>
    <row r="33" spans="1:9" x14ac:dyDescent="0.15">
      <c r="A33" s="63" t="s">
        <v>94</v>
      </c>
      <c r="B33" s="63">
        <v>2.6949999999999998</v>
      </c>
      <c r="C33" s="63">
        <v>2.5</v>
      </c>
      <c r="D33" s="63">
        <v>6.75</v>
      </c>
      <c r="E33" s="73">
        <v>6.2</v>
      </c>
      <c r="F33" s="63">
        <v>8.1750000000000007</v>
      </c>
      <c r="G33" s="63">
        <v>8.1999999999999993</v>
      </c>
      <c r="H33" s="63">
        <v>11.5</v>
      </c>
      <c r="I33" s="63">
        <v>11.7</v>
      </c>
    </row>
    <row r="34" spans="1:9" x14ac:dyDescent="0.15">
      <c r="A34" s="63" t="s">
        <v>95</v>
      </c>
      <c r="B34" s="63">
        <v>0.88</v>
      </c>
      <c r="C34" s="63">
        <v>0.8</v>
      </c>
      <c r="D34" s="63">
        <v>2.4849999999999999</v>
      </c>
      <c r="E34" s="73">
        <v>2.2999999999999998</v>
      </c>
      <c r="F34" s="63">
        <v>3.12</v>
      </c>
      <c r="G34" s="63">
        <v>3.15</v>
      </c>
      <c r="H34" s="63">
        <v>4.7300000000000004</v>
      </c>
      <c r="I34" s="63">
        <v>4.8</v>
      </c>
    </row>
    <row r="35" spans="1:9" x14ac:dyDescent="0.15">
      <c r="C35" s="63">
        <f>C32/B32</f>
        <v>0.88353413654618473</v>
      </c>
      <c r="E35" s="63">
        <f>E32/D32</f>
        <v>0.94637223974763407</v>
      </c>
      <c r="G35" s="63">
        <f>G32/F32</f>
        <v>0.99740932642487057</v>
      </c>
      <c r="I35" s="63">
        <f>I32/H32</f>
        <v>1.0181818181818181</v>
      </c>
    </row>
    <row r="36" spans="1:9" x14ac:dyDescent="0.15">
      <c r="A36" s="64" t="s">
        <v>105</v>
      </c>
    </row>
    <row r="37" spans="1:9" x14ac:dyDescent="0.15">
      <c r="A37" s="71" t="s">
        <v>104</v>
      </c>
      <c r="B37" s="72">
        <v>0.13</v>
      </c>
      <c r="C37" s="71"/>
      <c r="D37" s="72">
        <v>0.31</v>
      </c>
      <c r="E37" s="71"/>
      <c r="F37" s="72">
        <v>0.37</v>
      </c>
      <c r="G37" s="71"/>
      <c r="H37" s="72">
        <v>0.5</v>
      </c>
      <c r="I37" s="71"/>
    </row>
    <row r="38" spans="1:9" x14ac:dyDescent="0.15">
      <c r="B38" s="67" t="s">
        <v>97</v>
      </c>
      <c r="C38" s="67" t="s">
        <v>98</v>
      </c>
      <c r="D38" s="67" t="s">
        <v>97</v>
      </c>
      <c r="E38" s="67" t="s">
        <v>98</v>
      </c>
      <c r="F38" s="67" t="s">
        <v>97</v>
      </c>
      <c r="G38" s="67" t="s">
        <v>98</v>
      </c>
      <c r="H38" s="67" t="s">
        <v>97</v>
      </c>
      <c r="I38" s="67" t="s">
        <v>98</v>
      </c>
    </row>
    <row r="39" spans="1:9" x14ac:dyDescent="0.15">
      <c r="A39" s="63" t="s">
        <v>88</v>
      </c>
      <c r="B39" s="63">
        <v>0.14099999999999999</v>
      </c>
      <c r="C39" s="63">
        <v>0.15</v>
      </c>
      <c r="D39" s="63">
        <v>0.34599999999999997</v>
      </c>
      <c r="E39" s="73">
        <v>0.35</v>
      </c>
      <c r="F39" s="63">
        <v>0.41799999999999998</v>
      </c>
      <c r="G39" s="63">
        <v>0.4</v>
      </c>
      <c r="H39" s="63">
        <v>0.58099999999999996</v>
      </c>
      <c r="I39" s="63">
        <v>0.6</v>
      </c>
    </row>
    <row r="40" spans="1:9" x14ac:dyDescent="0.15">
      <c r="A40" s="63" t="s">
        <v>89</v>
      </c>
      <c r="B40" s="63">
        <v>0.35499999999999998</v>
      </c>
      <c r="C40" s="63">
        <v>0.35</v>
      </c>
      <c r="D40" s="63">
        <v>0.84699999999999998</v>
      </c>
      <c r="E40" s="73">
        <v>0.85</v>
      </c>
      <c r="F40" s="63">
        <v>1.012</v>
      </c>
      <c r="G40" s="73">
        <v>1</v>
      </c>
      <c r="H40" s="63">
        <v>1.369</v>
      </c>
      <c r="I40" s="63">
        <v>1.4</v>
      </c>
    </row>
    <row r="41" spans="1:9" x14ac:dyDescent="0.15">
      <c r="A41" s="63" t="s">
        <v>90</v>
      </c>
      <c r="B41" s="63">
        <v>0.33700000000000002</v>
      </c>
      <c r="C41" s="63">
        <v>0.35</v>
      </c>
      <c r="D41" s="63">
        <v>0.83099999999999996</v>
      </c>
      <c r="E41" s="73">
        <v>0.85</v>
      </c>
      <c r="F41" s="63">
        <v>1.008</v>
      </c>
      <c r="G41" s="63">
        <v>1.1000000000000001</v>
      </c>
      <c r="H41" s="63">
        <v>1.417</v>
      </c>
      <c r="I41" s="63">
        <v>1.45</v>
      </c>
    </row>
    <row r="42" spans="1:9" x14ac:dyDescent="0.15">
      <c r="A42" s="63" t="s">
        <v>91</v>
      </c>
      <c r="B42" s="63">
        <v>0.48</v>
      </c>
      <c r="C42" s="63">
        <v>0.5</v>
      </c>
      <c r="D42" s="63">
        <v>1.161</v>
      </c>
      <c r="E42" s="73">
        <v>1.2</v>
      </c>
      <c r="F42" s="63">
        <v>1.4219999999999999</v>
      </c>
      <c r="G42" s="63">
        <v>1.5</v>
      </c>
      <c r="H42" s="63">
        <v>2.0750000000000002</v>
      </c>
      <c r="I42" s="63">
        <v>2.1</v>
      </c>
    </row>
    <row r="43" spans="1:9" x14ac:dyDescent="0.15">
      <c r="A43" s="63" t="s">
        <v>92</v>
      </c>
      <c r="B43" s="63">
        <v>0.28499999999999998</v>
      </c>
      <c r="C43" s="63">
        <v>0.3</v>
      </c>
      <c r="D43" s="63">
        <v>0.76500000000000001</v>
      </c>
      <c r="E43" s="232">
        <v>0.75</v>
      </c>
      <c r="F43" s="63">
        <v>0.95799999999999996</v>
      </c>
      <c r="G43" s="73">
        <v>1</v>
      </c>
      <c r="H43" s="63">
        <v>1.4350000000000001</v>
      </c>
      <c r="I43" s="63">
        <v>1.45</v>
      </c>
    </row>
    <row r="44" spans="1:9" x14ac:dyDescent="0.15">
      <c r="A44" s="63" t="s">
        <v>93</v>
      </c>
      <c r="B44" s="63">
        <v>0.999</v>
      </c>
      <c r="C44" s="63">
        <v>0.9</v>
      </c>
      <c r="D44" s="63">
        <v>2.5099999999999998</v>
      </c>
      <c r="E44" s="73">
        <v>2.5</v>
      </c>
      <c r="F44" s="63">
        <v>3.0449999999999999</v>
      </c>
      <c r="G44" s="73">
        <v>3</v>
      </c>
      <c r="H44" s="63">
        <v>4.2699999999999996</v>
      </c>
      <c r="I44" s="63">
        <v>4.3</v>
      </c>
    </row>
    <row r="45" spans="1:9" x14ac:dyDescent="0.15">
      <c r="A45" s="63" t="s">
        <v>94</v>
      </c>
      <c r="B45" s="63">
        <v>2.165</v>
      </c>
      <c r="C45" s="63">
        <v>2.2000000000000002</v>
      </c>
      <c r="D45" s="63">
        <v>5.3579999999999997</v>
      </c>
      <c r="E45" s="73">
        <v>5.3</v>
      </c>
      <c r="F45" s="63">
        <v>6.4749999999999996</v>
      </c>
      <c r="G45" s="63">
        <v>6.2</v>
      </c>
      <c r="H45" s="63">
        <v>9.01</v>
      </c>
      <c r="I45" s="73">
        <v>9</v>
      </c>
    </row>
    <row r="46" spans="1:9" x14ac:dyDescent="0.15">
      <c r="A46" s="63" t="s">
        <v>95</v>
      </c>
      <c r="B46" s="63">
        <v>0.69199999999999995</v>
      </c>
      <c r="C46" s="63">
        <v>0.7</v>
      </c>
      <c r="D46" s="63">
        <v>1.91</v>
      </c>
      <c r="E46" s="73">
        <v>1.9</v>
      </c>
      <c r="F46" s="63">
        <v>2.375</v>
      </c>
      <c r="G46" s="63">
        <v>2.2999999999999998</v>
      </c>
      <c r="H46" s="63">
        <v>3.51</v>
      </c>
      <c r="I46" s="73">
        <v>3.6</v>
      </c>
    </row>
  </sheetData>
  <sheetProtection algorithmName="SHA-512" hashValue="dJzdH6p+OHs5TU68L0OV3m+V6G+vVF8a9JzLm4d+9R/AxRo773oTU3+vyUHNovO4Q/iFdzz+D4cjBJWN6MZZ7A==" saltValue="E80bV0zoP5Lb0S8qdnf/B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C55"/>
  <sheetViews>
    <sheetView topLeftCell="F28" workbookViewId="0">
      <selection activeCell="E28" sqref="A1:E1048576"/>
    </sheetView>
  </sheetViews>
  <sheetFormatPr defaultColWidth="12.42578125" defaultRowHeight="15.75" x14ac:dyDescent="0.25"/>
  <cols>
    <col min="1" max="1" width="5.5703125" style="37" hidden="1" customWidth="1"/>
    <col min="2" max="2" width="36.28515625" style="37" hidden="1" customWidth="1"/>
    <col min="3" max="3" width="8" style="39" hidden="1" customWidth="1"/>
    <col min="4" max="4" width="8.28515625" style="38" hidden="1" customWidth="1"/>
    <col min="5" max="5" width="8" style="37" hidden="1" customWidth="1"/>
    <col min="6" max="19" width="8" style="37" customWidth="1"/>
    <col min="20" max="27" width="6.85546875" style="37" customWidth="1"/>
    <col min="28" max="16384" width="12.42578125" style="37"/>
  </cols>
  <sheetData>
    <row r="1" spans="1:29" ht="31.5" x14ac:dyDescent="0.25">
      <c r="B1" s="41" t="s">
        <v>44</v>
      </c>
      <c r="E1" s="37" t="s">
        <v>34</v>
      </c>
      <c r="F1" s="37" t="s">
        <v>35</v>
      </c>
      <c r="G1" s="37" t="s">
        <v>36</v>
      </c>
      <c r="H1" s="37" t="s">
        <v>37</v>
      </c>
      <c r="I1" s="37" t="s">
        <v>38</v>
      </c>
      <c r="J1" s="37" t="s">
        <v>45</v>
      </c>
      <c r="K1" s="37" t="s">
        <v>39</v>
      </c>
      <c r="L1" s="37" t="s">
        <v>40</v>
      </c>
      <c r="M1" s="37" t="s">
        <v>41</v>
      </c>
      <c r="N1" s="37" t="s">
        <v>42</v>
      </c>
      <c r="O1" s="37" t="s">
        <v>46</v>
      </c>
      <c r="P1" s="37" t="s">
        <v>43</v>
      </c>
      <c r="Q1" s="37" t="s">
        <v>47</v>
      </c>
      <c r="R1" s="37" t="s">
        <v>48</v>
      </c>
      <c r="S1" s="37" t="s">
        <v>49</v>
      </c>
      <c r="T1" s="37" t="s">
        <v>50</v>
      </c>
      <c r="U1" s="37" t="s">
        <v>51</v>
      </c>
      <c r="V1" s="37" t="s">
        <v>52</v>
      </c>
      <c r="W1" s="37" t="s">
        <v>53</v>
      </c>
      <c r="X1" s="37" t="s">
        <v>54</v>
      </c>
      <c r="Y1" s="37" t="s">
        <v>55</v>
      </c>
      <c r="Z1" s="37" t="s">
        <v>56</v>
      </c>
      <c r="AA1" s="37" t="s">
        <v>57</v>
      </c>
      <c r="AB1" s="37" t="s">
        <v>58</v>
      </c>
      <c r="AC1" s="37" t="s">
        <v>59</v>
      </c>
    </row>
    <row r="2" spans="1:29" s="38" customFormat="1" x14ac:dyDescent="0.25">
      <c r="C2" s="42"/>
      <c r="E2" s="43">
        <f>+D3</f>
        <v>0.65</v>
      </c>
      <c r="F2" s="43">
        <f>+D4</f>
        <v>0.4</v>
      </c>
      <c r="G2" s="43">
        <f>+D5</f>
        <v>0.25</v>
      </c>
      <c r="H2" s="43">
        <f>+D6</f>
        <v>0.19999999999999996</v>
      </c>
      <c r="I2" s="43">
        <f>+D8</f>
        <v>0.44999999999999996</v>
      </c>
      <c r="J2" s="43">
        <f>+D9</f>
        <v>0.7</v>
      </c>
      <c r="K2" s="43">
        <f>+D10</f>
        <v>0.45999999999999996</v>
      </c>
      <c r="L2" s="43">
        <f>+D11</f>
        <v>0.51</v>
      </c>
      <c r="M2" s="43">
        <f>+D12</f>
        <v>0.66999999999999993</v>
      </c>
      <c r="N2" s="43">
        <f>+D13</f>
        <v>0.6</v>
      </c>
      <c r="O2" s="43">
        <f>+D14</f>
        <v>0.43000000000000005</v>
      </c>
      <c r="P2" s="43">
        <f>+D15</f>
        <v>0.69</v>
      </c>
      <c r="Q2" s="43">
        <f>+D16</f>
        <v>0.69</v>
      </c>
      <c r="R2" s="43">
        <f>+D17</f>
        <v>0.87</v>
      </c>
      <c r="S2" s="43">
        <f>+D18</f>
        <v>0.87</v>
      </c>
      <c r="T2" s="43">
        <f>+D19</f>
        <v>0.85</v>
      </c>
      <c r="U2" s="43">
        <f>+D20</f>
        <v>0.7</v>
      </c>
      <c r="V2" s="43">
        <f>+D21</f>
        <v>0.8</v>
      </c>
      <c r="W2" s="43">
        <f>+D22</f>
        <v>0.63</v>
      </c>
      <c r="X2" s="43">
        <f>+D23</f>
        <v>0.63</v>
      </c>
      <c r="Y2" s="43">
        <f>+D24</f>
        <v>0.5</v>
      </c>
      <c r="Z2" s="43">
        <f>+D25</f>
        <v>0.5</v>
      </c>
    </row>
    <row r="3" spans="1:29" x14ac:dyDescent="0.25">
      <c r="A3" s="37" t="s">
        <v>34</v>
      </c>
      <c r="B3" s="37" t="s">
        <v>76</v>
      </c>
      <c r="C3" s="39">
        <v>0.35</v>
      </c>
      <c r="D3" s="43">
        <f>+(1-C3)</f>
        <v>0.65</v>
      </c>
      <c r="E3" s="44">
        <f>1-($D$3*E2)</f>
        <v>0.5774999999999999</v>
      </c>
      <c r="F3" s="45">
        <f t="shared" ref="F3:Z3" si="0">1-($D$3*F2)</f>
        <v>0.74</v>
      </c>
      <c r="G3" s="45">
        <f t="shared" si="0"/>
        <v>0.83750000000000002</v>
      </c>
      <c r="H3" s="45">
        <f t="shared" si="0"/>
        <v>0.87</v>
      </c>
      <c r="I3" s="46">
        <f t="shared" si="0"/>
        <v>0.70750000000000002</v>
      </c>
      <c r="J3" s="46">
        <f t="shared" si="0"/>
        <v>0.54500000000000004</v>
      </c>
      <c r="K3" s="45">
        <f t="shared" si="0"/>
        <v>0.70100000000000007</v>
      </c>
      <c r="L3" s="47">
        <f t="shared" si="0"/>
        <v>0.66849999999999998</v>
      </c>
      <c r="M3" s="45">
        <f t="shared" si="0"/>
        <v>0.5645</v>
      </c>
      <c r="N3" s="47">
        <f t="shared" si="0"/>
        <v>0.61</v>
      </c>
      <c r="O3" s="47">
        <f t="shared" si="0"/>
        <v>0.72049999999999992</v>
      </c>
      <c r="P3" s="47">
        <f t="shared" si="0"/>
        <v>0.5515000000000001</v>
      </c>
      <c r="Q3" s="48">
        <f t="shared" si="0"/>
        <v>0.5515000000000001</v>
      </c>
      <c r="R3" s="47">
        <f t="shared" si="0"/>
        <v>0.4345</v>
      </c>
      <c r="S3" s="47">
        <f t="shared" si="0"/>
        <v>0.4345</v>
      </c>
      <c r="T3" s="45">
        <f t="shared" si="0"/>
        <v>0.44750000000000001</v>
      </c>
      <c r="U3" s="47">
        <f t="shared" si="0"/>
        <v>0.54500000000000004</v>
      </c>
      <c r="V3" s="47">
        <f t="shared" si="0"/>
        <v>0.48</v>
      </c>
      <c r="W3" s="47">
        <f t="shared" si="0"/>
        <v>0.59050000000000002</v>
      </c>
      <c r="X3" s="47">
        <f t="shared" si="0"/>
        <v>0.59050000000000002</v>
      </c>
      <c r="Y3" s="48">
        <f t="shared" si="0"/>
        <v>0.67500000000000004</v>
      </c>
      <c r="Z3" s="48">
        <f t="shared" si="0"/>
        <v>0.67500000000000004</v>
      </c>
    </row>
    <row r="4" spans="1:29" x14ac:dyDescent="0.25">
      <c r="A4" s="37" t="s">
        <v>35</v>
      </c>
      <c r="B4" s="37" t="s">
        <v>60</v>
      </c>
      <c r="C4" s="39">
        <v>0.6</v>
      </c>
      <c r="D4" s="43">
        <f t="shared" ref="D4:D25" si="1">+(1-C4)</f>
        <v>0.4</v>
      </c>
      <c r="E4" s="45">
        <f>1-+$D$4*E2</f>
        <v>0.74</v>
      </c>
      <c r="F4" s="44">
        <f t="shared" ref="F4:Z4" si="2">1-+$D$4*F2</f>
        <v>0.84</v>
      </c>
      <c r="G4" s="45">
        <f t="shared" si="2"/>
        <v>0.9</v>
      </c>
      <c r="H4" s="45">
        <f t="shared" si="2"/>
        <v>0.92</v>
      </c>
      <c r="I4" s="45">
        <f t="shared" si="2"/>
        <v>0.82000000000000006</v>
      </c>
      <c r="J4" s="45">
        <f t="shared" si="2"/>
        <v>0.72</v>
      </c>
      <c r="K4" s="45">
        <f t="shared" si="2"/>
        <v>0.81600000000000006</v>
      </c>
      <c r="L4" s="47">
        <f t="shared" si="2"/>
        <v>0.79600000000000004</v>
      </c>
      <c r="M4" s="45">
        <f t="shared" si="2"/>
        <v>0.73199999999999998</v>
      </c>
      <c r="N4" s="47">
        <f t="shared" si="2"/>
        <v>0.76</v>
      </c>
      <c r="O4" s="47">
        <f t="shared" si="2"/>
        <v>0.82799999999999996</v>
      </c>
      <c r="P4" s="45">
        <f t="shared" si="2"/>
        <v>0.72399999999999998</v>
      </c>
      <c r="Q4" s="45">
        <f t="shared" si="2"/>
        <v>0.72399999999999998</v>
      </c>
      <c r="R4" s="45">
        <f t="shared" si="2"/>
        <v>0.65199999999999991</v>
      </c>
      <c r="S4" s="45">
        <f t="shared" si="2"/>
        <v>0.65199999999999991</v>
      </c>
      <c r="T4" s="45">
        <f t="shared" si="2"/>
        <v>0.65999999999999992</v>
      </c>
      <c r="U4" s="47">
        <f t="shared" si="2"/>
        <v>0.72</v>
      </c>
      <c r="V4" s="47">
        <f t="shared" si="2"/>
        <v>0.67999999999999994</v>
      </c>
      <c r="W4" s="45">
        <f t="shared" si="2"/>
        <v>0.748</v>
      </c>
      <c r="X4" s="45">
        <f t="shared" si="2"/>
        <v>0.748</v>
      </c>
      <c r="Y4" s="45">
        <f t="shared" si="2"/>
        <v>0.8</v>
      </c>
      <c r="Z4" s="45">
        <f t="shared" si="2"/>
        <v>0.8</v>
      </c>
    </row>
    <row r="5" spans="1:29" x14ac:dyDescent="0.25">
      <c r="A5" s="37" t="s">
        <v>36</v>
      </c>
      <c r="B5" s="37" t="s">
        <v>61</v>
      </c>
      <c r="C5" s="39">
        <v>0.75</v>
      </c>
      <c r="D5" s="43">
        <f t="shared" si="1"/>
        <v>0.25</v>
      </c>
      <c r="E5" s="45">
        <f>1-+$D$5*E2</f>
        <v>0.83750000000000002</v>
      </c>
      <c r="F5" s="45">
        <f t="shared" ref="F5:Z5" si="3">1-+$D$5*F2</f>
        <v>0.9</v>
      </c>
      <c r="G5" s="44">
        <f t="shared" si="3"/>
        <v>0.9375</v>
      </c>
      <c r="H5" s="45">
        <f t="shared" si="3"/>
        <v>0.95</v>
      </c>
      <c r="I5" s="45">
        <f t="shared" si="3"/>
        <v>0.88749999999999996</v>
      </c>
      <c r="J5" s="45">
        <f t="shared" si="3"/>
        <v>0.82499999999999996</v>
      </c>
      <c r="K5" s="45">
        <f t="shared" si="3"/>
        <v>0.88500000000000001</v>
      </c>
      <c r="L5" s="47">
        <f t="shared" si="3"/>
        <v>0.87250000000000005</v>
      </c>
      <c r="M5" s="45">
        <f t="shared" si="3"/>
        <v>0.83250000000000002</v>
      </c>
      <c r="N5" s="47">
        <f t="shared" si="3"/>
        <v>0.85</v>
      </c>
      <c r="O5" s="47">
        <f t="shared" si="3"/>
        <v>0.89249999999999996</v>
      </c>
      <c r="P5" s="45">
        <f t="shared" si="3"/>
        <v>0.82750000000000001</v>
      </c>
      <c r="Q5" s="45">
        <f t="shared" si="3"/>
        <v>0.82750000000000001</v>
      </c>
      <c r="R5" s="45">
        <f t="shared" si="3"/>
        <v>0.78249999999999997</v>
      </c>
      <c r="S5" s="45">
        <f t="shared" si="3"/>
        <v>0.78249999999999997</v>
      </c>
      <c r="T5" s="45">
        <f t="shared" si="3"/>
        <v>0.78749999999999998</v>
      </c>
      <c r="U5" s="47">
        <f t="shared" si="3"/>
        <v>0.82499999999999996</v>
      </c>
      <c r="V5" s="47">
        <f t="shared" si="3"/>
        <v>0.8</v>
      </c>
      <c r="W5" s="45">
        <f t="shared" si="3"/>
        <v>0.84250000000000003</v>
      </c>
      <c r="X5" s="45">
        <f t="shared" si="3"/>
        <v>0.84250000000000003</v>
      </c>
      <c r="Y5" s="45">
        <f t="shared" si="3"/>
        <v>0.875</v>
      </c>
      <c r="Z5" s="45">
        <f t="shared" si="3"/>
        <v>0.875</v>
      </c>
    </row>
    <row r="6" spans="1:29" x14ac:dyDescent="0.25">
      <c r="A6" s="37" t="s">
        <v>37</v>
      </c>
      <c r="B6" s="37" t="s">
        <v>62</v>
      </c>
      <c r="C6" s="39">
        <v>0.8</v>
      </c>
      <c r="D6" s="43">
        <f t="shared" si="1"/>
        <v>0.19999999999999996</v>
      </c>
      <c r="E6" s="45">
        <f>1-+$D$6*E2</f>
        <v>0.87</v>
      </c>
      <c r="F6" s="45">
        <f t="shared" ref="F6:Z6" si="4">1-+$D$6*F2</f>
        <v>0.92</v>
      </c>
      <c r="G6" s="45">
        <f t="shared" si="4"/>
        <v>0.95</v>
      </c>
      <c r="H6" s="44">
        <f t="shared" si="4"/>
        <v>0.96</v>
      </c>
      <c r="I6" s="45">
        <f t="shared" si="4"/>
        <v>0.91</v>
      </c>
      <c r="J6" s="45">
        <f t="shared" si="4"/>
        <v>0.8600000000000001</v>
      </c>
      <c r="K6" s="45">
        <f t="shared" si="4"/>
        <v>0.90800000000000003</v>
      </c>
      <c r="L6" s="47">
        <f t="shared" si="4"/>
        <v>0.89800000000000002</v>
      </c>
      <c r="M6" s="45">
        <f t="shared" si="4"/>
        <v>0.8660000000000001</v>
      </c>
      <c r="N6" s="47">
        <f t="shared" si="4"/>
        <v>0.88</v>
      </c>
      <c r="O6" s="47">
        <f t="shared" si="4"/>
        <v>0.91400000000000003</v>
      </c>
      <c r="P6" s="45">
        <f t="shared" si="4"/>
        <v>0.8620000000000001</v>
      </c>
      <c r="Q6" s="45">
        <f t="shared" si="4"/>
        <v>0.8620000000000001</v>
      </c>
      <c r="R6" s="45">
        <f t="shared" si="4"/>
        <v>0.82600000000000007</v>
      </c>
      <c r="S6" s="45">
        <f t="shared" si="4"/>
        <v>0.82600000000000007</v>
      </c>
      <c r="T6" s="45">
        <f t="shared" si="4"/>
        <v>0.83000000000000007</v>
      </c>
      <c r="U6" s="47">
        <f t="shared" si="4"/>
        <v>0.8600000000000001</v>
      </c>
      <c r="V6" s="47">
        <f t="shared" si="4"/>
        <v>0.84000000000000008</v>
      </c>
      <c r="W6" s="45">
        <f t="shared" si="4"/>
        <v>0.874</v>
      </c>
      <c r="X6" s="45">
        <f t="shared" si="4"/>
        <v>0.874</v>
      </c>
      <c r="Y6" s="45">
        <f t="shared" si="4"/>
        <v>0.9</v>
      </c>
      <c r="Z6" s="45">
        <f t="shared" si="4"/>
        <v>0.9</v>
      </c>
    </row>
    <row r="7" spans="1:29" x14ac:dyDescent="0.25">
      <c r="B7" s="37" t="s">
        <v>107</v>
      </c>
      <c r="D7" s="43"/>
      <c r="E7" s="45"/>
      <c r="F7" s="45"/>
      <c r="G7" s="45"/>
      <c r="H7" s="44"/>
      <c r="I7" s="45"/>
      <c r="J7" s="45"/>
      <c r="K7" s="45"/>
      <c r="L7" s="47"/>
      <c r="M7" s="45"/>
      <c r="N7" s="47"/>
      <c r="O7" s="47"/>
      <c r="P7" s="45"/>
      <c r="Q7" s="45"/>
      <c r="R7" s="45"/>
      <c r="S7" s="45"/>
      <c r="T7" s="45"/>
      <c r="U7" s="47"/>
      <c r="V7" s="47"/>
      <c r="W7" s="45"/>
      <c r="X7" s="45"/>
      <c r="Y7" s="45"/>
      <c r="Z7" s="45"/>
    </row>
    <row r="8" spans="1:29" x14ac:dyDescent="0.25">
      <c r="A8" s="37" t="s">
        <v>38</v>
      </c>
      <c r="B8" s="37" t="s">
        <v>108</v>
      </c>
      <c r="C8" s="39">
        <v>0.55000000000000004</v>
      </c>
      <c r="D8" s="43">
        <f t="shared" si="1"/>
        <v>0.44999999999999996</v>
      </c>
      <c r="E8" s="46">
        <f>1-+$D$8*E2</f>
        <v>0.70750000000000002</v>
      </c>
      <c r="F8" s="45">
        <f t="shared" ref="F8:Z8" si="5">1-+$D$8*F2</f>
        <v>0.82000000000000006</v>
      </c>
      <c r="G8" s="45">
        <f t="shared" si="5"/>
        <v>0.88749999999999996</v>
      </c>
      <c r="H8" s="45">
        <f t="shared" si="5"/>
        <v>0.91</v>
      </c>
      <c r="I8" s="44">
        <f t="shared" si="5"/>
        <v>0.7975000000000001</v>
      </c>
      <c r="J8" s="47">
        <f t="shared" si="5"/>
        <v>0.68500000000000005</v>
      </c>
      <c r="K8" s="45">
        <f t="shared" si="5"/>
        <v>0.79300000000000004</v>
      </c>
      <c r="L8" s="45">
        <f t="shared" si="5"/>
        <v>0.77049999999999996</v>
      </c>
      <c r="M8" s="48">
        <f t="shared" si="5"/>
        <v>0.69850000000000012</v>
      </c>
      <c r="N8" s="48">
        <f t="shared" si="5"/>
        <v>0.73</v>
      </c>
      <c r="O8" s="48">
        <f t="shared" si="5"/>
        <v>0.80649999999999999</v>
      </c>
      <c r="P8" s="49">
        <f t="shared" si="5"/>
        <v>0.6895</v>
      </c>
      <c r="Q8" s="49">
        <f t="shared" si="5"/>
        <v>0.6895</v>
      </c>
      <c r="R8" s="49">
        <f t="shared" si="5"/>
        <v>0.60850000000000004</v>
      </c>
      <c r="S8" s="49">
        <f t="shared" si="5"/>
        <v>0.60850000000000004</v>
      </c>
      <c r="T8" s="45">
        <f t="shared" si="5"/>
        <v>0.61750000000000005</v>
      </c>
      <c r="U8" s="47">
        <f t="shared" si="5"/>
        <v>0.68500000000000005</v>
      </c>
      <c r="V8" s="47">
        <f t="shared" si="5"/>
        <v>0.64</v>
      </c>
      <c r="W8" s="49">
        <f t="shared" si="5"/>
        <v>0.71650000000000003</v>
      </c>
      <c r="X8" s="49">
        <f t="shared" si="5"/>
        <v>0.71650000000000003</v>
      </c>
      <c r="Y8" s="47">
        <f t="shared" si="5"/>
        <v>0.77500000000000002</v>
      </c>
      <c r="Z8" s="49">
        <f t="shared" si="5"/>
        <v>0.77500000000000002</v>
      </c>
    </row>
    <row r="9" spans="1:29" x14ac:dyDescent="0.25">
      <c r="A9" s="37" t="s">
        <v>45</v>
      </c>
      <c r="B9" s="37" t="s">
        <v>109</v>
      </c>
      <c r="C9" s="39">
        <v>0.3</v>
      </c>
      <c r="D9" s="43">
        <f t="shared" si="1"/>
        <v>0.7</v>
      </c>
      <c r="E9" s="46">
        <f>1-+$D$9*E2</f>
        <v>0.54500000000000004</v>
      </c>
      <c r="F9" s="45">
        <f t="shared" ref="F9:Z9" si="6">1-+$D$9*F2</f>
        <v>0.72</v>
      </c>
      <c r="G9" s="45">
        <f t="shared" si="6"/>
        <v>0.82499999999999996</v>
      </c>
      <c r="H9" s="45">
        <f t="shared" si="6"/>
        <v>0.8600000000000001</v>
      </c>
      <c r="I9" s="45">
        <f t="shared" si="6"/>
        <v>0.68500000000000005</v>
      </c>
      <c r="J9" s="44">
        <f t="shared" si="6"/>
        <v>0.51</v>
      </c>
      <c r="K9" s="45">
        <f t="shared" si="6"/>
        <v>0.67800000000000005</v>
      </c>
      <c r="L9" s="45">
        <f t="shared" si="6"/>
        <v>0.64300000000000002</v>
      </c>
      <c r="M9" s="47">
        <f t="shared" si="6"/>
        <v>0.53100000000000014</v>
      </c>
      <c r="N9" s="47">
        <f t="shared" si="6"/>
        <v>0.58000000000000007</v>
      </c>
      <c r="O9" s="47">
        <f t="shared" si="6"/>
        <v>0.69900000000000007</v>
      </c>
      <c r="P9" s="49">
        <f t="shared" si="6"/>
        <v>0.51700000000000013</v>
      </c>
      <c r="Q9" s="49">
        <f t="shared" si="6"/>
        <v>0.51700000000000013</v>
      </c>
      <c r="R9" s="49">
        <f t="shared" si="6"/>
        <v>0.39100000000000001</v>
      </c>
      <c r="S9" s="49">
        <f t="shared" si="6"/>
        <v>0.39100000000000001</v>
      </c>
      <c r="T9" s="45">
        <f t="shared" si="6"/>
        <v>0.40500000000000003</v>
      </c>
      <c r="U9" s="47">
        <f t="shared" si="6"/>
        <v>0.51</v>
      </c>
      <c r="V9" s="47">
        <f t="shared" si="6"/>
        <v>0.44000000000000006</v>
      </c>
      <c r="W9" s="49">
        <f t="shared" si="6"/>
        <v>0.55900000000000005</v>
      </c>
      <c r="X9" s="49">
        <f t="shared" si="6"/>
        <v>0.55900000000000005</v>
      </c>
      <c r="Y9" s="49">
        <f t="shared" si="6"/>
        <v>0.65</v>
      </c>
      <c r="Z9" s="49">
        <f t="shared" si="6"/>
        <v>0.65</v>
      </c>
    </row>
    <row r="10" spans="1:29" x14ac:dyDescent="0.25">
      <c r="A10" s="37" t="s">
        <v>39</v>
      </c>
      <c r="B10" s="37" t="s">
        <v>110</v>
      </c>
      <c r="C10" s="39">
        <v>0.54</v>
      </c>
      <c r="D10" s="43">
        <f t="shared" si="1"/>
        <v>0.45999999999999996</v>
      </c>
      <c r="E10" s="45">
        <f>1-+$D$10*E2</f>
        <v>0.70100000000000007</v>
      </c>
      <c r="F10" s="45">
        <f t="shared" ref="F10:Z10" si="7">1-+$D$10*F2</f>
        <v>0.81600000000000006</v>
      </c>
      <c r="G10" s="45">
        <f t="shared" si="7"/>
        <v>0.88500000000000001</v>
      </c>
      <c r="H10" s="45">
        <f t="shared" si="7"/>
        <v>0.90800000000000003</v>
      </c>
      <c r="I10" s="45">
        <f t="shared" si="7"/>
        <v>0.79300000000000004</v>
      </c>
      <c r="J10" s="45">
        <f t="shared" si="7"/>
        <v>0.67800000000000005</v>
      </c>
      <c r="K10" s="44">
        <f t="shared" si="7"/>
        <v>0.78839999999999999</v>
      </c>
      <c r="L10" s="45">
        <f t="shared" si="7"/>
        <v>0.76540000000000008</v>
      </c>
      <c r="M10" s="45">
        <f t="shared" si="7"/>
        <v>0.69180000000000008</v>
      </c>
      <c r="N10" s="45">
        <f t="shared" si="7"/>
        <v>0.72399999999999998</v>
      </c>
      <c r="O10" s="45">
        <f t="shared" si="7"/>
        <v>0.80220000000000002</v>
      </c>
      <c r="P10" s="45">
        <f t="shared" si="7"/>
        <v>0.6826000000000001</v>
      </c>
      <c r="Q10" s="45">
        <f t="shared" si="7"/>
        <v>0.6826000000000001</v>
      </c>
      <c r="R10" s="45">
        <f t="shared" si="7"/>
        <v>0.59980000000000011</v>
      </c>
      <c r="S10" s="45">
        <f t="shared" si="7"/>
        <v>0.59980000000000011</v>
      </c>
      <c r="T10" s="45">
        <f t="shared" si="7"/>
        <v>0.60899999999999999</v>
      </c>
      <c r="U10" s="45">
        <f t="shared" si="7"/>
        <v>0.67800000000000005</v>
      </c>
      <c r="V10" s="45">
        <f t="shared" si="7"/>
        <v>0.63200000000000001</v>
      </c>
      <c r="W10" s="45">
        <f t="shared" si="7"/>
        <v>0.71019999999999994</v>
      </c>
      <c r="X10" s="45">
        <f t="shared" si="7"/>
        <v>0.71019999999999994</v>
      </c>
      <c r="Y10" s="45">
        <f t="shared" si="7"/>
        <v>0.77</v>
      </c>
      <c r="Z10" s="45">
        <f t="shared" si="7"/>
        <v>0.77</v>
      </c>
    </row>
    <row r="11" spans="1:29" x14ac:dyDescent="0.25">
      <c r="A11" s="37" t="s">
        <v>40</v>
      </c>
      <c r="B11" s="37" t="s">
        <v>64</v>
      </c>
      <c r="C11" s="39">
        <v>0.49</v>
      </c>
      <c r="D11" s="43">
        <f t="shared" si="1"/>
        <v>0.51</v>
      </c>
      <c r="E11" s="47">
        <f>1-+$D$11*E2</f>
        <v>0.66849999999999998</v>
      </c>
      <c r="F11" s="47">
        <f t="shared" ref="F11:Z11" si="8">1-+$D$11*F2</f>
        <v>0.79600000000000004</v>
      </c>
      <c r="G11" s="47">
        <f t="shared" si="8"/>
        <v>0.87250000000000005</v>
      </c>
      <c r="H11" s="47">
        <f t="shared" si="8"/>
        <v>0.89800000000000002</v>
      </c>
      <c r="I11" s="45">
        <f t="shared" si="8"/>
        <v>0.77049999999999996</v>
      </c>
      <c r="J11" s="45">
        <f t="shared" si="8"/>
        <v>0.64300000000000002</v>
      </c>
      <c r="K11" s="45">
        <f t="shared" si="8"/>
        <v>0.76540000000000008</v>
      </c>
      <c r="L11" s="44">
        <f t="shared" si="8"/>
        <v>0.7399</v>
      </c>
      <c r="M11" s="47">
        <f t="shared" si="8"/>
        <v>0.65830000000000011</v>
      </c>
      <c r="N11" s="47">
        <f t="shared" si="8"/>
        <v>0.69399999999999995</v>
      </c>
      <c r="O11" s="47">
        <f t="shared" si="8"/>
        <v>0.78069999999999995</v>
      </c>
      <c r="P11" s="47">
        <f t="shared" si="8"/>
        <v>0.64810000000000001</v>
      </c>
      <c r="Q11" s="47">
        <f t="shared" si="8"/>
        <v>0.64810000000000001</v>
      </c>
      <c r="R11" s="47">
        <f t="shared" si="8"/>
        <v>0.55630000000000002</v>
      </c>
      <c r="S11" s="47">
        <f t="shared" si="8"/>
        <v>0.55630000000000002</v>
      </c>
      <c r="T11" s="45">
        <f t="shared" si="8"/>
        <v>0.5665</v>
      </c>
      <c r="U11" s="45">
        <f t="shared" si="8"/>
        <v>0.64300000000000002</v>
      </c>
      <c r="V11" s="45">
        <f t="shared" si="8"/>
        <v>0.59199999999999997</v>
      </c>
      <c r="W11" s="47">
        <f t="shared" si="8"/>
        <v>0.67869999999999997</v>
      </c>
      <c r="X11" s="47">
        <f t="shared" si="8"/>
        <v>0.67869999999999997</v>
      </c>
      <c r="Y11" s="47">
        <f t="shared" si="8"/>
        <v>0.745</v>
      </c>
      <c r="Z11" s="47">
        <f t="shared" si="8"/>
        <v>0.745</v>
      </c>
    </row>
    <row r="12" spans="1:29" x14ac:dyDescent="0.25">
      <c r="A12" s="37" t="s">
        <v>41</v>
      </c>
      <c r="B12" s="37" t="s">
        <v>65</v>
      </c>
      <c r="C12" s="39">
        <v>0.33</v>
      </c>
      <c r="D12" s="43">
        <f t="shared" si="1"/>
        <v>0.66999999999999993</v>
      </c>
      <c r="E12" s="45">
        <f>1-+$D$12*E2</f>
        <v>0.5645</v>
      </c>
      <c r="F12" s="45">
        <f t="shared" ref="F12:Z12" si="9">1-+$D$12*F2</f>
        <v>0.73199999999999998</v>
      </c>
      <c r="G12" s="45">
        <f t="shared" si="9"/>
        <v>0.83250000000000002</v>
      </c>
      <c r="H12" s="45">
        <f t="shared" si="9"/>
        <v>0.8660000000000001</v>
      </c>
      <c r="I12" s="48">
        <f t="shared" si="9"/>
        <v>0.69850000000000012</v>
      </c>
      <c r="J12" s="47">
        <f t="shared" si="9"/>
        <v>0.53100000000000014</v>
      </c>
      <c r="K12" s="45">
        <f t="shared" si="9"/>
        <v>0.69180000000000008</v>
      </c>
      <c r="L12" s="47">
        <f t="shared" si="9"/>
        <v>0.65830000000000011</v>
      </c>
      <c r="M12" s="44">
        <f t="shared" si="9"/>
        <v>0.55110000000000015</v>
      </c>
      <c r="N12" s="47">
        <f t="shared" si="9"/>
        <v>0.59800000000000009</v>
      </c>
      <c r="O12" s="47">
        <f t="shared" si="9"/>
        <v>0.71189999999999998</v>
      </c>
      <c r="P12" s="48">
        <f t="shared" si="9"/>
        <v>0.53770000000000007</v>
      </c>
      <c r="Q12" s="48">
        <f t="shared" si="9"/>
        <v>0.53770000000000007</v>
      </c>
      <c r="R12" s="47">
        <f t="shared" si="9"/>
        <v>0.41710000000000003</v>
      </c>
      <c r="S12" s="47">
        <f t="shared" si="9"/>
        <v>0.41710000000000003</v>
      </c>
      <c r="T12" s="45">
        <f t="shared" si="9"/>
        <v>0.4305000000000001</v>
      </c>
      <c r="U12" s="47">
        <f t="shared" si="9"/>
        <v>0.53100000000000014</v>
      </c>
      <c r="V12" s="47">
        <f t="shared" si="9"/>
        <v>0.46400000000000008</v>
      </c>
      <c r="W12" s="47">
        <f t="shared" si="9"/>
        <v>0.57790000000000008</v>
      </c>
      <c r="X12" s="47">
        <f t="shared" si="9"/>
        <v>0.57790000000000008</v>
      </c>
      <c r="Y12" s="47">
        <f t="shared" si="9"/>
        <v>0.66500000000000004</v>
      </c>
      <c r="Z12" s="48">
        <f t="shared" si="9"/>
        <v>0.66500000000000004</v>
      </c>
    </row>
    <row r="13" spans="1:29" x14ac:dyDescent="0.25">
      <c r="A13" s="37" t="s">
        <v>42</v>
      </c>
      <c r="B13" s="37" t="s">
        <v>66</v>
      </c>
      <c r="C13" s="39">
        <v>0.4</v>
      </c>
      <c r="D13" s="43">
        <f t="shared" si="1"/>
        <v>0.6</v>
      </c>
      <c r="E13" s="47">
        <f>1-+$D$13*E2</f>
        <v>0.61</v>
      </c>
      <c r="F13" s="47">
        <f t="shared" ref="F13:Z13" si="10">1-+$D$13*F2</f>
        <v>0.76</v>
      </c>
      <c r="G13" s="47">
        <f t="shared" si="10"/>
        <v>0.85</v>
      </c>
      <c r="H13" s="47">
        <f t="shared" si="10"/>
        <v>0.88</v>
      </c>
      <c r="I13" s="48">
        <f t="shared" si="10"/>
        <v>0.73</v>
      </c>
      <c r="J13" s="47">
        <f t="shared" si="10"/>
        <v>0.58000000000000007</v>
      </c>
      <c r="K13" s="45">
        <f t="shared" si="10"/>
        <v>0.72399999999999998</v>
      </c>
      <c r="L13" s="47">
        <f t="shared" si="10"/>
        <v>0.69399999999999995</v>
      </c>
      <c r="M13" s="47">
        <f t="shared" si="10"/>
        <v>0.59800000000000009</v>
      </c>
      <c r="N13" s="44">
        <f t="shared" si="10"/>
        <v>0.64</v>
      </c>
      <c r="O13" s="47">
        <f t="shared" si="10"/>
        <v>0.74199999999999999</v>
      </c>
      <c r="P13" s="47">
        <f t="shared" si="10"/>
        <v>0.58600000000000008</v>
      </c>
      <c r="Q13" s="48">
        <f t="shared" si="10"/>
        <v>0.58600000000000008</v>
      </c>
      <c r="R13" s="47">
        <f t="shared" si="10"/>
        <v>0.47799999999999998</v>
      </c>
      <c r="S13" s="47">
        <f t="shared" si="10"/>
        <v>0.47799999999999998</v>
      </c>
      <c r="T13" s="45">
        <f t="shared" si="10"/>
        <v>0.49</v>
      </c>
      <c r="U13" s="47">
        <f t="shared" si="10"/>
        <v>0.58000000000000007</v>
      </c>
      <c r="V13" s="47">
        <f t="shared" si="10"/>
        <v>0.52</v>
      </c>
      <c r="W13" s="47">
        <f t="shared" si="10"/>
        <v>0.622</v>
      </c>
      <c r="X13" s="47">
        <f t="shared" si="10"/>
        <v>0.622</v>
      </c>
      <c r="Y13" s="47">
        <f t="shared" si="10"/>
        <v>0.7</v>
      </c>
      <c r="Z13" s="47">
        <f t="shared" si="10"/>
        <v>0.7</v>
      </c>
    </row>
    <row r="14" spans="1:29" x14ac:dyDescent="0.25">
      <c r="A14" s="37" t="s">
        <v>46</v>
      </c>
      <c r="B14" s="37" t="s">
        <v>32</v>
      </c>
      <c r="C14" s="39">
        <v>0.56999999999999995</v>
      </c>
      <c r="D14" s="43">
        <f t="shared" si="1"/>
        <v>0.43000000000000005</v>
      </c>
      <c r="E14" s="47">
        <f>1-+$D$14*E2</f>
        <v>0.72049999999999992</v>
      </c>
      <c r="F14" s="47">
        <f t="shared" ref="F14:Z14" si="11">1-+$D$14*F2</f>
        <v>0.82799999999999996</v>
      </c>
      <c r="G14" s="47">
        <f t="shared" si="11"/>
        <v>0.89249999999999996</v>
      </c>
      <c r="H14" s="47">
        <f t="shared" si="11"/>
        <v>0.91400000000000003</v>
      </c>
      <c r="I14" s="48">
        <f t="shared" si="11"/>
        <v>0.80649999999999999</v>
      </c>
      <c r="J14" s="47">
        <f t="shared" si="11"/>
        <v>0.69900000000000007</v>
      </c>
      <c r="K14" s="45">
        <f t="shared" si="11"/>
        <v>0.80220000000000002</v>
      </c>
      <c r="L14" s="47">
        <f t="shared" si="11"/>
        <v>0.78069999999999995</v>
      </c>
      <c r="M14" s="47">
        <f t="shared" si="11"/>
        <v>0.71189999999999998</v>
      </c>
      <c r="N14" s="47">
        <f t="shared" si="11"/>
        <v>0.74199999999999999</v>
      </c>
      <c r="O14" s="44">
        <f t="shared" si="11"/>
        <v>0.81509999999999994</v>
      </c>
      <c r="P14" s="48">
        <f t="shared" si="11"/>
        <v>0.70330000000000004</v>
      </c>
      <c r="Q14" s="48">
        <f t="shared" si="11"/>
        <v>0.70330000000000004</v>
      </c>
      <c r="R14" s="47">
        <f t="shared" si="11"/>
        <v>0.6258999999999999</v>
      </c>
      <c r="S14" s="48">
        <f t="shared" si="11"/>
        <v>0.6258999999999999</v>
      </c>
      <c r="T14" s="45">
        <f t="shared" si="11"/>
        <v>0.63449999999999995</v>
      </c>
      <c r="U14" s="47">
        <f t="shared" si="11"/>
        <v>0.69900000000000007</v>
      </c>
      <c r="V14" s="47">
        <f t="shared" si="11"/>
        <v>0.65599999999999992</v>
      </c>
      <c r="W14" s="47">
        <f t="shared" si="11"/>
        <v>0.72909999999999997</v>
      </c>
      <c r="X14" s="47">
        <f t="shared" si="11"/>
        <v>0.72909999999999997</v>
      </c>
      <c r="Y14" s="47">
        <f t="shared" si="11"/>
        <v>0.78499999999999992</v>
      </c>
      <c r="Z14" s="48">
        <f t="shared" si="11"/>
        <v>0.78499999999999992</v>
      </c>
    </row>
    <row r="15" spans="1:29" x14ac:dyDescent="0.25">
      <c r="A15" s="37" t="s">
        <v>43</v>
      </c>
      <c r="B15" s="37" t="s">
        <v>77</v>
      </c>
      <c r="C15" s="39">
        <v>0.31</v>
      </c>
      <c r="D15" s="43">
        <f t="shared" si="1"/>
        <v>0.69</v>
      </c>
      <c r="E15" s="47">
        <f>1-+$D$15*E2</f>
        <v>0.5515000000000001</v>
      </c>
      <c r="F15" s="45">
        <f t="shared" ref="F15:Z15" si="12">1-+$D$15*F2</f>
        <v>0.72399999999999998</v>
      </c>
      <c r="G15" s="45">
        <f t="shared" si="12"/>
        <v>0.82750000000000001</v>
      </c>
      <c r="H15" s="45">
        <f t="shared" si="12"/>
        <v>0.8620000000000001</v>
      </c>
      <c r="I15" s="49">
        <f t="shared" si="12"/>
        <v>0.6895</v>
      </c>
      <c r="J15" s="49">
        <f t="shared" si="12"/>
        <v>0.51700000000000013</v>
      </c>
      <c r="K15" s="45">
        <f t="shared" si="12"/>
        <v>0.6826000000000001</v>
      </c>
      <c r="L15" s="47">
        <f t="shared" si="12"/>
        <v>0.64810000000000001</v>
      </c>
      <c r="M15" s="48">
        <f t="shared" si="12"/>
        <v>0.53770000000000007</v>
      </c>
      <c r="N15" s="47">
        <f t="shared" si="12"/>
        <v>0.58600000000000008</v>
      </c>
      <c r="O15" s="48">
        <f t="shared" si="12"/>
        <v>0.70330000000000004</v>
      </c>
      <c r="P15" s="44">
        <f t="shared" si="12"/>
        <v>0.52390000000000003</v>
      </c>
      <c r="Q15" s="44">
        <f t="shared" si="12"/>
        <v>0.52390000000000003</v>
      </c>
      <c r="R15" s="45">
        <f t="shared" si="12"/>
        <v>0.39970000000000006</v>
      </c>
      <c r="S15" s="45">
        <f t="shared" si="12"/>
        <v>0.39970000000000006</v>
      </c>
      <c r="T15" s="45">
        <f t="shared" si="12"/>
        <v>0.41350000000000009</v>
      </c>
      <c r="U15" s="49">
        <f t="shared" si="12"/>
        <v>0.51700000000000013</v>
      </c>
      <c r="V15" s="49">
        <f t="shared" si="12"/>
        <v>0.44800000000000006</v>
      </c>
      <c r="W15" s="47">
        <f t="shared" si="12"/>
        <v>0.56530000000000002</v>
      </c>
      <c r="X15" s="47">
        <f t="shared" si="12"/>
        <v>0.56530000000000002</v>
      </c>
      <c r="Y15" s="45">
        <f t="shared" si="12"/>
        <v>0.65500000000000003</v>
      </c>
      <c r="Z15" s="45">
        <f t="shared" si="12"/>
        <v>0.65500000000000003</v>
      </c>
    </row>
    <row r="16" spans="1:29" x14ac:dyDescent="0.25">
      <c r="A16" s="37" t="s">
        <v>47</v>
      </c>
      <c r="B16" s="37" t="s">
        <v>78</v>
      </c>
      <c r="C16" s="39">
        <v>0.31</v>
      </c>
      <c r="D16" s="43">
        <f t="shared" si="1"/>
        <v>0.69</v>
      </c>
      <c r="E16" s="46">
        <f>1-+$D$16*E2</f>
        <v>0.5515000000000001</v>
      </c>
      <c r="F16" s="45">
        <f t="shared" ref="F16:Z16" si="13">1-+$D$16*F2</f>
        <v>0.72399999999999998</v>
      </c>
      <c r="G16" s="45">
        <f t="shared" si="13"/>
        <v>0.82750000000000001</v>
      </c>
      <c r="H16" s="45">
        <f t="shared" si="13"/>
        <v>0.8620000000000001</v>
      </c>
      <c r="I16" s="49">
        <f t="shared" si="13"/>
        <v>0.6895</v>
      </c>
      <c r="J16" s="49">
        <f t="shared" si="13"/>
        <v>0.51700000000000013</v>
      </c>
      <c r="K16" s="45">
        <f t="shared" si="13"/>
        <v>0.6826000000000001</v>
      </c>
      <c r="L16" s="47">
        <f t="shared" si="13"/>
        <v>0.64810000000000001</v>
      </c>
      <c r="M16" s="48">
        <f t="shared" si="13"/>
        <v>0.53770000000000007</v>
      </c>
      <c r="N16" s="48">
        <f t="shared" si="13"/>
        <v>0.58600000000000008</v>
      </c>
      <c r="O16" s="48">
        <f t="shared" si="13"/>
        <v>0.70330000000000004</v>
      </c>
      <c r="P16" s="44">
        <f t="shared" si="13"/>
        <v>0.52390000000000003</v>
      </c>
      <c r="Q16" s="44">
        <f t="shared" si="13"/>
        <v>0.52390000000000003</v>
      </c>
      <c r="R16" s="45">
        <f t="shared" si="13"/>
        <v>0.39970000000000006</v>
      </c>
      <c r="S16" s="45">
        <f t="shared" si="13"/>
        <v>0.39970000000000006</v>
      </c>
      <c r="T16" s="45">
        <f t="shared" si="13"/>
        <v>0.41350000000000009</v>
      </c>
      <c r="U16" s="48">
        <f t="shared" si="13"/>
        <v>0.51700000000000013</v>
      </c>
      <c r="V16" s="48">
        <f t="shared" si="13"/>
        <v>0.44800000000000006</v>
      </c>
      <c r="W16" s="47">
        <f t="shared" si="13"/>
        <v>0.56530000000000002</v>
      </c>
      <c r="X16" s="47">
        <f t="shared" si="13"/>
        <v>0.56530000000000002</v>
      </c>
      <c r="Y16" s="45">
        <f t="shared" si="13"/>
        <v>0.65500000000000003</v>
      </c>
      <c r="Z16" s="45">
        <f t="shared" si="13"/>
        <v>0.65500000000000003</v>
      </c>
    </row>
    <row r="17" spans="1:26" x14ac:dyDescent="0.25">
      <c r="A17" s="37" t="s">
        <v>48</v>
      </c>
      <c r="B17" s="37" t="s">
        <v>79</v>
      </c>
      <c r="C17" s="39">
        <v>0.13</v>
      </c>
      <c r="D17" s="43">
        <f t="shared" si="1"/>
        <v>0.87</v>
      </c>
      <c r="E17" s="50">
        <f>1-+$D$17*E2</f>
        <v>0.4345</v>
      </c>
      <c r="F17" s="45">
        <f t="shared" ref="F17:Z17" si="14">1-+$D$17*F2</f>
        <v>0.65199999999999991</v>
      </c>
      <c r="G17" s="45">
        <f t="shared" si="14"/>
        <v>0.78249999999999997</v>
      </c>
      <c r="H17" s="45">
        <f t="shared" si="14"/>
        <v>0.82600000000000007</v>
      </c>
      <c r="I17" s="49">
        <f t="shared" si="14"/>
        <v>0.60850000000000004</v>
      </c>
      <c r="J17" s="49">
        <f t="shared" si="14"/>
        <v>0.39100000000000001</v>
      </c>
      <c r="K17" s="45">
        <f t="shared" si="14"/>
        <v>0.59980000000000011</v>
      </c>
      <c r="L17" s="47">
        <f t="shared" si="14"/>
        <v>0.55630000000000002</v>
      </c>
      <c r="M17" s="47">
        <f t="shared" si="14"/>
        <v>0.41710000000000003</v>
      </c>
      <c r="N17" s="47">
        <f t="shared" si="14"/>
        <v>0.47799999999999998</v>
      </c>
      <c r="O17" s="47">
        <f t="shared" si="14"/>
        <v>0.6258999999999999</v>
      </c>
      <c r="P17" s="45">
        <f t="shared" si="14"/>
        <v>0.39970000000000006</v>
      </c>
      <c r="Q17" s="45">
        <f t="shared" si="14"/>
        <v>0.39970000000000006</v>
      </c>
      <c r="R17" s="44">
        <f t="shared" si="14"/>
        <v>0.24309999999999998</v>
      </c>
      <c r="S17" s="44">
        <f t="shared" si="14"/>
        <v>0.24309999999999998</v>
      </c>
      <c r="T17" s="45">
        <f t="shared" si="14"/>
        <v>0.26050000000000006</v>
      </c>
      <c r="U17" s="48">
        <f t="shared" si="14"/>
        <v>0.39100000000000001</v>
      </c>
      <c r="V17" s="48">
        <f t="shared" si="14"/>
        <v>0.30399999999999994</v>
      </c>
      <c r="W17" s="47">
        <f t="shared" si="14"/>
        <v>0.45189999999999997</v>
      </c>
      <c r="X17" s="47">
        <f t="shared" si="14"/>
        <v>0.45189999999999997</v>
      </c>
      <c r="Y17" s="45">
        <f t="shared" si="14"/>
        <v>0.56499999999999995</v>
      </c>
      <c r="Z17" s="45">
        <f t="shared" si="14"/>
        <v>0.56499999999999995</v>
      </c>
    </row>
    <row r="18" spans="1:26" x14ac:dyDescent="0.25">
      <c r="A18" s="37" t="s">
        <v>49</v>
      </c>
      <c r="B18" s="37" t="s">
        <v>80</v>
      </c>
      <c r="C18" s="39">
        <v>0.13</v>
      </c>
      <c r="D18" s="43">
        <f t="shared" si="1"/>
        <v>0.87</v>
      </c>
      <c r="E18" s="47">
        <f>1-+$D$18*E2</f>
        <v>0.4345</v>
      </c>
      <c r="F18" s="45">
        <f t="shared" ref="F18:Z18" si="15">1-+$D$18*F2</f>
        <v>0.65199999999999991</v>
      </c>
      <c r="G18" s="45">
        <f t="shared" si="15"/>
        <v>0.78249999999999997</v>
      </c>
      <c r="H18" s="45">
        <f t="shared" si="15"/>
        <v>0.82600000000000007</v>
      </c>
      <c r="I18" s="49">
        <f t="shared" si="15"/>
        <v>0.60850000000000004</v>
      </c>
      <c r="J18" s="49">
        <f t="shared" si="15"/>
        <v>0.39100000000000001</v>
      </c>
      <c r="K18" s="45">
        <f t="shared" si="15"/>
        <v>0.59980000000000011</v>
      </c>
      <c r="L18" s="47">
        <f t="shared" si="15"/>
        <v>0.55630000000000002</v>
      </c>
      <c r="M18" s="47">
        <f t="shared" si="15"/>
        <v>0.41710000000000003</v>
      </c>
      <c r="N18" s="47">
        <f t="shared" si="15"/>
        <v>0.47799999999999998</v>
      </c>
      <c r="O18" s="48">
        <f t="shared" si="15"/>
        <v>0.6258999999999999</v>
      </c>
      <c r="P18" s="45">
        <f t="shared" si="15"/>
        <v>0.39970000000000006</v>
      </c>
      <c r="Q18" s="45">
        <f t="shared" si="15"/>
        <v>0.39970000000000006</v>
      </c>
      <c r="R18" s="44">
        <f t="shared" si="15"/>
        <v>0.24309999999999998</v>
      </c>
      <c r="S18" s="44">
        <f t="shared" si="15"/>
        <v>0.24309999999999998</v>
      </c>
      <c r="T18" s="45">
        <f t="shared" si="15"/>
        <v>0.26050000000000006</v>
      </c>
      <c r="U18" s="47">
        <f t="shared" si="15"/>
        <v>0.39100000000000001</v>
      </c>
      <c r="V18" s="47">
        <f t="shared" si="15"/>
        <v>0.30399999999999994</v>
      </c>
      <c r="W18" s="47">
        <f t="shared" si="15"/>
        <v>0.45189999999999997</v>
      </c>
      <c r="X18" s="47">
        <f t="shared" si="15"/>
        <v>0.45189999999999997</v>
      </c>
      <c r="Y18" s="45">
        <f t="shared" si="15"/>
        <v>0.56499999999999995</v>
      </c>
      <c r="Z18" s="45">
        <f t="shared" si="15"/>
        <v>0.56499999999999995</v>
      </c>
    </row>
    <row r="19" spans="1:26" x14ac:dyDescent="0.25">
      <c r="A19" s="37" t="s">
        <v>50</v>
      </c>
      <c r="B19" s="37" t="s">
        <v>67</v>
      </c>
      <c r="C19" s="39">
        <v>0.15</v>
      </c>
      <c r="D19" s="43">
        <f t="shared" si="1"/>
        <v>0.85</v>
      </c>
      <c r="E19" s="45">
        <f>1-+$D$19*E2</f>
        <v>0.44750000000000001</v>
      </c>
      <c r="F19" s="45">
        <f t="shared" ref="F19:Z19" si="16">1-+$D$19*F2</f>
        <v>0.65999999999999992</v>
      </c>
      <c r="G19" s="45">
        <f t="shared" si="16"/>
        <v>0.78749999999999998</v>
      </c>
      <c r="H19" s="45">
        <f t="shared" si="16"/>
        <v>0.83000000000000007</v>
      </c>
      <c r="I19" s="49">
        <f t="shared" si="16"/>
        <v>0.61750000000000005</v>
      </c>
      <c r="J19" s="49">
        <f t="shared" si="16"/>
        <v>0.40500000000000003</v>
      </c>
      <c r="K19" s="45">
        <f t="shared" si="16"/>
        <v>0.60899999999999999</v>
      </c>
      <c r="L19" s="45">
        <f t="shared" si="16"/>
        <v>0.5665</v>
      </c>
      <c r="M19" s="45">
        <f t="shared" si="16"/>
        <v>0.4305000000000001</v>
      </c>
      <c r="N19" s="45">
        <f t="shared" si="16"/>
        <v>0.49</v>
      </c>
      <c r="O19" s="45">
        <f t="shared" si="16"/>
        <v>0.63449999999999995</v>
      </c>
      <c r="P19" s="45">
        <f t="shared" si="16"/>
        <v>0.41350000000000009</v>
      </c>
      <c r="Q19" s="45">
        <f t="shared" si="16"/>
        <v>0.41350000000000009</v>
      </c>
      <c r="R19" s="45">
        <f t="shared" si="16"/>
        <v>0.26050000000000006</v>
      </c>
      <c r="S19" s="45">
        <f t="shared" si="16"/>
        <v>0.26050000000000006</v>
      </c>
      <c r="T19" s="44">
        <f t="shared" si="16"/>
        <v>0.27750000000000008</v>
      </c>
      <c r="U19" s="47">
        <f t="shared" si="16"/>
        <v>0.40500000000000003</v>
      </c>
      <c r="V19" s="45">
        <f t="shared" si="16"/>
        <v>0.31999999999999995</v>
      </c>
      <c r="W19" s="47">
        <f t="shared" si="16"/>
        <v>0.46450000000000002</v>
      </c>
      <c r="X19" s="47">
        <f t="shared" si="16"/>
        <v>0.46450000000000002</v>
      </c>
      <c r="Y19" s="45">
        <f t="shared" si="16"/>
        <v>0.57499999999999996</v>
      </c>
      <c r="Z19" s="45">
        <f t="shared" si="16"/>
        <v>0.57499999999999996</v>
      </c>
    </row>
    <row r="20" spans="1:26" x14ac:dyDescent="0.25">
      <c r="A20" s="37" t="s">
        <v>51</v>
      </c>
      <c r="B20" s="37" t="s">
        <v>63</v>
      </c>
      <c r="C20" s="39">
        <v>0.3</v>
      </c>
      <c r="D20" s="43">
        <f t="shared" si="1"/>
        <v>0.7</v>
      </c>
      <c r="E20" s="47">
        <f>1-+$D$20*E2</f>
        <v>0.54500000000000004</v>
      </c>
      <c r="F20" s="47">
        <f t="shared" ref="F20:Z20" si="17">1-+$D$20*F2</f>
        <v>0.72</v>
      </c>
      <c r="G20" s="47">
        <f t="shared" si="17"/>
        <v>0.82499999999999996</v>
      </c>
      <c r="H20" s="47">
        <f t="shared" si="17"/>
        <v>0.8600000000000001</v>
      </c>
      <c r="I20" s="47">
        <f t="shared" si="17"/>
        <v>0.68500000000000005</v>
      </c>
      <c r="J20" s="47">
        <f t="shared" si="17"/>
        <v>0.51</v>
      </c>
      <c r="K20" s="45">
        <f t="shared" si="17"/>
        <v>0.67800000000000005</v>
      </c>
      <c r="L20" s="45">
        <f t="shared" si="17"/>
        <v>0.64300000000000002</v>
      </c>
      <c r="M20" s="47">
        <f t="shared" si="17"/>
        <v>0.53100000000000014</v>
      </c>
      <c r="N20" s="47">
        <f t="shared" si="17"/>
        <v>0.58000000000000007</v>
      </c>
      <c r="O20" s="47">
        <f t="shared" si="17"/>
        <v>0.69900000000000007</v>
      </c>
      <c r="P20" s="49">
        <f t="shared" si="17"/>
        <v>0.51700000000000013</v>
      </c>
      <c r="Q20" s="48">
        <f t="shared" si="17"/>
        <v>0.51700000000000013</v>
      </c>
      <c r="R20" s="48">
        <f t="shared" si="17"/>
        <v>0.39100000000000001</v>
      </c>
      <c r="S20" s="47">
        <f t="shared" si="17"/>
        <v>0.39100000000000001</v>
      </c>
      <c r="T20" s="45">
        <f t="shared" si="17"/>
        <v>0.40500000000000003</v>
      </c>
      <c r="U20" s="44">
        <f t="shared" si="17"/>
        <v>0.51</v>
      </c>
      <c r="V20" s="45">
        <f t="shared" si="17"/>
        <v>0.44000000000000006</v>
      </c>
      <c r="W20" s="48">
        <f t="shared" si="17"/>
        <v>0.55900000000000005</v>
      </c>
      <c r="X20" s="48">
        <f t="shared" si="17"/>
        <v>0.55900000000000005</v>
      </c>
      <c r="Y20" s="48">
        <f t="shared" si="17"/>
        <v>0.65</v>
      </c>
      <c r="Z20" s="47">
        <f t="shared" si="17"/>
        <v>0.65</v>
      </c>
    </row>
    <row r="21" spans="1:26" x14ac:dyDescent="0.25">
      <c r="A21" s="37" t="s">
        <v>52</v>
      </c>
      <c r="B21" s="37" t="s">
        <v>68</v>
      </c>
      <c r="C21" s="39">
        <v>0.2</v>
      </c>
      <c r="D21" s="43">
        <f t="shared" si="1"/>
        <v>0.8</v>
      </c>
      <c r="E21" s="47">
        <f>1-+$D$21*E2</f>
        <v>0.48</v>
      </c>
      <c r="F21" s="47">
        <f t="shared" ref="F21:Z21" si="18">1-+$D$21*F2</f>
        <v>0.67999999999999994</v>
      </c>
      <c r="G21" s="47">
        <f t="shared" si="18"/>
        <v>0.8</v>
      </c>
      <c r="H21" s="47">
        <f t="shared" si="18"/>
        <v>0.84000000000000008</v>
      </c>
      <c r="I21" s="47">
        <f t="shared" si="18"/>
        <v>0.64</v>
      </c>
      <c r="J21" s="47">
        <f t="shared" si="18"/>
        <v>0.44000000000000006</v>
      </c>
      <c r="K21" s="45">
        <f t="shared" si="18"/>
        <v>0.63200000000000001</v>
      </c>
      <c r="L21" s="45">
        <f t="shared" si="18"/>
        <v>0.59199999999999997</v>
      </c>
      <c r="M21" s="47">
        <f t="shared" si="18"/>
        <v>0.46400000000000008</v>
      </c>
      <c r="N21" s="47">
        <f t="shared" si="18"/>
        <v>0.52</v>
      </c>
      <c r="O21" s="47">
        <f t="shared" si="18"/>
        <v>0.65599999999999992</v>
      </c>
      <c r="P21" s="49">
        <f t="shared" si="18"/>
        <v>0.44800000000000006</v>
      </c>
      <c r="Q21" s="48">
        <f t="shared" si="18"/>
        <v>0.44800000000000006</v>
      </c>
      <c r="R21" s="48">
        <f t="shared" si="18"/>
        <v>0.30399999999999994</v>
      </c>
      <c r="S21" s="47">
        <f t="shared" si="18"/>
        <v>0.30399999999999994</v>
      </c>
      <c r="T21" s="45">
        <f t="shared" si="18"/>
        <v>0.31999999999999995</v>
      </c>
      <c r="U21" s="45">
        <f t="shared" si="18"/>
        <v>0.44000000000000006</v>
      </c>
      <c r="V21" s="44">
        <f t="shared" si="18"/>
        <v>0.35999999999999988</v>
      </c>
      <c r="W21" s="48">
        <f t="shared" si="18"/>
        <v>0.496</v>
      </c>
      <c r="X21" s="48">
        <f t="shared" si="18"/>
        <v>0.496</v>
      </c>
      <c r="Y21" s="48">
        <f t="shared" si="18"/>
        <v>0.6</v>
      </c>
      <c r="Z21" s="47">
        <f t="shared" si="18"/>
        <v>0.6</v>
      </c>
    </row>
    <row r="22" spans="1:26" x14ac:dyDescent="0.25">
      <c r="A22" s="37" t="s">
        <v>53</v>
      </c>
      <c r="B22" s="37" t="s">
        <v>81</v>
      </c>
      <c r="C22" s="39">
        <v>0.37</v>
      </c>
      <c r="D22" s="43">
        <f t="shared" si="1"/>
        <v>0.63</v>
      </c>
      <c r="E22" s="47">
        <f>1-+$D$22*E2</f>
        <v>0.59050000000000002</v>
      </c>
      <c r="F22" s="45">
        <f t="shared" ref="F22:Z22" si="19">1-+$D$22*F2</f>
        <v>0.748</v>
      </c>
      <c r="G22" s="45">
        <f t="shared" si="19"/>
        <v>0.84250000000000003</v>
      </c>
      <c r="H22" s="45">
        <f t="shared" si="19"/>
        <v>0.874</v>
      </c>
      <c r="I22" s="49">
        <f t="shared" si="19"/>
        <v>0.71650000000000003</v>
      </c>
      <c r="J22" s="49">
        <f t="shared" si="19"/>
        <v>0.55900000000000005</v>
      </c>
      <c r="K22" s="45">
        <f t="shared" si="19"/>
        <v>0.71019999999999994</v>
      </c>
      <c r="L22" s="47">
        <f t="shared" si="19"/>
        <v>0.67869999999999997</v>
      </c>
      <c r="M22" s="47">
        <f t="shared" si="19"/>
        <v>0.57790000000000008</v>
      </c>
      <c r="N22" s="47">
        <f t="shared" si="19"/>
        <v>0.622</v>
      </c>
      <c r="O22" s="47">
        <f t="shared" si="19"/>
        <v>0.72909999999999997</v>
      </c>
      <c r="P22" s="45">
        <f t="shared" si="19"/>
        <v>0.56530000000000002</v>
      </c>
      <c r="Q22" s="45">
        <f t="shared" si="19"/>
        <v>0.56530000000000002</v>
      </c>
      <c r="R22" s="45">
        <f t="shared" si="19"/>
        <v>0.45189999999999997</v>
      </c>
      <c r="S22" s="45">
        <f t="shared" si="19"/>
        <v>0.45189999999999997</v>
      </c>
      <c r="T22" s="45">
        <f t="shared" si="19"/>
        <v>0.46450000000000002</v>
      </c>
      <c r="U22" s="48">
        <f t="shared" si="19"/>
        <v>0.55900000000000005</v>
      </c>
      <c r="V22" s="48">
        <f t="shared" si="19"/>
        <v>0.496</v>
      </c>
      <c r="W22" s="44">
        <f t="shared" si="19"/>
        <v>0.60309999999999997</v>
      </c>
      <c r="X22" s="44">
        <f t="shared" si="19"/>
        <v>0.60309999999999997</v>
      </c>
      <c r="Y22" s="45">
        <f t="shared" si="19"/>
        <v>0.68500000000000005</v>
      </c>
      <c r="Z22" s="45">
        <f t="shared" si="19"/>
        <v>0.68500000000000005</v>
      </c>
    </row>
    <row r="23" spans="1:26" x14ac:dyDescent="0.25">
      <c r="A23" s="37" t="s">
        <v>54</v>
      </c>
      <c r="B23" s="37" t="s">
        <v>82</v>
      </c>
      <c r="C23" s="39">
        <v>0.37</v>
      </c>
      <c r="D23" s="43">
        <f t="shared" si="1"/>
        <v>0.63</v>
      </c>
      <c r="E23" s="47">
        <f>1-+$D$23*E2</f>
        <v>0.59050000000000002</v>
      </c>
      <c r="F23" s="45">
        <f t="shared" ref="F23:Z23" si="20">1-+$D$23*F2</f>
        <v>0.748</v>
      </c>
      <c r="G23" s="45">
        <f t="shared" si="20"/>
        <v>0.84250000000000003</v>
      </c>
      <c r="H23" s="45">
        <f t="shared" si="20"/>
        <v>0.874</v>
      </c>
      <c r="I23" s="49">
        <f t="shared" si="20"/>
        <v>0.71650000000000003</v>
      </c>
      <c r="J23" s="49">
        <f t="shared" si="20"/>
        <v>0.55900000000000005</v>
      </c>
      <c r="K23" s="45">
        <f t="shared" si="20"/>
        <v>0.71019999999999994</v>
      </c>
      <c r="L23" s="47">
        <f t="shared" si="20"/>
        <v>0.67869999999999997</v>
      </c>
      <c r="M23" s="47">
        <f t="shared" si="20"/>
        <v>0.57790000000000008</v>
      </c>
      <c r="N23" s="47">
        <f t="shared" si="20"/>
        <v>0.622</v>
      </c>
      <c r="O23" s="47">
        <f t="shared" si="20"/>
        <v>0.72909999999999997</v>
      </c>
      <c r="P23" s="45">
        <f t="shared" si="20"/>
        <v>0.56530000000000002</v>
      </c>
      <c r="Q23" s="45">
        <f t="shared" si="20"/>
        <v>0.56530000000000002</v>
      </c>
      <c r="R23" s="45">
        <f t="shared" si="20"/>
        <v>0.45189999999999997</v>
      </c>
      <c r="S23" s="45">
        <f t="shared" si="20"/>
        <v>0.45189999999999997</v>
      </c>
      <c r="T23" s="45">
        <f t="shared" si="20"/>
        <v>0.46450000000000002</v>
      </c>
      <c r="U23" s="48">
        <f t="shared" si="20"/>
        <v>0.55900000000000005</v>
      </c>
      <c r="V23" s="48">
        <f t="shared" si="20"/>
        <v>0.496</v>
      </c>
      <c r="W23" s="44">
        <f t="shared" si="20"/>
        <v>0.60309999999999997</v>
      </c>
      <c r="X23" s="44">
        <f t="shared" si="20"/>
        <v>0.60309999999999997</v>
      </c>
      <c r="Y23" s="45">
        <f t="shared" si="20"/>
        <v>0.68500000000000005</v>
      </c>
      <c r="Z23" s="45">
        <f t="shared" si="20"/>
        <v>0.68500000000000005</v>
      </c>
    </row>
    <row r="24" spans="1:26" x14ac:dyDescent="0.25">
      <c r="A24" s="37" t="s">
        <v>55</v>
      </c>
      <c r="B24" s="37" t="s">
        <v>83</v>
      </c>
      <c r="C24" s="39">
        <v>0.5</v>
      </c>
      <c r="D24" s="43">
        <f t="shared" si="1"/>
        <v>0.5</v>
      </c>
      <c r="E24" s="48">
        <f>1-+$D$24*E2</f>
        <v>0.67500000000000004</v>
      </c>
      <c r="F24" s="45">
        <f t="shared" ref="F24:Z24" si="21">1-+$D$24*F2</f>
        <v>0.8</v>
      </c>
      <c r="G24" s="45">
        <f t="shared" si="21"/>
        <v>0.875</v>
      </c>
      <c r="H24" s="45">
        <f t="shared" si="21"/>
        <v>0.9</v>
      </c>
      <c r="I24" s="49">
        <f t="shared" si="21"/>
        <v>0.77500000000000002</v>
      </c>
      <c r="J24" s="49">
        <f t="shared" si="21"/>
        <v>0.65</v>
      </c>
      <c r="K24" s="45">
        <f t="shared" si="21"/>
        <v>0.77</v>
      </c>
      <c r="L24" s="47">
        <f t="shared" si="21"/>
        <v>0.745</v>
      </c>
      <c r="M24" s="47">
        <f t="shared" si="21"/>
        <v>0.66500000000000004</v>
      </c>
      <c r="N24" s="47">
        <f t="shared" si="21"/>
        <v>0.7</v>
      </c>
      <c r="O24" s="47">
        <f t="shared" si="21"/>
        <v>0.78499999999999992</v>
      </c>
      <c r="P24" s="45">
        <f t="shared" si="21"/>
        <v>0.65500000000000003</v>
      </c>
      <c r="Q24" s="45">
        <f t="shared" si="21"/>
        <v>0.65500000000000003</v>
      </c>
      <c r="R24" s="45">
        <f t="shared" si="21"/>
        <v>0.56499999999999995</v>
      </c>
      <c r="S24" s="45">
        <f t="shared" si="21"/>
        <v>0.56499999999999995</v>
      </c>
      <c r="T24" s="45">
        <f t="shared" si="21"/>
        <v>0.57499999999999996</v>
      </c>
      <c r="U24" s="48">
        <f t="shared" si="21"/>
        <v>0.65</v>
      </c>
      <c r="V24" s="48">
        <f t="shared" si="21"/>
        <v>0.6</v>
      </c>
      <c r="W24" s="45">
        <f t="shared" si="21"/>
        <v>0.68500000000000005</v>
      </c>
      <c r="X24" s="45">
        <f t="shared" si="21"/>
        <v>0.68500000000000005</v>
      </c>
      <c r="Y24" s="44">
        <f t="shared" si="21"/>
        <v>0.75</v>
      </c>
      <c r="Z24" s="44">
        <f t="shared" si="21"/>
        <v>0.75</v>
      </c>
    </row>
    <row r="25" spans="1:26" x14ac:dyDescent="0.25">
      <c r="A25" s="37" t="s">
        <v>56</v>
      </c>
      <c r="B25" s="37" t="s">
        <v>84</v>
      </c>
      <c r="C25" s="39">
        <v>0.5</v>
      </c>
      <c r="D25" s="43">
        <f t="shared" si="1"/>
        <v>0.5</v>
      </c>
      <c r="E25" s="48">
        <f>1-+$D$25*E2</f>
        <v>0.67500000000000004</v>
      </c>
      <c r="F25" s="45">
        <f t="shared" ref="F25:Z25" si="22">1-+$D$25*F2</f>
        <v>0.8</v>
      </c>
      <c r="G25" s="45">
        <f t="shared" si="22"/>
        <v>0.875</v>
      </c>
      <c r="H25" s="45">
        <f t="shared" si="22"/>
        <v>0.9</v>
      </c>
      <c r="I25" s="49">
        <f t="shared" si="22"/>
        <v>0.77500000000000002</v>
      </c>
      <c r="J25" s="49">
        <f t="shared" si="22"/>
        <v>0.65</v>
      </c>
      <c r="K25" s="45">
        <f t="shared" si="22"/>
        <v>0.77</v>
      </c>
      <c r="L25" s="47">
        <f t="shared" si="22"/>
        <v>0.745</v>
      </c>
      <c r="M25" s="48">
        <f t="shared" si="22"/>
        <v>0.66500000000000004</v>
      </c>
      <c r="N25" s="47">
        <f t="shared" si="22"/>
        <v>0.7</v>
      </c>
      <c r="O25" s="48">
        <f t="shared" si="22"/>
        <v>0.78499999999999992</v>
      </c>
      <c r="P25" s="45">
        <f t="shared" si="22"/>
        <v>0.65500000000000003</v>
      </c>
      <c r="Q25" s="45">
        <f t="shared" si="22"/>
        <v>0.65500000000000003</v>
      </c>
      <c r="R25" s="45">
        <f t="shared" si="22"/>
        <v>0.56499999999999995</v>
      </c>
      <c r="S25" s="45">
        <f t="shared" si="22"/>
        <v>0.56499999999999995</v>
      </c>
      <c r="T25" s="45">
        <f t="shared" si="22"/>
        <v>0.57499999999999996</v>
      </c>
      <c r="U25" s="47">
        <f t="shared" si="22"/>
        <v>0.65</v>
      </c>
      <c r="V25" s="47">
        <f t="shared" si="22"/>
        <v>0.6</v>
      </c>
      <c r="W25" s="45">
        <f t="shared" si="22"/>
        <v>0.68500000000000005</v>
      </c>
      <c r="X25" s="45">
        <f t="shared" si="22"/>
        <v>0.68500000000000005</v>
      </c>
      <c r="Y25" s="44">
        <f t="shared" si="22"/>
        <v>0.75</v>
      </c>
      <c r="Z25" s="44">
        <f t="shared" si="22"/>
        <v>0.75</v>
      </c>
    </row>
    <row r="26" spans="1:26" x14ac:dyDescent="0.25">
      <c r="E26" s="40"/>
      <c r="F26" s="40"/>
      <c r="G26" s="40"/>
      <c r="H26" s="40"/>
      <c r="I26" s="51"/>
      <c r="J26" s="51"/>
      <c r="K26" s="40"/>
      <c r="L26" s="40"/>
      <c r="M26" s="40"/>
      <c r="N26" s="40"/>
      <c r="O26" s="40"/>
      <c r="P26" s="40"/>
      <c r="Q26" s="40"/>
      <c r="R26" s="40"/>
      <c r="S26" s="52"/>
    </row>
    <row r="27" spans="1:26" x14ac:dyDescent="0.25">
      <c r="E27" s="40"/>
      <c r="F27" s="40"/>
      <c r="G27" s="40"/>
      <c r="H27" s="40"/>
      <c r="I27" s="51"/>
      <c r="J27" s="51"/>
      <c r="K27" s="40"/>
      <c r="L27" s="40"/>
      <c r="M27" s="40"/>
      <c r="N27" s="40"/>
      <c r="O27" s="40"/>
      <c r="P27" s="40"/>
      <c r="Q27" s="40"/>
      <c r="R27" s="40"/>
      <c r="S27" s="40"/>
    </row>
    <row r="28" spans="1:26" x14ac:dyDescent="0.25">
      <c r="B28" s="37" t="s">
        <v>69</v>
      </c>
      <c r="E28" s="52"/>
      <c r="F28" s="52"/>
      <c r="G28" s="52"/>
      <c r="H28" s="52"/>
      <c r="I28" s="51"/>
      <c r="J28" s="51"/>
      <c r="K28" s="40"/>
      <c r="L28" s="40"/>
      <c r="M28" s="40"/>
      <c r="N28" s="40"/>
      <c r="O28" s="40"/>
      <c r="P28" s="40"/>
      <c r="Q28" s="40"/>
      <c r="R28" s="40"/>
      <c r="S28" s="40"/>
    </row>
    <row r="29" spans="1:26" x14ac:dyDescent="0.25">
      <c r="B29" s="37" t="s">
        <v>70</v>
      </c>
      <c r="C29" s="39" t="s">
        <v>71</v>
      </c>
      <c r="E29" s="40"/>
      <c r="F29" s="40"/>
      <c r="G29" s="40"/>
      <c r="H29" s="40"/>
      <c r="I29" s="51"/>
      <c r="J29" s="51"/>
      <c r="K29" s="40"/>
      <c r="L29" s="40"/>
      <c r="M29" s="40"/>
      <c r="N29" s="40"/>
      <c r="O29" s="40"/>
      <c r="P29" s="40"/>
      <c r="Q29" s="40"/>
      <c r="R29" s="40"/>
      <c r="S29" s="52"/>
    </row>
    <row r="30" spans="1:26" x14ac:dyDescent="0.25">
      <c r="B30" s="37" t="s">
        <v>72</v>
      </c>
      <c r="C30" s="39" t="s">
        <v>73</v>
      </c>
      <c r="E30" s="52"/>
      <c r="F30" s="52"/>
      <c r="G30" s="52"/>
      <c r="H30" s="52"/>
      <c r="I30" s="51"/>
      <c r="J30" s="51"/>
      <c r="K30" s="40"/>
      <c r="L30" s="40"/>
      <c r="M30" s="40"/>
      <c r="N30" s="40"/>
      <c r="O30" s="40"/>
      <c r="P30" s="40"/>
      <c r="Q30" s="40"/>
      <c r="R30" s="40"/>
      <c r="S30" s="52"/>
    </row>
    <row r="31" spans="1:26" x14ac:dyDescent="0.25">
      <c r="B31" s="37" t="s">
        <v>74</v>
      </c>
      <c r="C31" s="39" t="s">
        <v>75</v>
      </c>
      <c r="E31" s="52"/>
      <c r="F31" s="52"/>
      <c r="G31" s="52"/>
      <c r="H31" s="52"/>
      <c r="I31" s="51"/>
      <c r="J31" s="51"/>
      <c r="K31" s="40"/>
      <c r="L31" s="40"/>
      <c r="M31" s="40"/>
      <c r="N31" s="40"/>
      <c r="O31" s="40"/>
      <c r="P31" s="40"/>
      <c r="Q31" s="40"/>
      <c r="R31" s="40"/>
      <c r="S31" s="52"/>
    </row>
    <row r="32" spans="1:26" x14ac:dyDescent="0.25">
      <c r="B32" s="37" t="s">
        <v>126</v>
      </c>
      <c r="E32" s="40"/>
      <c r="F32" s="40"/>
      <c r="G32" s="40"/>
      <c r="H32" s="40"/>
      <c r="I32" s="51"/>
      <c r="J32" s="51"/>
      <c r="K32" s="40"/>
      <c r="L32" s="40"/>
      <c r="M32" s="40"/>
      <c r="N32" s="40"/>
      <c r="O32" s="40"/>
      <c r="P32" s="40"/>
      <c r="Q32" s="40"/>
      <c r="R32" s="40"/>
      <c r="S32" s="52"/>
    </row>
    <row r="33" spans="2:19" x14ac:dyDescent="0.25">
      <c r="B33" s="37" t="s">
        <v>225</v>
      </c>
      <c r="C33" s="39" t="s">
        <v>129</v>
      </c>
      <c r="E33" s="40"/>
      <c r="F33" s="40"/>
      <c r="G33" s="40"/>
      <c r="H33" s="40"/>
      <c r="I33" s="51"/>
      <c r="J33" s="51"/>
      <c r="K33" s="40"/>
      <c r="L33" s="40"/>
      <c r="M33" s="40"/>
      <c r="N33" s="40"/>
      <c r="O33" s="40"/>
      <c r="P33" s="40"/>
      <c r="Q33" s="40"/>
      <c r="R33" s="40"/>
      <c r="S33" s="52"/>
    </row>
    <row r="34" spans="2:19" x14ac:dyDescent="0.25">
      <c r="B34" s="37" t="s">
        <v>226</v>
      </c>
      <c r="E34" s="40"/>
      <c r="F34" s="40"/>
      <c r="G34" s="40"/>
      <c r="H34" s="40"/>
      <c r="I34" s="51"/>
      <c r="J34" s="51"/>
      <c r="K34" s="40"/>
      <c r="L34" s="40"/>
      <c r="M34" s="40"/>
      <c r="N34" s="40"/>
      <c r="O34" s="40"/>
      <c r="P34" s="40"/>
      <c r="Q34" s="40"/>
      <c r="R34" s="40"/>
      <c r="S34" s="52"/>
    </row>
    <row r="35" spans="2:19" x14ac:dyDescent="0.25">
      <c r="B35" s="37" t="s">
        <v>113</v>
      </c>
      <c r="C35" s="39" t="s">
        <v>130</v>
      </c>
      <c r="E35" s="40"/>
      <c r="F35" s="40"/>
      <c r="G35" s="40"/>
      <c r="H35" s="40"/>
      <c r="I35" s="51"/>
      <c r="J35" s="51"/>
      <c r="K35" s="40"/>
      <c r="L35" s="40"/>
      <c r="M35" s="40"/>
      <c r="N35" s="40"/>
      <c r="O35" s="40"/>
      <c r="P35" s="40"/>
      <c r="Q35" s="40"/>
      <c r="R35" s="40"/>
      <c r="S35" s="40"/>
    </row>
    <row r="36" spans="2:19" x14ac:dyDescent="0.25">
      <c r="B36" s="37" t="s">
        <v>114</v>
      </c>
      <c r="E36" s="52"/>
      <c r="F36" s="52"/>
      <c r="G36" s="52"/>
      <c r="H36" s="52"/>
      <c r="I36" s="52"/>
      <c r="J36" s="52"/>
      <c r="K36" s="40"/>
      <c r="L36" s="40"/>
      <c r="M36" s="52"/>
      <c r="N36" s="52"/>
      <c r="O36" s="40"/>
      <c r="P36" s="40"/>
      <c r="Q36" s="40"/>
      <c r="R36" s="40"/>
      <c r="S36" s="40"/>
    </row>
    <row r="37" spans="2:19" x14ac:dyDescent="0.25">
      <c r="B37" s="37" t="s">
        <v>115</v>
      </c>
      <c r="C37" s="37" t="s">
        <v>126</v>
      </c>
      <c r="E37" s="40"/>
      <c r="F37" s="40"/>
      <c r="G37" s="40"/>
      <c r="H37" s="40"/>
      <c r="I37" s="40"/>
      <c r="J37" s="40"/>
      <c r="K37" s="40"/>
      <c r="L37" s="40"/>
      <c r="M37" s="40"/>
      <c r="N37" s="40"/>
      <c r="O37" s="40"/>
      <c r="P37" s="40"/>
      <c r="Q37" s="40"/>
      <c r="R37" s="40"/>
      <c r="S37" s="40"/>
    </row>
    <row r="38" spans="2:19" x14ac:dyDescent="0.25">
      <c r="B38" s="37" t="s">
        <v>128</v>
      </c>
      <c r="C38" s="37" t="s">
        <v>128</v>
      </c>
      <c r="E38" s="40"/>
      <c r="F38" s="40"/>
      <c r="G38" s="40"/>
      <c r="H38" s="40"/>
      <c r="I38" s="40"/>
      <c r="J38" s="40"/>
      <c r="K38" s="40"/>
      <c r="L38" s="40"/>
      <c r="M38" s="40"/>
      <c r="N38" s="40"/>
      <c r="O38" s="40"/>
      <c r="P38" s="40"/>
      <c r="Q38" s="40"/>
      <c r="R38" s="40"/>
      <c r="S38" s="40"/>
    </row>
    <row r="39" spans="2:19" x14ac:dyDescent="0.25">
      <c r="B39" s="37" t="s">
        <v>116</v>
      </c>
      <c r="C39" s="37" t="s">
        <v>116</v>
      </c>
      <c r="E39" s="40"/>
      <c r="F39" s="40"/>
      <c r="G39" s="40"/>
      <c r="H39" s="40"/>
      <c r="I39" s="40"/>
      <c r="J39" s="40"/>
      <c r="K39" s="40"/>
      <c r="L39" s="40"/>
      <c r="M39" s="40"/>
      <c r="N39" s="40"/>
      <c r="O39" s="40"/>
      <c r="P39" s="40"/>
      <c r="Q39" s="40"/>
      <c r="R39" s="40"/>
      <c r="S39" s="40"/>
    </row>
    <row r="40" spans="2:19" x14ac:dyDescent="0.25">
      <c r="B40" s="37" t="s">
        <v>117</v>
      </c>
      <c r="C40" s="37" t="s">
        <v>117</v>
      </c>
      <c r="E40" s="40"/>
      <c r="F40" s="40"/>
      <c r="G40" s="40"/>
      <c r="H40" s="40"/>
      <c r="I40" s="40"/>
      <c r="J40" s="40"/>
      <c r="K40" s="40"/>
      <c r="L40" s="40"/>
      <c r="M40" s="40"/>
      <c r="N40" s="40"/>
      <c r="O40" s="40"/>
      <c r="P40" s="40"/>
      <c r="Q40" s="40"/>
      <c r="R40" s="40"/>
      <c r="S40" s="40"/>
    </row>
    <row r="41" spans="2:19" x14ac:dyDescent="0.25">
      <c r="B41" s="37" t="s">
        <v>211</v>
      </c>
      <c r="E41" s="40"/>
      <c r="F41" s="40"/>
      <c r="G41" s="40"/>
      <c r="H41" s="40"/>
      <c r="I41" s="40"/>
      <c r="J41" s="40"/>
      <c r="K41" s="40"/>
      <c r="L41" s="40"/>
      <c r="M41" s="40"/>
      <c r="N41" s="40"/>
      <c r="O41" s="40"/>
      <c r="P41" s="40"/>
      <c r="Q41" s="40"/>
      <c r="R41" s="40"/>
      <c r="S41" s="40"/>
    </row>
    <row r="42" spans="2:19" x14ac:dyDescent="0.25">
      <c r="B42" s="37" t="s">
        <v>119</v>
      </c>
      <c r="C42" s="39" t="s">
        <v>129</v>
      </c>
    </row>
    <row r="43" spans="2:19" x14ac:dyDescent="0.25">
      <c r="B43" s="37" t="s">
        <v>118</v>
      </c>
      <c r="C43" s="39" t="s">
        <v>132</v>
      </c>
    </row>
    <row r="44" spans="2:19" x14ac:dyDescent="0.25">
      <c r="B44" s="37" t="s">
        <v>120</v>
      </c>
      <c r="C44" s="39" t="s">
        <v>133</v>
      </c>
    </row>
    <row r="45" spans="2:19" x14ac:dyDescent="0.25">
      <c r="B45" s="37" t="s">
        <v>121</v>
      </c>
      <c r="C45" s="39" t="s">
        <v>134</v>
      </c>
    </row>
    <row r="46" spans="2:19" x14ac:dyDescent="0.25">
      <c r="B46" s="37" t="s">
        <v>122</v>
      </c>
    </row>
    <row r="47" spans="2:19" x14ac:dyDescent="0.25">
      <c r="B47" s="37" t="s">
        <v>123</v>
      </c>
    </row>
    <row r="49" spans="2:3" x14ac:dyDescent="0.25">
      <c r="B49" s="37" t="s">
        <v>135</v>
      </c>
    </row>
    <row r="50" spans="2:3" x14ac:dyDescent="0.25">
      <c r="B50" s="37" t="s">
        <v>136</v>
      </c>
    </row>
    <row r="52" spans="2:3" x14ac:dyDescent="0.25">
      <c r="B52" s="37" t="s">
        <v>111</v>
      </c>
      <c r="C52" s="39" t="s">
        <v>111</v>
      </c>
    </row>
    <row r="53" spans="2:3" x14ac:dyDescent="0.25">
      <c r="B53" s="37" t="s">
        <v>112</v>
      </c>
      <c r="C53" s="39" t="s">
        <v>112</v>
      </c>
    </row>
    <row r="54" spans="2:3" x14ac:dyDescent="0.25">
      <c r="C54" s="39" t="str">
        <f>IF(VLEESKALKOENEN!$L$20="geen techniek","GEEN TECHNIEK","JA")</f>
        <v>GEEN TECHNIEK</v>
      </c>
    </row>
    <row r="55" spans="2:3" x14ac:dyDescent="0.25">
      <c r="C55" s="39" t="s">
        <v>112</v>
      </c>
    </row>
  </sheetData>
  <sheetProtection algorithmName="SHA-512" hashValue="EbfhBaJmK5pCfoi/z0KqOoaERxo7SOrEJ4yLGMYqj7pqxBlhpChlTqsLyyKiGITZzUmzyJ8miCyGva3BAa5trQ==" saltValue="b1Cq3sx8uEIOfvlgPdLg3A==" spinCount="100000" sheet="1" objects="1" scenarios="1"/>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BQ176"/>
  <sheetViews>
    <sheetView workbookViewId="0">
      <pane ySplit="3" topLeftCell="A4" activePane="bottomLeft" state="frozen"/>
      <selection pane="bottomLeft" activeCell="O150" sqref="O150"/>
    </sheetView>
  </sheetViews>
  <sheetFormatPr defaultRowHeight="12.75" x14ac:dyDescent="0.2"/>
  <cols>
    <col min="1" max="2" width="6.7109375" style="1" customWidth="1"/>
    <col min="3" max="6" width="9.140625" style="1"/>
    <col min="7" max="8" width="9.140625" style="17"/>
    <col min="9" max="10" width="9.140625" style="1"/>
    <col min="11" max="12" width="9.140625" style="17"/>
    <col min="13" max="15" width="9.140625" style="1"/>
    <col min="16" max="21" width="10.7109375" style="1" hidden="1" customWidth="1"/>
    <col min="22" max="23" width="10.7109375" style="17" customWidth="1"/>
    <col min="24" max="27" width="10.7109375" style="28" customWidth="1"/>
    <col min="28" max="29" width="10.7109375" style="1" hidden="1" customWidth="1"/>
    <col min="30" max="31" width="9.140625" style="1"/>
    <col min="33" max="34" width="9.140625" style="1"/>
    <col min="35" max="37" width="9.140625" style="7"/>
    <col min="40" max="40" width="9.140625" style="2"/>
    <col min="41" max="46" width="9.140625" style="1"/>
    <col min="61" max="62" width="8.85546875" style="1"/>
    <col min="63" max="64" width="8.85546875" style="7"/>
  </cols>
  <sheetData>
    <row r="1" spans="1:68" s="3" customFormat="1" x14ac:dyDescent="0.2">
      <c r="A1" s="4"/>
      <c r="B1" s="4"/>
      <c r="C1" s="294" t="s">
        <v>6</v>
      </c>
      <c r="D1" s="294"/>
      <c r="E1" s="294" t="s">
        <v>17</v>
      </c>
      <c r="F1" s="294"/>
      <c r="G1" s="25" t="s">
        <v>21</v>
      </c>
      <c r="H1" s="35">
        <v>11.7</v>
      </c>
      <c r="I1" s="296" t="s">
        <v>26</v>
      </c>
      <c r="J1" s="296"/>
      <c r="K1" s="295" t="s">
        <v>18</v>
      </c>
      <c r="L1" s="295"/>
      <c r="M1" s="4" t="s">
        <v>7</v>
      </c>
      <c r="N1" s="294" t="s">
        <v>20</v>
      </c>
      <c r="O1" s="294"/>
      <c r="P1" s="294" t="s">
        <v>22</v>
      </c>
      <c r="Q1" s="294"/>
      <c r="R1" s="294" t="s">
        <v>23</v>
      </c>
      <c r="S1" s="294"/>
      <c r="T1" s="294" t="s">
        <v>24</v>
      </c>
      <c r="U1" s="294"/>
      <c r="V1" s="295" t="s">
        <v>24</v>
      </c>
      <c r="W1" s="295"/>
      <c r="X1" s="297" t="s">
        <v>25</v>
      </c>
      <c r="Y1" s="297"/>
      <c r="Z1" s="297" t="s">
        <v>27</v>
      </c>
      <c r="AA1" s="297"/>
      <c r="AB1" s="294" t="s">
        <v>25</v>
      </c>
      <c r="AC1" s="294"/>
      <c r="AD1" s="4"/>
      <c r="AE1" s="4"/>
      <c r="AG1" s="1"/>
      <c r="AH1" s="1"/>
      <c r="AI1" s="7"/>
      <c r="AJ1" s="7"/>
      <c r="AK1" s="7"/>
      <c r="AL1" s="3" t="s">
        <v>0</v>
      </c>
      <c r="AM1" s="4" t="s">
        <v>1</v>
      </c>
      <c r="AN1" s="8" t="s">
        <v>3</v>
      </c>
      <c r="AO1" s="4" t="s">
        <v>2</v>
      </c>
      <c r="AP1" s="4" t="s">
        <v>10</v>
      </c>
      <c r="AQ1" s="4" t="s">
        <v>4</v>
      </c>
      <c r="AR1" s="4" t="s">
        <v>5</v>
      </c>
      <c r="AS1" s="4" t="s">
        <v>6</v>
      </c>
      <c r="AT1" s="4" t="s">
        <v>7</v>
      </c>
      <c r="AU1" s="4"/>
      <c r="BG1"/>
      <c r="BH1"/>
      <c r="BI1" s="1"/>
      <c r="BJ1" s="1"/>
      <c r="BK1" s="293" t="s">
        <v>28</v>
      </c>
      <c r="BL1" s="293"/>
      <c r="BN1" s="3" t="s">
        <v>30</v>
      </c>
    </row>
    <row r="2" spans="1:68" s="3" customFormat="1" x14ac:dyDescent="0.2">
      <c r="A2" s="16"/>
      <c r="B2" s="16"/>
      <c r="C2" s="16"/>
      <c r="D2" s="16"/>
      <c r="E2" s="16"/>
      <c r="F2" s="16"/>
      <c r="G2" s="25"/>
      <c r="H2" s="20"/>
      <c r="I2" s="296"/>
      <c r="J2" s="296"/>
      <c r="K2" s="25" t="s">
        <v>21</v>
      </c>
      <c r="L2" s="20">
        <f>+H1</f>
        <v>11.7</v>
      </c>
      <c r="M2" s="16"/>
      <c r="N2" s="16"/>
      <c r="O2" s="16"/>
      <c r="P2" s="16"/>
      <c r="Q2" s="16"/>
      <c r="R2" s="16"/>
      <c r="S2" s="16"/>
      <c r="T2" s="16"/>
      <c r="U2" s="16"/>
      <c r="V2" s="25" t="s">
        <v>21</v>
      </c>
      <c r="W2" s="20">
        <f>+H1</f>
        <v>11.7</v>
      </c>
      <c r="X2" s="29" t="s">
        <v>21</v>
      </c>
      <c r="Y2" s="26">
        <f>+W2</f>
        <v>11.7</v>
      </c>
      <c r="Z2" s="29" t="s">
        <v>21</v>
      </c>
      <c r="AA2" s="26">
        <f>+Y2</f>
        <v>11.7</v>
      </c>
      <c r="AB2" s="16"/>
      <c r="AC2" s="16"/>
      <c r="AD2" s="16"/>
      <c r="AE2" s="16"/>
      <c r="AG2" s="1"/>
      <c r="AH2" s="1"/>
      <c r="AI2" s="7"/>
      <c r="AJ2" s="7"/>
      <c r="AK2" s="7"/>
      <c r="AM2" s="16"/>
      <c r="AN2" s="8"/>
      <c r="AO2" s="16"/>
      <c r="AP2" s="16"/>
      <c r="AQ2" s="16"/>
      <c r="AR2" s="16"/>
      <c r="AS2" s="16"/>
      <c r="AT2" s="16"/>
      <c r="AU2" s="16"/>
      <c r="BG2"/>
      <c r="BH2"/>
      <c r="BI2" s="1"/>
      <c r="BJ2" s="1"/>
      <c r="BK2" s="7"/>
      <c r="BL2" s="7"/>
      <c r="BN2" s="3" t="s">
        <v>29</v>
      </c>
      <c r="BP2" s="3" t="s">
        <v>31</v>
      </c>
    </row>
    <row r="3" spans="1:68" x14ac:dyDescent="0.2">
      <c r="A3" s="4" t="s">
        <v>14</v>
      </c>
      <c r="B3" s="4" t="s">
        <v>11</v>
      </c>
      <c r="C3" s="4" t="s">
        <v>15</v>
      </c>
      <c r="D3" s="4" t="s">
        <v>16</v>
      </c>
      <c r="E3" s="4" t="s">
        <v>15</v>
      </c>
      <c r="F3" s="4" t="s">
        <v>16</v>
      </c>
      <c r="G3" s="25" t="s">
        <v>15</v>
      </c>
      <c r="H3" s="25" t="s">
        <v>16</v>
      </c>
      <c r="I3" s="4" t="s">
        <v>15</v>
      </c>
      <c r="J3" s="4" t="s">
        <v>16</v>
      </c>
      <c r="K3" s="25" t="s">
        <v>15</v>
      </c>
      <c r="L3" s="25" t="s">
        <v>16</v>
      </c>
      <c r="M3" s="4" t="s">
        <v>19</v>
      </c>
      <c r="N3" s="4" t="s">
        <v>15</v>
      </c>
      <c r="O3" s="4" t="s">
        <v>16</v>
      </c>
      <c r="P3" s="4" t="s">
        <v>15</v>
      </c>
      <c r="Q3" s="4" t="s">
        <v>16</v>
      </c>
      <c r="R3" s="4" t="s">
        <v>15</v>
      </c>
      <c r="S3" s="4" t="s">
        <v>16</v>
      </c>
      <c r="T3" s="4" t="s">
        <v>15</v>
      </c>
      <c r="U3" s="4" t="s">
        <v>16</v>
      </c>
      <c r="V3" s="25" t="s">
        <v>15</v>
      </c>
      <c r="W3" s="25" t="s">
        <v>16</v>
      </c>
      <c r="X3" s="29" t="s">
        <v>15</v>
      </c>
      <c r="Y3" s="29" t="s">
        <v>16</v>
      </c>
      <c r="Z3" s="29" t="s">
        <v>15</v>
      </c>
      <c r="AA3" s="29" t="s">
        <v>16</v>
      </c>
      <c r="AB3" s="4" t="s">
        <v>15</v>
      </c>
      <c r="AC3" s="4" t="s">
        <v>16</v>
      </c>
      <c r="AD3" s="4"/>
      <c r="AE3" s="4"/>
      <c r="AG3" s="4" t="s">
        <v>14</v>
      </c>
      <c r="AH3" s="4" t="s">
        <v>11</v>
      </c>
      <c r="AI3" s="11" t="s">
        <v>12</v>
      </c>
      <c r="AJ3" s="11" t="s">
        <v>13</v>
      </c>
      <c r="AK3" s="11"/>
      <c r="AL3" t="s">
        <v>8</v>
      </c>
      <c r="AM3" s="1">
        <v>1</v>
      </c>
      <c r="AN3" s="2">
        <v>39560</v>
      </c>
      <c r="AO3" s="1">
        <v>54</v>
      </c>
      <c r="AP3" s="7">
        <v>1.032</v>
      </c>
      <c r="AR3" s="1">
        <v>13</v>
      </c>
      <c r="AS3" s="7">
        <v>8.4383948504176569</v>
      </c>
      <c r="AT3" s="6">
        <v>0.49257920671430411</v>
      </c>
      <c r="BG3" s="3"/>
      <c r="BH3" s="3"/>
      <c r="BI3" s="34" t="s">
        <v>14</v>
      </c>
      <c r="BJ3" s="34" t="s">
        <v>11</v>
      </c>
      <c r="BK3" s="11" t="s">
        <v>12</v>
      </c>
      <c r="BL3" s="11" t="s">
        <v>13</v>
      </c>
      <c r="BN3" s="11" t="s">
        <v>12</v>
      </c>
      <c r="BO3" s="11" t="s">
        <v>13</v>
      </c>
      <c r="BP3" s="11" t="s">
        <v>12</v>
      </c>
    </row>
    <row r="4" spans="1:68" x14ac:dyDescent="0.2">
      <c r="A4" s="1">
        <v>1</v>
      </c>
      <c r="B4" s="1">
        <v>1</v>
      </c>
      <c r="C4" s="7">
        <f t="shared" ref="C4:C35" si="0">AI4*1.15</f>
        <v>6.8999999999999992E-2</v>
      </c>
      <c r="D4" s="7">
        <f t="shared" ref="D4:D35" si="1">AJ4*1.15</f>
        <v>6.8999999999999992E-2</v>
      </c>
      <c r="E4" s="9">
        <f>C4</f>
        <v>6.8999999999999992E-2</v>
      </c>
      <c r="F4" s="9">
        <f>D4</f>
        <v>6.8999999999999992E-2</v>
      </c>
      <c r="G4" s="18">
        <f>IF(C4&lt;$H$1,C4,$H$1)</f>
        <v>6.8999999999999992E-2</v>
      </c>
      <c r="H4" s="18">
        <f>IF(D4&lt;$H$1,D4,$H$1)</f>
        <v>6.8999999999999992E-2</v>
      </c>
      <c r="I4" s="7">
        <f>C4-E4</f>
        <v>0</v>
      </c>
      <c r="J4" s="7">
        <f>D4-F4</f>
        <v>0</v>
      </c>
      <c r="K4" s="23">
        <f>C4-G4</f>
        <v>0</v>
      </c>
      <c r="L4" s="23">
        <f>D4-H4</f>
        <v>0</v>
      </c>
      <c r="M4" s="6">
        <f>0.2082*EXP(0.0184*B4)</f>
        <v>0.21206634125781271</v>
      </c>
      <c r="N4" s="7">
        <f>(M4/1000)*C4*24*365</f>
        <v>0.12818137930987231</v>
      </c>
      <c r="O4" s="7">
        <f>(M4/1000)*D4*24*365</f>
        <v>0.12818137930987231</v>
      </c>
      <c r="P4" s="7">
        <f>$M4/1000*$I4*24*365+($M4/1000*$E4*24*365)*0.5</f>
        <v>6.4090689654936153E-2</v>
      </c>
      <c r="Q4" s="7">
        <f>$M4/1000*$J4*24*365+($M4/1000*$F4*24*365)*0.5</f>
        <v>6.4090689654936153E-2</v>
      </c>
      <c r="R4" s="7">
        <f>$M4/1000*$I4*24*365+($M4/1000*$E4*24*365)*0.4</f>
        <v>5.1272551723948928E-2</v>
      </c>
      <c r="S4" s="7">
        <f>$M4/1000*$J4*24*365+($M4/1000*$F4*24*365)*0.4</f>
        <v>5.1272551723948928E-2</v>
      </c>
      <c r="T4" s="7">
        <f>$M4/1000*$I4*24*365+($M4/1000*$E4*24*365)*0.3</f>
        <v>3.8454413792961689E-2</v>
      </c>
      <c r="U4" s="7">
        <f>$M4/1000*$J4*24*365+($M4/1000*$F4*24*365)*0.3</f>
        <v>3.8454413792961689E-2</v>
      </c>
      <c r="V4" s="23">
        <f>$M4/1000*$K4*24*365+($M4/1000*$G4*24*365)*0.3</f>
        <v>3.8454413792961689E-2</v>
      </c>
      <c r="W4" s="23">
        <f>$M4/1000*$L4*24*365+($M4/1000*$H4*24*365)*0.3</f>
        <v>3.8454413792961689E-2</v>
      </c>
      <c r="X4" s="30">
        <f>$M4/1000*$K4*24*365+($M4/1000*$G4*24*365)*0.2</f>
        <v>2.5636275861974464E-2</v>
      </c>
      <c r="Y4" s="30">
        <f>$M4/1000*$L4*24*365+($M4/1000*$H4*24*365)*0.2</f>
        <v>2.5636275861974464E-2</v>
      </c>
      <c r="Z4" s="30">
        <f>$M4/1000*$K4*24*365+($M4/1000*$G4*24*365)*0.01</f>
        <v>1.2818137930987231E-3</v>
      </c>
      <c r="AA4" s="30">
        <f>$M4/1000*$L4*24*365+($M4/1000*$H4*24*365)*0.01</f>
        <v>1.2818137930987231E-3</v>
      </c>
      <c r="AB4" s="7">
        <f>$M4/1000*$I4*24*365+($M4/1000*$E4*24*365)*0.2</f>
        <v>2.5636275861974464E-2</v>
      </c>
      <c r="AC4" s="7">
        <f>$M4/1000*$J4*24*365+($M4/1000*$F4*24*365)*0.2</f>
        <v>2.5636275861974464E-2</v>
      </c>
      <c r="AD4" s="7"/>
      <c r="AG4" s="1">
        <v>1</v>
      </c>
      <c r="AH4" s="1">
        <v>1</v>
      </c>
      <c r="AI4" s="7">
        <v>0.06</v>
      </c>
      <c r="AJ4" s="7">
        <v>0.06</v>
      </c>
      <c r="AL4" t="s">
        <v>8</v>
      </c>
      <c r="AM4" s="1">
        <v>2</v>
      </c>
      <c r="AN4" s="2">
        <v>39596</v>
      </c>
      <c r="AO4" s="1">
        <v>90</v>
      </c>
      <c r="AP4" s="7">
        <v>1.0149999999999999</v>
      </c>
      <c r="AR4" s="1">
        <v>19.399999999999999</v>
      </c>
      <c r="AS4" s="7">
        <v>21.892514216060029</v>
      </c>
      <c r="AT4" s="6">
        <v>0.65662799333915978</v>
      </c>
      <c r="BI4" s="1">
        <v>1</v>
      </c>
      <c r="BJ4" s="1">
        <v>1</v>
      </c>
      <c r="BK4" s="7">
        <v>0.06</v>
      </c>
      <c r="BL4" s="7">
        <v>0.06</v>
      </c>
    </row>
    <row r="5" spans="1:68" x14ac:dyDescent="0.2">
      <c r="A5" s="1">
        <v>1</v>
      </c>
      <c r="B5" s="1">
        <v>2</v>
      </c>
      <c r="C5" s="7">
        <f t="shared" si="0"/>
        <v>8.0500000000000002E-2</v>
      </c>
      <c r="D5" s="7">
        <f t="shared" si="1"/>
        <v>8.0500000000000002E-2</v>
      </c>
      <c r="E5" s="9">
        <f t="shared" ref="E5:E14" si="2">C5</f>
        <v>8.0500000000000002E-2</v>
      </c>
      <c r="F5" s="9">
        <f t="shared" ref="F5:F14" si="3">D5</f>
        <v>8.0500000000000002E-2</v>
      </c>
      <c r="G5" s="18">
        <f t="shared" ref="G5:G68" si="4">IF(C5&lt;$H$1,C5,$H$1)</f>
        <v>8.0500000000000002E-2</v>
      </c>
      <c r="H5" s="18">
        <f t="shared" ref="H5:H68" si="5">IF(D5&lt;$H$1,D5,$H$1)</f>
        <v>8.0500000000000002E-2</v>
      </c>
      <c r="I5" s="7">
        <f t="shared" ref="I5:I68" si="6">C5-E5</f>
        <v>0</v>
      </c>
      <c r="J5" s="7">
        <f t="shared" ref="J5:J68" si="7">D5-F5</f>
        <v>0</v>
      </c>
      <c r="K5" s="23">
        <f t="shared" ref="K5:K68" si="8">C5-G5</f>
        <v>0</v>
      </c>
      <c r="L5" s="23">
        <f t="shared" ref="L5:L68" si="9">D5-H5</f>
        <v>0</v>
      </c>
      <c r="M5" s="6">
        <f t="shared" ref="M5:M68" si="10">0.2082*EXP(0.0184*B5)</f>
        <v>0.21600448172178227</v>
      </c>
      <c r="N5" s="7">
        <f t="shared" ref="N5:N68" si="11">(M5/1000)*C5*24*365</f>
        <v>0.15232204042056643</v>
      </c>
      <c r="O5" s="7">
        <f t="shared" ref="O5:O68" si="12">(M5/1000)*D5*24*365</f>
        <v>0.15232204042056643</v>
      </c>
      <c r="P5" s="7">
        <f t="shared" ref="P5:P68" si="13">$M5/1000*$I5*24*365+($M5/1000*$E5*24*365)*0.5</f>
        <v>7.6161020210283217E-2</v>
      </c>
      <c r="Q5" s="7">
        <f t="shared" ref="Q5:Q68" si="14">$M5/1000*$J5*24*365+($M5/1000*$F5*24*365)*0.5</f>
        <v>7.6161020210283217E-2</v>
      </c>
      <c r="R5" s="7">
        <f t="shared" ref="R5:R68" si="15">$M5/1000*$I5*24*365+($M5/1000*$E5*24*365)*0.4</f>
        <v>6.0928816168226575E-2</v>
      </c>
      <c r="S5" s="7">
        <f t="shared" ref="S5:S68" si="16">$M5/1000*$J5*24*365+($M5/1000*$F5*24*365)*0.4</f>
        <v>6.0928816168226575E-2</v>
      </c>
      <c r="T5" s="7">
        <f t="shared" ref="T5:T68" si="17">$M5/1000*$I5*24*365+($M5/1000*$E5*24*365)*0.3</f>
        <v>4.5696612126169926E-2</v>
      </c>
      <c r="U5" s="7">
        <f t="shared" ref="U5:U68" si="18">$M5/1000*$J5*24*365+($M5/1000*$F5*24*365)*0.3</f>
        <v>4.5696612126169926E-2</v>
      </c>
      <c r="V5" s="23">
        <f t="shared" ref="V5:V68" si="19">$M5/1000*$K5*24*365+($M5/1000*$G5*24*365)*0.3</f>
        <v>4.5696612126169926E-2</v>
      </c>
      <c r="W5" s="23">
        <f t="shared" ref="W5:W68" si="20">$M5/1000*$L5*24*365+($M5/1000*$H5*24*365)*0.3</f>
        <v>4.5696612126169926E-2</v>
      </c>
      <c r="X5" s="30">
        <f t="shared" ref="X5:X68" si="21">$M5/1000*$K5*24*365+($M5/1000*$G5*24*365)*0.2</f>
        <v>3.0464408084113288E-2</v>
      </c>
      <c r="Y5" s="30">
        <f t="shared" ref="Y5:Y68" si="22">$M5/1000*$L5*24*365+($M5/1000*$H5*24*365)*0.2</f>
        <v>3.0464408084113288E-2</v>
      </c>
      <c r="Z5" s="30">
        <f t="shared" ref="Z5:Z68" si="23">$M5/1000*$K5*24*365+($M5/1000*$G5*24*365)*0.01</f>
        <v>1.5232204042056644E-3</v>
      </c>
      <c r="AA5" s="30">
        <f t="shared" ref="AA5:AA68" si="24">$M5/1000*$L5*24*365+($M5/1000*$H5*24*365)*0.01</f>
        <v>1.5232204042056644E-3</v>
      </c>
      <c r="AB5" s="7">
        <f t="shared" ref="AB5:AB68" si="25">$M5/1000*$I5*24*365+($M5/1000*$E5*24*365)*0.2</f>
        <v>3.0464408084113288E-2</v>
      </c>
      <c r="AC5" s="7">
        <f t="shared" ref="AC5:AC68" si="26">$M5/1000*$J5*24*365+($M5/1000*$F5*24*365)*0.2</f>
        <v>3.0464408084113288E-2</v>
      </c>
      <c r="AD5" s="7"/>
      <c r="AG5" s="1">
        <v>1</v>
      </c>
      <c r="AH5" s="1">
        <v>2</v>
      </c>
      <c r="AI5" s="7">
        <v>7.0000000000000007E-2</v>
      </c>
      <c r="AJ5" s="7">
        <v>7.0000000000000007E-2</v>
      </c>
      <c r="AL5" t="s">
        <v>8</v>
      </c>
      <c r="AM5" s="1">
        <v>3</v>
      </c>
      <c r="AN5" s="2">
        <v>39694</v>
      </c>
      <c r="AO5" s="1">
        <v>64</v>
      </c>
      <c r="AP5" s="7">
        <v>0.96799999999999997</v>
      </c>
      <c r="AQ5" s="5">
        <v>20.059999999999999</v>
      </c>
      <c r="AR5" s="1">
        <v>13.8</v>
      </c>
      <c r="AS5" s="7">
        <v>10.681309645089005</v>
      </c>
      <c r="AT5" s="6">
        <v>0.47481916571088684</v>
      </c>
      <c r="BI5" s="1">
        <v>1</v>
      </c>
      <c r="BJ5" s="1">
        <v>2</v>
      </c>
      <c r="BK5" s="7">
        <v>7.0000000000000007E-2</v>
      </c>
      <c r="BL5" s="7">
        <v>7.0000000000000007E-2</v>
      </c>
    </row>
    <row r="6" spans="1:68" x14ac:dyDescent="0.2">
      <c r="A6" s="1">
        <v>1</v>
      </c>
      <c r="B6" s="1">
        <v>3</v>
      </c>
      <c r="C6" s="7">
        <f t="shared" si="0"/>
        <v>0.10349999999999999</v>
      </c>
      <c r="D6" s="7">
        <f t="shared" si="1"/>
        <v>0.10349999999999999</v>
      </c>
      <c r="E6" s="9">
        <f t="shared" si="2"/>
        <v>0.10349999999999999</v>
      </c>
      <c r="F6" s="9">
        <f t="shared" si="3"/>
        <v>0.10349999999999999</v>
      </c>
      <c r="G6" s="18">
        <f t="shared" si="4"/>
        <v>0.10349999999999999</v>
      </c>
      <c r="H6" s="18">
        <f t="shared" si="5"/>
        <v>0.10349999999999999</v>
      </c>
      <c r="I6" s="7">
        <f t="shared" si="6"/>
        <v>0</v>
      </c>
      <c r="J6" s="7">
        <f t="shared" si="7"/>
        <v>0</v>
      </c>
      <c r="K6" s="23">
        <f t="shared" si="8"/>
        <v>0</v>
      </c>
      <c r="L6" s="23">
        <f t="shared" si="9"/>
        <v>0</v>
      </c>
      <c r="M6" s="6">
        <f t="shared" si="10"/>
        <v>0.22001575472636142</v>
      </c>
      <c r="N6" s="7">
        <f t="shared" si="11"/>
        <v>0.19947948418020284</v>
      </c>
      <c r="O6" s="7">
        <f t="shared" si="12"/>
        <v>0.19947948418020284</v>
      </c>
      <c r="P6" s="7">
        <f t="shared" si="13"/>
        <v>9.9739742090101419E-2</v>
      </c>
      <c r="Q6" s="7">
        <f t="shared" si="14"/>
        <v>9.9739742090101419E-2</v>
      </c>
      <c r="R6" s="7">
        <f t="shared" si="15"/>
        <v>7.979179367208114E-2</v>
      </c>
      <c r="S6" s="7">
        <f t="shared" si="16"/>
        <v>7.979179367208114E-2</v>
      </c>
      <c r="T6" s="7">
        <f t="shared" si="17"/>
        <v>5.9843845254060848E-2</v>
      </c>
      <c r="U6" s="7">
        <f t="shared" si="18"/>
        <v>5.9843845254060848E-2</v>
      </c>
      <c r="V6" s="23">
        <f t="shared" si="19"/>
        <v>5.9843845254060848E-2</v>
      </c>
      <c r="W6" s="23">
        <f t="shared" si="20"/>
        <v>5.9843845254060848E-2</v>
      </c>
      <c r="X6" s="30">
        <f t="shared" si="21"/>
        <v>3.989589683604057E-2</v>
      </c>
      <c r="Y6" s="30">
        <f t="shared" si="22"/>
        <v>3.989589683604057E-2</v>
      </c>
      <c r="Z6" s="30">
        <f t="shared" si="23"/>
        <v>1.9947948418020285E-3</v>
      </c>
      <c r="AA6" s="30">
        <f t="shared" si="24"/>
        <v>1.9947948418020285E-3</v>
      </c>
      <c r="AB6" s="7">
        <f t="shared" si="25"/>
        <v>3.989589683604057E-2</v>
      </c>
      <c r="AC6" s="7">
        <f t="shared" si="26"/>
        <v>3.989589683604057E-2</v>
      </c>
      <c r="AD6" s="7"/>
      <c r="AG6" s="1">
        <v>1</v>
      </c>
      <c r="AH6" s="1">
        <v>3</v>
      </c>
      <c r="AI6" s="7">
        <v>0.09</v>
      </c>
      <c r="AJ6" s="7">
        <v>0.09</v>
      </c>
      <c r="AL6" t="s">
        <v>8</v>
      </c>
      <c r="AM6" s="1">
        <v>4</v>
      </c>
      <c r="AN6" s="2">
        <v>39755</v>
      </c>
      <c r="AO6" s="1">
        <v>125</v>
      </c>
      <c r="AP6" s="7">
        <v>0.93300000000000005</v>
      </c>
      <c r="AQ6" s="5"/>
      <c r="AR6" s="1">
        <v>7.9</v>
      </c>
      <c r="AS6" s="7">
        <v>12.090430100630579</v>
      </c>
      <c r="AT6" s="6">
        <v>2.1466313799844992</v>
      </c>
      <c r="BI6" s="1">
        <v>1</v>
      </c>
      <c r="BJ6" s="1">
        <v>3</v>
      </c>
      <c r="BK6" s="7">
        <v>0.09</v>
      </c>
      <c r="BL6" s="7">
        <v>0.09</v>
      </c>
    </row>
    <row r="7" spans="1:68" x14ac:dyDescent="0.2">
      <c r="A7" s="1">
        <v>1</v>
      </c>
      <c r="B7" s="1">
        <v>4</v>
      </c>
      <c r="C7" s="7">
        <f t="shared" si="0"/>
        <v>0.11499999999999999</v>
      </c>
      <c r="D7" s="7">
        <f t="shared" si="1"/>
        <v>0.11499999999999999</v>
      </c>
      <c r="E7" s="9">
        <f t="shared" si="2"/>
        <v>0.11499999999999999</v>
      </c>
      <c r="F7" s="9">
        <f t="shared" si="3"/>
        <v>0.11499999999999999</v>
      </c>
      <c r="G7" s="18">
        <f t="shared" si="4"/>
        <v>0.11499999999999999</v>
      </c>
      <c r="H7" s="18">
        <f t="shared" si="5"/>
        <v>0.11499999999999999</v>
      </c>
      <c r="I7" s="7">
        <f t="shared" si="6"/>
        <v>0</v>
      </c>
      <c r="J7" s="7">
        <f t="shared" si="7"/>
        <v>0</v>
      </c>
      <c r="K7" s="23">
        <f t="shared" si="8"/>
        <v>0</v>
      </c>
      <c r="L7" s="23">
        <f t="shared" si="9"/>
        <v>0</v>
      </c>
      <c r="M7" s="6">
        <f t="shared" si="10"/>
        <v>0.22410151836645426</v>
      </c>
      <c r="N7" s="7">
        <f t="shared" si="11"/>
        <v>0.22575986960236602</v>
      </c>
      <c r="O7" s="7">
        <f t="shared" si="12"/>
        <v>0.22575986960236602</v>
      </c>
      <c r="P7" s="7">
        <f t="shared" si="13"/>
        <v>0.11287993480118301</v>
      </c>
      <c r="Q7" s="7">
        <f t="shared" si="14"/>
        <v>0.11287993480118301</v>
      </c>
      <c r="R7" s="7">
        <f t="shared" si="15"/>
        <v>9.0303947840946419E-2</v>
      </c>
      <c r="S7" s="7">
        <f t="shared" si="16"/>
        <v>9.0303947840946419E-2</v>
      </c>
      <c r="T7" s="7">
        <f t="shared" si="17"/>
        <v>6.77279608807098E-2</v>
      </c>
      <c r="U7" s="7">
        <f t="shared" si="18"/>
        <v>6.77279608807098E-2</v>
      </c>
      <c r="V7" s="23">
        <f t="shared" si="19"/>
        <v>6.77279608807098E-2</v>
      </c>
      <c r="W7" s="23">
        <f t="shared" si="20"/>
        <v>6.77279608807098E-2</v>
      </c>
      <c r="X7" s="30">
        <f t="shared" si="21"/>
        <v>4.515197392047321E-2</v>
      </c>
      <c r="Y7" s="30">
        <f t="shared" si="22"/>
        <v>4.515197392047321E-2</v>
      </c>
      <c r="Z7" s="30">
        <f t="shared" si="23"/>
        <v>2.2575986960236601E-3</v>
      </c>
      <c r="AA7" s="30">
        <f t="shared" si="24"/>
        <v>2.2575986960236601E-3</v>
      </c>
      <c r="AB7" s="7">
        <f t="shared" si="25"/>
        <v>4.515197392047321E-2</v>
      </c>
      <c r="AC7" s="7">
        <f t="shared" si="26"/>
        <v>4.515197392047321E-2</v>
      </c>
      <c r="AD7" s="7"/>
      <c r="AG7" s="1">
        <v>1</v>
      </c>
      <c r="AH7" s="1">
        <v>4</v>
      </c>
      <c r="AI7" s="7">
        <v>0.1</v>
      </c>
      <c r="AJ7" s="7">
        <v>0.1</v>
      </c>
      <c r="AL7" t="s">
        <v>8</v>
      </c>
      <c r="AM7" s="1">
        <v>5</v>
      </c>
      <c r="AN7" s="2">
        <v>39818</v>
      </c>
      <c r="AO7" s="1">
        <v>61</v>
      </c>
      <c r="AP7" s="7">
        <v>0.90600000000000003</v>
      </c>
      <c r="AQ7" s="5">
        <v>16.05</v>
      </c>
      <c r="AR7" s="1">
        <v>-2.2999999999999998</v>
      </c>
      <c r="AS7" s="7">
        <v>15.837036042177258</v>
      </c>
      <c r="AT7" s="6">
        <v>0.98729311099282568</v>
      </c>
      <c r="BI7" s="1">
        <v>1</v>
      </c>
      <c r="BJ7" s="1">
        <v>4</v>
      </c>
      <c r="BK7" s="7">
        <v>0.1</v>
      </c>
      <c r="BL7" s="7">
        <v>0.1</v>
      </c>
    </row>
    <row r="8" spans="1:68" x14ac:dyDescent="0.2">
      <c r="A8" s="1">
        <v>1</v>
      </c>
      <c r="B8" s="1">
        <v>5</v>
      </c>
      <c r="C8" s="7">
        <f t="shared" si="0"/>
        <v>0.13799999999999998</v>
      </c>
      <c r="D8" s="7">
        <f t="shared" si="1"/>
        <v>0.13799999999999998</v>
      </c>
      <c r="E8" s="9">
        <f t="shared" si="2"/>
        <v>0.13799999999999998</v>
      </c>
      <c r="F8" s="9">
        <f t="shared" si="3"/>
        <v>0.13799999999999998</v>
      </c>
      <c r="G8" s="18">
        <f t="shared" si="4"/>
        <v>0.13799999999999998</v>
      </c>
      <c r="H8" s="18">
        <f t="shared" si="5"/>
        <v>0.13799999999999998</v>
      </c>
      <c r="I8" s="7">
        <f t="shared" si="6"/>
        <v>0</v>
      </c>
      <c r="J8" s="7">
        <f t="shared" si="7"/>
        <v>0</v>
      </c>
      <c r="K8" s="23">
        <f t="shared" si="8"/>
        <v>0</v>
      </c>
      <c r="L8" s="23">
        <f t="shared" si="9"/>
        <v>0</v>
      </c>
      <c r="M8" s="6">
        <f t="shared" si="10"/>
        <v>0.22826315595722607</v>
      </c>
      <c r="N8" s="7">
        <f t="shared" si="11"/>
        <v>0.27594276397357137</v>
      </c>
      <c r="O8" s="7">
        <f t="shared" si="12"/>
        <v>0.27594276397357137</v>
      </c>
      <c r="P8" s="7">
        <f t="shared" si="13"/>
        <v>0.13797138198678568</v>
      </c>
      <c r="Q8" s="7">
        <f t="shared" si="14"/>
        <v>0.13797138198678568</v>
      </c>
      <c r="R8" s="7">
        <f t="shared" si="15"/>
        <v>0.11037710558942855</v>
      </c>
      <c r="S8" s="7">
        <f t="shared" si="16"/>
        <v>0.11037710558942855</v>
      </c>
      <c r="T8" s="7">
        <f t="shared" si="17"/>
        <v>8.2782829192071403E-2</v>
      </c>
      <c r="U8" s="7">
        <f t="shared" si="18"/>
        <v>8.2782829192071403E-2</v>
      </c>
      <c r="V8" s="23">
        <f t="shared" si="19"/>
        <v>8.2782829192071403E-2</v>
      </c>
      <c r="W8" s="23">
        <f t="shared" si="20"/>
        <v>8.2782829192071403E-2</v>
      </c>
      <c r="X8" s="30">
        <f t="shared" si="21"/>
        <v>5.5188552794714275E-2</v>
      </c>
      <c r="Y8" s="30">
        <f t="shared" si="22"/>
        <v>5.5188552794714275E-2</v>
      </c>
      <c r="Z8" s="30">
        <f t="shared" si="23"/>
        <v>2.7594276397357137E-3</v>
      </c>
      <c r="AA8" s="30">
        <f t="shared" si="24"/>
        <v>2.7594276397357137E-3</v>
      </c>
      <c r="AB8" s="7">
        <f t="shared" si="25"/>
        <v>5.5188552794714275E-2</v>
      </c>
      <c r="AC8" s="7">
        <f t="shared" si="26"/>
        <v>5.5188552794714275E-2</v>
      </c>
      <c r="AD8" s="7"/>
      <c r="AG8" s="1">
        <v>1</v>
      </c>
      <c r="AH8" s="1">
        <v>5</v>
      </c>
      <c r="AI8" s="7">
        <v>0.12</v>
      </c>
      <c r="AJ8" s="7">
        <v>0.12</v>
      </c>
      <c r="AL8" t="s">
        <v>8</v>
      </c>
      <c r="AM8" s="1">
        <v>6</v>
      </c>
      <c r="AN8" s="2">
        <v>39855</v>
      </c>
      <c r="AO8" s="1">
        <v>98</v>
      </c>
      <c r="AP8" s="7">
        <v>0.91</v>
      </c>
      <c r="AR8" s="1">
        <v>1.9</v>
      </c>
      <c r="AS8" s="7">
        <v>8.685005985273424</v>
      </c>
      <c r="AT8" s="6">
        <v>1.4735280329055556</v>
      </c>
      <c r="BI8" s="1">
        <v>1</v>
      </c>
      <c r="BJ8" s="1">
        <v>5</v>
      </c>
      <c r="BK8" s="7">
        <v>0.12</v>
      </c>
      <c r="BL8" s="7">
        <v>0.12</v>
      </c>
    </row>
    <row r="9" spans="1:68" x14ac:dyDescent="0.2">
      <c r="A9" s="1">
        <v>1</v>
      </c>
      <c r="B9" s="1">
        <v>6</v>
      </c>
      <c r="C9" s="7">
        <f t="shared" si="0"/>
        <v>0.161</v>
      </c>
      <c r="D9" s="7">
        <f t="shared" si="1"/>
        <v>0.161</v>
      </c>
      <c r="E9" s="9">
        <f t="shared" si="2"/>
        <v>0.161</v>
      </c>
      <c r="F9" s="9">
        <f t="shared" si="3"/>
        <v>0.161</v>
      </c>
      <c r="G9" s="18">
        <f t="shared" si="4"/>
        <v>0.161</v>
      </c>
      <c r="H9" s="18">
        <f t="shared" si="5"/>
        <v>0.161</v>
      </c>
      <c r="I9" s="7">
        <f t="shared" si="6"/>
        <v>0</v>
      </c>
      <c r="J9" s="7">
        <f t="shared" si="7"/>
        <v>0</v>
      </c>
      <c r="K9" s="23">
        <f t="shared" si="8"/>
        <v>0</v>
      </c>
      <c r="L9" s="23">
        <f t="shared" si="9"/>
        <v>0</v>
      </c>
      <c r="M9" s="6">
        <f t="shared" si="10"/>
        <v>0.23250207650245164</v>
      </c>
      <c r="N9" s="7">
        <f t="shared" si="11"/>
        <v>0.32791162861599771</v>
      </c>
      <c r="O9" s="7">
        <f t="shared" si="12"/>
        <v>0.32791162861599771</v>
      </c>
      <c r="P9" s="7">
        <f t="shared" si="13"/>
        <v>0.16395581430799885</v>
      </c>
      <c r="Q9" s="7">
        <f t="shared" si="14"/>
        <v>0.16395581430799885</v>
      </c>
      <c r="R9" s="7">
        <f t="shared" si="15"/>
        <v>0.13116465144639908</v>
      </c>
      <c r="S9" s="7">
        <f t="shared" si="16"/>
        <v>0.13116465144639908</v>
      </c>
      <c r="T9" s="7">
        <f t="shared" si="17"/>
        <v>9.8373488584799315E-2</v>
      </c>
      <c r="U9" s="7">
        <f t="shared" si="18"/>
        <v>9.8373488584799315E-2</v>
      </c>
      <c r="V9" s="23">
        <f t="shared" si="19"/>
        <v>9.8373488584799315E-2</v>
      </c>
      <c r="W9" s="23">
        <f t="shared" si="20"/>
        <v>9.8373488584799315E-2</v>
      </c>
      <c r="X9" s="30">
        <f t="shared" si="21"/>
        <v>6.5582325723199539E-2</v>
      </c>
      <c r="Y9" s="30">
        <f t="shared" si="22"/>
        <v>6.5582325723199539E-2</v>
      </c>
      <c r="Z9" s="30">
        <f t="shared" si="23"/>
        <v>3.2791162861599771E-3</v>
      </c>
      <c r="AA9" s="30">
        <f t="shared" si="24"/>
        <v>3.2791162861599771E-3</v>
      </c>
      <c r="AB9" s="7">
        <f t="shared" si="25"/>
        <v>6.5582325723199539E-2</v>
      </c>
      <c r="AC9" s="7">
        <f t="shared" si="26"/>
        <v>6.5582325723199539E-2</v>
      </c>
      <c r="AD9" s="7"/>
      <c r="AG9" s="1">
        <v>1</v>
      </c>
      <c r="AH9" s="1">
        <v>6</v>
      </c>
      <c r="AI9" s="7">
        <v>0.14000000000000001</v>
      </c>
      <c r="AJ9" s="7">
        <v>0.14000000000000001</v>
      </c>
      <c r="AL9" t="s">
        <v>9</v>
      </c>
      <c r="AM9" s="1">
        <v>1</v>
      </c>
      <c r="AN9" s="2">
        <v>39358</v>
      </c>
      <c r="AO9" s="1">
        <v>69</v>
      </c>
      <c r="AP9" s="7">
        <v>1</v>
      </c>
      <c r="AQ9" s="5">
        <v>21.599204152249129</v>
      </c>
      <c r="AR9" s="1">
        <v>14.7</v>
      </c>
      <c r="AS9" s="7">
        <v>11.285299497530604</v>
      </c>
      <c r="AT9" s="6">
        <v>0.79221823796110202</v>
      </c>
      <c r="BI9" s="1">
        <v>1</v>
      </c>
      <c r="BJ9" s="1">
        <v>6</v>
      </c>
      <c r="BK9" s="7">
        <v>0.14000000000000001</v>
      </c>
      <c r="BL9" s="7">
        <v>0.14000000000000001</v>
      </c>
    </row>
    <row r="10" spans="1:68" x14ac:dyDescent="0.2">
      <c r="A10" s="1">
        <v>1</v>
      </c>
      <c r="B10" s="1">
        <v>7</v>
      </c>
      <c r="C10" s="7">
        <f t="shared" si="0"/>
        <v>0.184</v>
      </c>
      <c r="D10" s="7">
        <f t="shared" si="1"/>
        <v>0.184</v>
      </c>
      <c r="E10" s="9">
        <f t="shared" si="2"/>
        <v>0.184</v>
      </c>
      <c r="F10" s="9">
        <f t="shared" si="3"/>
        <v>0.184</v>
      </c>
      <c r="G10" s="18">
        <f t="shared" si="4"/>
        <v>0.184</v>
      </c>
      <c r="H10" s="18">
        <f t="shared" si="5"/>
        <v>0.184</v>
      </c>
      <c r="I10" s="7">
        <f t="shared" si="6"/>
        <v>0</v>
      </c>
      <c r="J10" s="7">
        <f t="shared" si="7"/>
        <v>0</v>
      </c>
      <c r="K10" s="23">
        <f t="shared" si="8"/>
        <v>0</v>
      </c>
      <c r="L10" s="23">
        <f t="shared" si="9"/>
        <v>0</v>
      </c>
      <c r="M10" s="6">
        <f t="shared" si="10"/>
        <v>0.23681971517156092</v>
      </c>
      <c r="N10" s="7">
        <f t="shared" si="11"/>
        <v>0.38171548970212871</v>
      </c>
      <c r="O10" s="7">
        <f t="shared" si="12"/>
        <v>0.38171548970212871</v>
      </c>
      <c r="P10" s="7">
        <f t="shared" si="13"/>
        <v>0.19085774485106435</v>
      </c>
      <c r="Q10" s="7">
        <f t="shared" si="14"/>
        <v>0.19085774485106435</v>
      </c>
      <c r="R10" s="7">
        <f t="shared" si="15"/>
        <v>0.1526861958808515</v>
      </c>
      <c r="S10" s="7">
        <f t="shared" si="16"/>
        <v>0.1526861958808515</v>
      </c>
      <c r="T10" s="7">
        <f t="shared" si="17"/>
        <v>0.1145146469106386</v>
      </c>
      <c r="U10" s="7">
        <f t="shared" si="18"/>
        <v>0.1145146469106386</v>
      </c>
      <c r="V10" s="23">
        <f t="shared" si="19"/>
        <v>0.1145146469106386</v>
      </c>
      <c r="W10" s="23">
        <f t="shared" si="20"/>
        <v>0.1145146469106386</v>
      </c>
      <c r="X10" s="30">
        <f t="shared" si="21"/>
        <v>7.634309794042575E-2</v>
      </c>
      <c r="Y10" s="30">
        <f t="shared" si="22"/>
        <v>7.634309794042575E-2</v>
      </c>
      <c r="Z10" s="30">
        <f t="shared" si="23"/>
        <v>3.8171548970212872E-3</v>
      </c>
      <c r="AA10" s="30">
        <f t="shared" si="24"/>
        <v>3.8171548970212872E-3</v>
      </c>
      <c r="AB10" s="7">
        <f t="shared" si="25"/>
        <v>7.634309794042575E-2</v>
      </c>
      <c r="AC10" s="7">
        <f t="shared" si="26"/>
        <v>7.634309794042575E-2</v>
      </c>
      <c r="AD10" s="7"/>
      <c r="AG10" s="1">
        <v>1</v>
      </c>
      <c r="AH10" s="1">
        <v>7</v>
      </c>
      <c r="AI10" s="7">
        <v>0.16</v>
      </c>
      <c r="AJ10" s="7">
        <v>0.16</v>
      </c>
      <c r="AL10" t="s">
        <v>9</v>
      </c>
      <c r="AM10" s="1">
        <v>2</v>
      </c>
      <c r="AN10" s="2">
        <v>39400</v>
      </c>
      <c r="AO10" s="1">
        <v>111</v>
      </c>
      <c r="AP10" s="7">
        <v>1</v>
      </c>
      <c r="AQ10" s="5">
        <v>15.634325259515563</v>
      </c>
      <c r="AR10" s="1">
        <v>3</v>
      </c>
      <c r="AS10" s="7">
        <v>14.95978706551745</v>
      </c>
      <c r="AT10" s="6">
        <v>2.5268562240285091</v>
      </c>
      <c r="BI10" s="1">
        <v>1</v>
      </c>
      <c r="BJ10" s="1">
        <v>7</v>
      </c>
      <c r="BK10" s="7">
        <v>0.16</v>
      </c>
      <c r="BL10" s="7">
        <v>0.16</v>
      </c>
      <c r="BN10">
        <v>0.17</v>
      </c>
      <c r="BO10">
        <v>0.18</v>
      </c>
      <c r="BP10">
        <v>0.15</v>
      </c>
    </row>
    <row r="11" spans="1:68" x14ac:dyDescent="0.2">
      <c r="A11" s="1">
        <v>2</v>
      </c>
      <c r="B11" s="1">
        <v>8</v>
      </c>
      <c r="C11" s="7">
        <f t="shared" si="0"/>
        <v>0.20699999999999999</v>
      </c>
      <c r="D11" s="7">
        <f t="shared" si="1"/>
        <v>0.20699999999999999</v>
      </c>
      <c r="E11" s="9">
        <f t="shared" si="2"/>
        <v>0.20699999999999999</v>
      </c>
      <c r="F11" s="9">
        <f t="shared" si="3"/>
        <v>0.20699999999999999</v>
      </c>
      <c r="G11" s="18">
        <f t="shared" si="4"/>
        <v>0.20699999999999999</v>
      </c>
      <c r="H11" s="18">
        <f t="shared" si="5"/>
        <v>0.20699999999999999</v>
      </c>
      <c r="I11" s="7">
        <f t="shared" si="6"/>
        <v>0</v>
      </c>
      <c r="J11" s="7">
        <f t="shared" si="7"/>
        <v>0</v>
      </c>
      <c r="K11" s="23">
        <f t="shared" si="8"/>
        <v>0</v>
      </c>
      <c r="L11" s="23">
        <f t="shared" si="9"/>
        <v>0</v>
      </c>
      <c r="M11" s="6">
        <f t="shared" si="10"/>
        <v>0.24121753378554392</v>
      </c>
      <c r="N11" s="7">
        <f t="shared" si="11"/>
        <v>0.43740457836400248</v>
      </c>
      <c r="O11" s="7">
        <f t="shared" si="12"/>
        <v>0.43740457836400248</v>
      </c>
      <c r="P11" s="7">
        <f t="shared" si="13"/>
        <v>0.21870228918200124</v>
      </c>
      <c r="Q11" s="7">
        <f t="shared" si="14"/>
        <v>0.21870228918200124</v>
      </c>
      <c r="R11" s="7">
        <f t="shared" si="15"/>
        <v>0.174961831345601</v>
      </c>
      <c r="S11" s="7">
        <f t="shared" si="16"/>
        <v>0.174961831345601</v>
      </c>
      <c r="T11" s="7">
        <f t="shared" si="17"/>
        <v>0.13122137350920074</v>
      </c>
      <c r="U11" s="7">
        <f t="shared" si="18"/>
        <v>0.13122137350920074</v>
      </c>
      <c r="V11" s="23">
        <f t="shared" si="19"/>
        <v>0.13122137350920074</v>
      </c>
      <c r="W11" s="23">
        <f t="shared" si="20"/>
        <v>0.13122137350920074</v>
      </c>
      <c r="X11" s="30">
        <f t="shared" si="21"/>
        <v>8.7480915672800502E-2</v>
      </c>
      <c r="Y11" s="30">
        <f t="shared" si="22"/>
        <v>8.7480915672800502E-2</v>
      </c>
      <c r="Z11" s="30">
        <f t="shared" si="23"/>
        <v>4.3740457836400253E-3</v>
      </c>
      <c r="AA11" s="30">
        <f t="shared" si="24"/>
        <v>4.3740457836400253E-3</v>
      </c>
      <c r="AB11" s="7">
        <f t="shared" si="25"/>
        <v>8.7480915672800502E-2</v>
      </c>
      <c r="AC11" s="7">
        <f t="shared" si="26"/>
        <v>8.7480915672800502E-2</v>
      </c>
      <c r="AD11" s="7"/>
      <c r="AG11" s="1">
        <v>2</v>
      </c>
      <c r="AH11" s="1">
        <v>8</v>
      </c>
      <c r="AI11" s="7">
        <v>0.18</v>
      </c>
      <c r="AJ11" s="7">
        <v>0.18</v>
      </c>
      <c r="AL11" t="s">
        <v>9</v>
      </c>
      <c r="AM11" s="1">
        <v>3</v>
      </c>
      <c r="AN11" s="2">
        <v>39511</v>
      </c>
      <c r="AO11" s="1">
        <v>91</v>
      </c>
      <c r="AP11" s="7">
        <v>1.0222222222222221</v>
      </c>
      <c r="AQ11" s="5">
        <v>16.977231833910039</v>
      </c>
      <c r="AR11" s="1">
        <v>2.9</v>
      </c>
      <c r="AS11" s="7">
        <v>6.8277914277028628</v>
      </c>
      <c r="AT11" s="6">
        <v>1.4158821457420949</v>
      </c>
      <c r="BI11" s="1">
        <v>2</v>
      </c>
      <c r="BJ11" s="1">
        <v>8</v>
      </c>
      <c r="BK11" s="7">
        <v>0.18</v>
      </c>
      <c r="BL11" s="7">
        <v>0.18</v>
      </c>
    </row>
    <row r="12" spans="1:68" x14ac:dyDescent="0.2">
      <c r="A12" s="1">
        <v>2</v>
      </c>
      <c r="B12" s="1">
        <v>9</v>
      </c>
      <c r="C12" s="7">
        <f t="shared" si="0"/>
        <v>0.22999999999999998</v>
      </c>
      <c r="D12" s="7">
        <f t="shared" si="1"/>
        <v>0.24149999999999996</v>
      </c>
      <c r="E12" s="9">
        <f t="shared" si="2"/>
        <v>0.22999999999999998</v>
      </c>
      <c r="F12" s="9">
        <f t="shared" si="3"/>
        <v>0.24149999999999996</v>
      </c>
      <c r="G12" s="18">
        <f t="shared" si="4"/>
        <v>0.22999999999999998</v>
      </c>
      <c r="H12" s="18">
        <f t="shared" si="5"/>
        <v>0.24149999999999996</v>
      </c>
      <c r="I12" s="7">
        <f t="shared" si="6"/>
        <v>0</v>
      </c>
      <c r="J12" s="7">
        <f t="shared" si="7"/>
        <v>0</v>
      </c>
      <c r="K12" s="23">
        <f t="shared" si="8"/>
        <v>0</v>
      </c>
      <c r="L12" s="23">
        <f t="shared" si="9"/>
        <v>0</v>
      </c>
      <c r="M12" s="6">
        <f t="shared" si="10"/>
        <v>0.24569702131187857</v>
      </c>
      <c r="N12" s="7">
        <f t="shared" si="11"/>
        <v>0.49503035853917288</v>
      </c>
      <c r="O12" s="7">
        <f t="shared" si="12"/>
        <v>0.51978187646613139</v>
      </c>
      <c r="P12" s="7">
        <f t="shared" si="13"/>
        <v>0.24751517926958644</v>
      </c>
      <c r="Q12" s="7">
        <f t="shared" si="14"/>
        <v>0.25989093823306569</v>
      </c>
      <c r="R12" s="7">
        <f t="shared" si="15"/>
        <v>0.19801214341566917</v>
      </c>
      <c r="S12" s="7">
        <f t="shared" si="16"/>
        <v>0.20791275058645256</v>
      </c>
      <c r="T12" s="7">
        <f t="shared" si="17"/>
        <v>0.14850910756175187</v>
      </c>
      <c r="U12" s="7">
        <f t="shared" si="18"/>
        <v>0.1559345629398394</v>
      </c>
      <c r="V12" s="23">
        <f t="shared" si="19"/>
        <v>0.14850910756175187</v>
      </c>
      <c r="W12" s="23">
        <f t="shared" si="20"/>
        <v>0.1559345629398394</v>
      </c>
      <c r="X12" s="30">
        <f t="shared" si="21"/>
        <v>9.9006071707834584E-2</v>
      </c>
      <c r="Y12" s="30">
        <f t="shared" si="22"/>
        <v>0.10395637529322628</v>
      </c>
      <c r="Z12" s="30">
        <f t="shared" si="23"/>
        <v>4.9503035853917287E-3</v>
      </c>
      <c r="AA12" s="30">
        <f t="shared" si="24"/>
        <v>5.1978187646613142E-3</v>
      </c>
      <c r="AB12" s="7">
        <f t="shared" si="25"/>
        <v>9.9006071707834584E-2</v>
      </c>
      <c r="AC12" s="7">
        <f t="shared" si="26"/>
        <v>0.10395637529322628</v>
      </c>
      <c r="AD12" s="7"/>
      <c r="AG12" s="1">
        <v>2</v>
      </c>
      <c r="AH12" s="1">
        <v>9</v>
      </c>
      <c r="AI12" s="7">
        <v>0.2</v>
      </c>
      <c r="AJ12" s="7">
        <v>0.21</v>
      </c>
      <c r="AL12" t="s">
        <v>9</v>
      </c>
      <c r="AM12" s="1">
        <v>4</v>
      </c>
      <c r="AN12" s="2">
        <v>39629</v>
      </c>
      <c r="AO12" s="1">
        <v>74</v>
      </c>
      <c r="AP12" s="7">
        <v>0.97777777777777775</v>
      </c>
      <c r="AQ12" s="5">
        <v>23.563840830449827</v>
      </c>
      <c r="AR12" s="1">
        <v>17.399999999999999</v>
      </c>
      <c r="AS12" s="7">
        <v>14.506003152914928</v>
      </c>
      <c r="AT12" s="6">
        <v>0.74750414059319792</v>
      </c>
      <c r="BI12" s="1">
        <v>2</v>
      </c>
      <c r="BJ12" s="1">
        <v>9</v>
      </c>
      <c r="BK12" s="7">
        <v>0.2</v>
      </c>
      <c r="BL12" s="7">
        <v>0.21</v>
      </c>
    </row>
    <row r="13" spans="1:68" x14ac:dyDescent="0.2">
      <c r="A13" s="1">
        <v>2</v>
      </c>
      <c r="B13" s="1">
        <v>10</v>
      </c>
      <c r="C13" s="7">
        <f t="shared" si="0"/>
        <v>0.253</v>
      </c>
      <c r="D13" s="7">
        <f t="shared" si="1"/>
        <v>0.27599999999999997</v>
      </c>
      <c r="E13" s="9">
        <f t="shared" si="2"/>
        <v>0.253</v>
      </c>
      <c r="F13" s="9">
        <f t="shared" si="3"/>
        <v>0.27599999999999997</v>
      </c>
      <c r="G13" s="18">
        <f t="shared" si="4"/>
        <v>0.253</v>
      </c>
      <c r="H13" s="18">
        <f t="shared" si="5"/>
        <v>0.27599999999999997</v>
      </c>
      <c r="I13" s="7">
        <f t="shared" si="6"/>
        <v>0</v>
      </c>
      <c r="J13" s="7">
        <f t="shared" si="7"/>
        <v>0</v>
      </c>
      <c r="K13" s="23">
        <f t="shared" si="8"/>
        <v>0</v>
      </c>
      <c r="L13" s="23">
        <f t="shared" si="9"/>
        <v>0</v>
      </c>
      <c r="M13" s="6">
        <f t="shared" si="10"/>
        <v>0.25025969436864992</v>
      </c>
      <c r="N13" s="7">
        <f t="shared" si="11"/>
        <v>0.55464555543535143</v>
      </c>
      <c r="O13" s="7">
        <f t="shared" si="12"/>
        <v>0.60506787865674694</v>
      </c>
      <c r="P13" s="7">
        <f t="shared" si="13"/>
        <v>0.27732277771767572</v>
      </c>
      <c r="Q13" s="7">
        <f t="shared" si="14"/>
        <v>0.30253393932837347</v>
      </c>
      <c r="R13" s="7">
        <f t="shared" si="15"/>
        <v>0.22185822217414058</v>
      </c>
      <c r="S13" s="7">
        <f t="shared" si="16"/>
        <v>0.24202715146269879</v>
      </c>
      <c r="T13" s="7">
        <f t="shared" si="17"/>
        <v>0.16639366663060542</v>
      </c>
      <c r="U13" s="7">
        <f t="shared" si="18"/>
        <v>0.18152036359702409</v>
      </c>
      <c r="V13" s="23">
        <f t="shared" si="19"/>
        <v>0.16639366663060542</v>
      </c>
      <c r="W13" s="23">
        <f t="shared" si="20"/>
        <v>0.18152036359702409</v>
      </c>
      <c r="X13" s="30">
        <f t="shared" si="21"/>
        <v>0.11092911108707029</v>
      </c>
      <c r="Y13" s="30">
        <f t="shared" si="22"/>
        <v>0.1210135757313494</v>
      </c>
      <c r="Z13" s="30">
        <f t="shared" si="23"/>
        <v>5.5464555543535141E-3</v>
      </c>
      <c r="AA13" s="30">
        <f t="shared" si="24"/>
        <v>6.0506787865674694E-3</v>
      </c>
      <c r="AB13" s="7">
        <f t="shared" si="25"/>
        <v>0.11092911108707029</v>
      </c>
      <c r="AC13" s="7">
        <f t="shared" si="26"/>
        <v>0.1210135757313494</v>
      </c>
      <c r="AD13" s="7"/>
      <c r="AG13" s="1">
        <v>2</v>
      </c>
      <c r="AH13" s="1">
        <v>10</v>
      </c>
      <c r="AI13" s="7">
        <v>0.22</v>
      </c>
      <c r="AJ13" s="7">
        <v>0.24</v>
      </c>
      <c r="AL13" t="s">
        <v>9</v>
      </c>
      <c r="AM13" s="1">
        <v>5</v>
      </c>
      <c r="AN13" s="2">
        <v>39673</v>
      </c>
      <c r="AO13" s="1">
        <v>118</v>
      </c>
      <c r="AP13" s="7">
        <v>0.97777777777777775</v>
      </c>
      <c r="AQ13" s="5">
        <v>21.058500000000002</v>
      </c>
      <c r="AR13" s="1">
        <v>18.7</v>
      </c>
      <c r="AS13" s="7">
        <v>12.573387613221627</v>
      </c>
      <c r="AT13" s="6">
        <v>1.8750222195593653</v>
      </c>
      <c r="BI13" s="1">
        <v>2</v>
      </c>
      <c r="BJ13" s="1">
        <v>10</v>
      </c>
      <c r="BK13" s="7">
        <v>0.22</v>
      </c>
      <c r="BL13" s="7">
        <v>0.24</v>
      </c>
    </row>
    <row r="14" spans="1:68" x14ac:dyDescent="0.2">
      <c r="A14" s="1">
        <v>2</v>
      </c>
      <c r="B14" s="1">
        <v>11</v>
      </c>
      <c r="C14" s="7">
        <f t="shared" si="0"/>
        <v>0.28749999999999998</v>
      </c>
      <c r="D14" s="7">
        <f t="shared" si="1"/>
        <v>0.3105</v>
      </c>
      <c r="E14" s="9">
        <f t="shared" si="2"/>
        <v>0.28749999999999998</v>
      </c>
      <c r="F14" s="9">
        <f t="shared" si="3"/>
        <v>0.3105</v>
      </c>
      <c r="G14" s="18">
        <f t="shared" si="4"/>
        <v>0.28749999999999998</v>
      </c>
      <c r="H14" s="18">
        <f t="shared" si="5"/>
        <v>0.3105</v>
      </c>
      <c r="I14" s="7">
        <f t="shared" si="6"/>
        <v>0</v>
      </c>
      <c r="J14" s="7">
        <f t="shared" si="7"/>
        <v>0</v>
      </c>
      <c r="K14" s="23">
        <f t="shared" si="8"/>
        <v>0</v>
      </c>
      <c r="L14" s="23">
        <f t="shared" si="9"/>
        <v>0</v>
      </c>
      <c r="M14" s="6">
        <f t="shared" si="10"/>
        <v>0.25490709773803089</v>
      </c>
      <c r="N14" s="7">
        <f t="shared" si="11"/>
        <v>0.64198352565323069</v>
      </c>
      <c r="O14" s="7">
        <f t="shared" si="12"/>
        <v>0.69334220770548938</v>
      </c>
      <c r="P14" s="7">
        <f t="shared" si="13"/>
        <v>0.32099176282661535</v>
      </c>
      <c r="Q14" s="7">
        <f t="shared" si="14"/>
        <v>0.34667110385274469</v>
      </c>
      <c r="R14" s="7">
        <f t="shared" si="15"/>
        <v>0.25679341026129227</v>
      </c>
      <c r="S14" s="7">
        <f t="shared" si="16"/>
        <v>0.27733688308219578</v>
      </c>
      <c r="T14" s="7">
        <f t="shared" si="17"/>
        <v>0.19259505769596921</v>
      </c>
      <c r="U14" s="7">
        <f t="shared" si="18"/>
        <v>0.2080026623116468</v>
      </c>
      <c r="V14" s="23">
        <f t="shared" si="19"/>
        <v>0.19259505769596921</v>
      </c>
      <c r="W14" s="23">
        <f t="shared" si="20"/>
        <v>0.2080026623116468</v>
      </c>
      <c r="X14" s="30">
        <f t="shared" si="21"/>
        <v>0.12839670513064613</v>
      </c>
      <c r="Y14" s="30">
        <f t="shared" si="22"/>
        <v>0.13866844154109789</v>
      </c>
      <c r="Z14" s="30">
        <f t="shared" si="23"/>
        <v>6.4198352565323072E-3</v>
      </c>
      <c r="AA14" s="30">
        <f t="shared" si="24"/>
        <v>6.9334220770548936E-3</v>
      </c>
      <c r="AB14" s="7">
        <f t="shared" si="25"/>
        <v>0.12839670513064613</v>
      </c>
      <c r="AC14" s="7">
        <f t="shared" si="26"/>
        <v>0.13866844154109789</v>
      </c>
      <c r="AD14" s="7"/>
      <c r="AG14" s="1">
        <v>2</v>
      </c>
      <c r="AH14" s="1">
        <v>11</v>
      </c>
      <c r="AI14" s="7">
        <v>0.25</v>
      </c>
      <c r="AJ14" s="7">
        <v>0.27</v>
      </c>
      <c r="AL14" t="s">
        <v>9</v>
      </c>
      <c r="AM14" s="1">
        <v>6</v>
      </c>
      <c r="AN14" s="2">
        <v>39827</v>
      </c>
      <c r="AO14" s="1">
        <v>133</v>
      </c>
      <c r="AP14" s="7">
        <v>0.93333333333333335</v>
      </c>
      <c r="AR14" s="1">
        <v>3.4</v>
      </c>
      <c r="AS14" s="7">
        <v>13.579929768044039</v>
      </c>
      <c r="AT14" s="6">
        <v>1.7300458715371483</v>
      </c>
      <c r="BI14" s="1">
        <v>2</v>
      </c>
      <c r="BJ14" s="1">
        <v>11</v>
      </c>
      <c r="BK14" s="7">
        <v>0.25</v>
      </c>
      <c r="BL14" s="7">
        <v>0.27</v>
      </c>
    </row>
    <row r="15" spans="1:68" x14ac:dyDescent="0.2">
      <c r="A15" s="1">
        <v>2</v>
      </c>
      <c r="B15" s="1">
        <v>12</v>
      </c>
      <c r="C15" s="7">
        <f t="shared" si="0"/>
        <v>0.32200000000000001</v>
      </c>
      <c r="D15" s="7">
        <f t="shared" si="1"/>
        <v>0.35649999999999998</v>
      </c>
      <c r="E15" s="9">
        <f>C15</f>
        <v>0.32200000000000001</v>
      </c>
      <c r="F15" s="12">
        <v>0.35</v>
      </c>
      <c r="G15" s="18">
        <f t="shared" si="4"/>
        <v>0.32200000000000001</v>
      </c>
      <c r="H15" s="18">
        <f t="shared" si="5"/>
        <v>0.35649999999999998</v>
      </c>
      <c r="I15" s="7">
        <f t="shared" si="6"/>
        <v>0</v>
      </c>
      <c r="J15" s="7">
        <f t="shared" si="7"/>
        <v>6.5000000000000058E-3</v>
      </c>
      <c r="K15" s="23">
        <f t="shared" si="8"/>
        <v>0</v>
      </c>
      <c r="L15" s="23">
        <f t="shared" si="9"/>
        <v>0</v>
      </c>
      <c r="M15" s="6">
        <f t="shared" si="10"/>
        <v>0.25964080488929814</v>
      </c>
      <c r="N15" s="7">
        <f t="shared" si="11"/>
        <v>0.73237401116734102</v>
      </c>
      <c r="O15" s="7">
        <f t="shared" si="12"/>
        <v>0.81084265522098464</v>
      </c>
      <c r="P15" s="7">
        <f t="shared" si="13"/>
        <v>0.36618700558367051</v>
      </c>
      <c r="Q15" s="7">
        <f t="shared" si="14"/>
        <v>0.41281330132569066</v>
      </c>
      <c r="R15" s="7">
        <f t="shared" si="15"/>
        <v>0.29294960446693641</v>
      </c>
      <c r="S15" s="7">
        <f t="shared" si="16"/>
        <v>0.33320743054663188</v>
      </c>
      <c r="T15" s="7">
        <f t="shared" si="17"/>
        <v>0.21971220335020231</v>
      </c>
      <c r="U15" s="7">
        <f t="shared" si="18"/>
        <v>0.25360155976757304</v>
      </c>
      <c r="V15" s="23">
        <f t="shared" si="19"/>
        <v>0.21971220335020231</v>
      </c>
      <c r="W15" s="23">
        <f t="shared" si="20"/>
        <v>0.24325279656629539</v>
      </c>
      <c r="X15" s="30">
        <f t="shared" si="21"/>
        <v>0.1464748022334682</v>
      </c>
      <c r="Y15" s="30">
        <f t="shared" si="22"/>
        <v>0.16216853104419693</v>
      </c>
      <c r="Z15" s="30">
        <f t="shared" si="23"/>
        <v>7.3237401116734106E-3</v>
      </c>
      <c r="AA15" s="30">
        <f t="shared" si="24"/>
        <v>8.1084265522098457E-3</v>
      </c>
      <c r="AB15" s="7">
        <f t="shared" si="25"/>
        <v>0.1464748022334682</v>
      </c>
      <c r="AC15" s="7">
        <f t="shared" si="26"/>
        <v>0.17399568898851428</v>
      </c>
      <c r="AD15" s="7"/>
      <c r="AG15" s="1">
        <v>2</v>
      </c>
      <c r="AH15" s="1">
        <v>12</v>
      </c>
      <c r="AI15" s="7">
        <v>0.28000000000000003</v>
      </c>
      <c r="AJ15" s="7">
        <v>0.31</v>
      </c>
      <c r="BI15" s="1">
        <v>2</v>
      </c>
      <c r="BJ15" s="1">
        <v>12</v>
      </c>
      <c r="BK15" s="7">
        <v>0.28000000000000003</v>
      </c>
      <c r="BL15" s="7">
        <v>0.31</v>
      </c>
    </row>
    <row r="16" spans="1:68" x14ac:dyDescent="0.2">
      <c r="A16" s="1">
        <v>2</v>
      </c>
      <c r="B16" s="1">
        <v>13</v>
      </c>
      <c r="C16" s="7">
        <f t="shared" si="0"/>
        <v>0.35649999999999998</v>
      </c>
      <c r="D16" s="7">
        <f t="shared" si="1"/>
        <v>0.40249999999999997</v>
      </c>
      <c r="E16" s="12">
        <v>0.35</v>
      </c>
      <c r="F16" s="12">
        <v>0.35</v>
      </c>
      <c r="G16" s="18">
        <f t="shared" si="4"/>
        <v>0.35649999999999998</v>
      </c>
      <c r="H16" s="18">
        <f t="shared" si="5"/>
        <v>0.40249999999999997</v>
      </c>
      <c r="I16" s="7">
        <f t="shared" si="6"/>
        <v>6.5000000000000058E-3</v>
      </c>
      <c r="J16" s="7">
        <f t="shared" si="7"/>
        <v>5.2499999999999991E-2</v>
      </c>
      <c r="K16" s="23">
        <f t="shared" si="8"/>
        <v>0</v>
      </c>
      <c r="L16" s="23">
        <f t="shared" si="9"/>
        <v>0</v>
      </c>
      <c r="M16" s="6">
        <f t="shared" si="10"/>
        <v>0.26446241851156127</v>
      </c>
      <c r="N16" s="7">
        <f t="shared" si="11"/>
        <v>0.82590026526649507</v>
      </c>
      <c r="O16" s="7">
        <f t="shared" si="12"/>
        <v>0.9324680414299138</v>
      </c>
      <c r="P16" s="7">
        <f t="shared" si="13"/>
        <v>0.4204793776882717</v>
      </c>
      <c r="Q16" s="7">
        <f t="shared" si="14"/>
        <v>0.52704715385169043</v>
      </c>
      <c r="R16" s="7">
        <f t="shared" si="15"/>
        <v>0.33939520017262703</v>
      </c>
      <c r="S16" s="7">
        <f t="shared" si="16"/>
        <v>0.44596297633604576</v>
      </c>
      <c r="T16" s="7">
        <f t="shared" si="17"/>
        <v>0.25831102265698236</v>
      </c>
      <c r="U16" s="7">
        <f t="shared" si="18"/>
        <v>0.36487879882040103</v>
      </c>
      <c r="V16" s="23">
        <f t="shared" si="19"/>
        <v>0.24777007957994851</v>
      </c>
      <c r="W16" s="23">
        <f t="shared" si="20"/>
        <v>0.27974041242897413</v>
      </c>
      <c r="X16" s="30">
        <f t="shared" si="21"/>
        <v>0.16518005305329903</v>
      </c>
      <c r="Y16" s="30">
        <f t="shared" si="22"/>
        <v>0.18649360828598277</v>
      </c>
      <c r="Z16" s="30">
        <f t="shared" si="23"/>
        <v>8.2590026526649513E-3</v>
      </c>
      <c r="AA16" s="30">
        <f t="shared" si="24"/>
        <v>9.3246804142991385E-3</v>
      </c>
      <c r="AB16" s="7">
        <f t="shared" si="25"/>
        <v>0.17722684514133769</v>
      </c>
      <c r="AC16" s="7">
        <f t="shared" si="26"/>
        <v>0.28379462130475636</v>
      </c>
      <c r="AD16" s="7"/>
      <c r="AG16" s="1">
        <v>2</v>
      </c>
      <c r="AH16" s="1">
        <v>13</v>
      </c>
      <c r="AI16" s="7">
        <v>0.31</v>
      </c>
      <c r="AJ16" s="7">
        <v>0.35</v>
      </c>
      <c r="BI16" s="1">
        <v>2</v>
      </c>
      <c r="BJ16" s="1">
        <v>13</v>
      </c>
      <c r="BK16" s="7">
        <v>0.31</v>
      </c>
      <c r="BL16" s="7">
        <v>0.35</v>
      </c>
    </row>
    <row r="17" spans="1:68" x14ac:dyDescent="0.2">
      <c r="A17" s="1">
        <v>2</v>
      </c>
      <c r="B17" s="1">
        <v>14</v>
      </c>
      <c r="C17" s="7">
        <f t="shared" si="0"/>
        <v>0.39100000000000001</v>
      </c>
      <c r="D17" s="7">
        <f t="shared" si="1"/>
        <v>0.44849999999999995</v>
      </c>
      <c r="E17" s="12">
        <v>0.35</v>
      </c>
      <c r="F17" s="12">
        <v>0.35</v>
      </c>
      <c r="G17" s="18">
        <f t="shared" si="4"/>
        <v>0.39100000000000001</v>
      </c>
      <c r="H17" s="18">
        <f t="shared" si="5"/>
        <v>0.44849999999999995</v>
      </c>
      <c r="I17" s="7">
        <f t="shared" si="6"/>
        <v>4.1000000000000036E-2</v>
      </c>
      <c r="J17" s="7">
        <f t="shared" si="7"/>
        <v>9.8499999999999976E-2</v>
      </c>
      <c r="K17" s="23">
        <f t="shared" si="8"/>
        <v>0</v>
      </c>
      <c r="L17" s="23">
        <f t="shared" si="9"/>
        <v>0</v>
      </c>
      <c r="M17" s="6">
        <f t="shared" si="10"/>
        <v>0.26937357105638443</v>
      </c>
      <c r="N17" s="7">
        <f t="shared" si="11"/>
        <v>0.92264758063948571</v>
      </c>
      <c r="O17" s="7">
        <f t="shared" si="12"/>
        <v>1.0583310483805863</v>
      </c>
      <c r="P17" s="7">
        <f t="shared" si="13"/>
        <v>0.50969789621004846</v>
      </c>
      <c r="Q17" s="7">
        <f t="shared" si="14"/>
        <v>0.64538136395114909</v>
      </c>
      <c r="R17" s="7">
        <f t="shared" si="15"/>
        <v>0.42710795932416096</v>
      </c>
      <c r="S17" s="7">
        <f t="shared" si="16"/>
        <v>0.56279142706526164</v>
      </c>
      <c r="T17" s="7">
        <f t="shared" si="17"/>
        <v>0.34451802243827351</v>
      </c>
      <c r="U17" s="7">
        <f t="shared" si="18"/>
        <v>0.48020149017937419</v>
      </c>
      <c r="V17" s="23">
        <f t="shared" si="19"/>
        <v>0.27679427419184571</v>
      </c>
      <c r="W17" s="23">
        <f t="shared" si="20"/>
        <v>0.3174993145141759</v>
      </c>
      <c r="X17" s="30">
        <f t="shared" si="21"/>
        <v>0.18452951612789714</v>
      </c>
      <c r="Y17" s="30">
        <f t="shared" si="22"/>
        <v>0.21166620967611727</v>
      </c>
      <c r="Z17" s="30">
        <f t="shared" si="23"/>
        <v>9.2264758063948567E-3</v>
      </c>
      <c r="AA17" s="30">
        <f t="shared" si="24"/>
        <v>1.0583310483805864E-2</v>
      </c>
      <c r="AB17" s="7">
        <f t="shared" si="25"/>
        <v>0.26192808555238606</v>
      </c>
      <c r="AC17" s="7">
        <f t="shared" si="26"/>
        <v>0.39761155329348674</v>
      </c>
      <c r="AD17" s="7"/>
      <c r="AG17" s="1">
        <v>2</v>
      </c>
      <c r="AH17" s="1">
        <v>14</v>
      </c>
      <c r="AI17" s="7">
        <v>0.34</v>
      </c>
      <c r="AJ17" s="7">
        <v>0.39</v>
      </c>
      <c r="BI17" s="1">
        <v>2</v>
      </c>
      <c r="BJ17" s="1">
        <v>14</v>
      </c>
      <c r="BK17" s="7">
        <v>0.34</v>
      </c>
      <c r="BL17" s="7">
        <v>0.39</v>
      </c>
      <c r="BN17">
        <v>0.35</v>
      </c>
      <c r="BO17">
        <v>0.39</v>
      </c>
      <c r="BP17">
        <v>0.28000000000000003</v>
      </c>
    </row>
    <row r="18" spans="1:68" x14ac:dyDescent="0.2">
      <c r="A18" s="1">
        <v>3</v>
      </c>
      <c r="B18" s="1">
        <v>15</v>
      </c>
      <c r="C18" s="7">
        <f t="shared" si="0"/>
        <v>0.43699999999999994</v>
      </c>
      <c r="D18" s="7">
        <f t="shared" si="1"/>
        <v>0.49449999999999994</v>
      </c>
      <c r="E18" s="12">
        <v>0.35</v>
      </c>
      <c r="F18" s="12">
        <v>0.35</v>
      </c>
      <c r="G18" s="18">
        <f t="shared" si="4"/>
        <v>0.43699999999999994</v>
      </c>
      <c r="H18" s="18">
        <f t="shared" si="5"/>
        <v>0.49449999999999994</v>
      </c>
      <c r="I18" s="7">
        <f t="shared" si="6"/>
        <v>8.6999999999999966E-2</v>
      </c>
      <c r="J18" s="7">
        <f t="shared" si="7"/>
        <v>0.14449999999999996</v>
      </c>
      <c r="K18" s="23">
        <f t="shared" si="8"/>
        <v>0</v>
      </c>
      <c r="L18" s="23">
        <f t="shared" si="9"/>
        <v>0</v>
      </c>
      <c r="M18" s="6">
        <f t="shared" si="10"/>
        <v>0.27437592529048455</v>
      </c>
      <c r="N18" s="7">
        <f t="shared" si="11"/>
        <v>1.0503439671230095</v>
      </c>
      <c r="O18" s="7">
        <f t="shared" si="12"/>
        <v>1.1885471206918263</v>
      </c>
      <c r="P18" s="7">
        <f t="shared" si="13"/>
        <v>0.62972567365269672</v>
      </c>
      <c r="Q18" s="7">
        <f t="shared" si="14"/>
        <v>0.76792882722151379</v>
      </c>
      <c r="R18" s="7">
        <f t="shared" si="15"/>
        <v>0.54560201495863425</v>
      </c>
      <c r="S18" s="7">
        <f t="shared" si="16"/>
        <v>0.68380516852745132</v>
      </c>
      <c r="T18" s="7">
        <f t="shared" si="17"/>
        <v>0.46147835626457168</v>
      </c>
      <c r="U18" s="7">
        <f t="shared" si="18"/>
        <v>0.59968150983338875</v>
      </c>
      <c r="V18" s="23">
        <f t="shared" si="19"/>
        <v>0.31510319013690286</v>
      </c>
      <c r="W18" s="23">
        <f t="shared" si="20"/>
        <v>0.3565641362075479</v>
      </c>
      <c r="X18" s="30">
        <f t="shared" si="21"/>
        <v>0.21006879342460191</v>
      </c>
      <c r="Y18" s="30">
        <f t="shared" si="22"/>
        <v>0.23770942413836527</v>
      </c>
      <c r="Z18" s="30">
        <f t="shared" si="23"/>
        <v>1.0503439671230096E-2</v>
      </c>
      <c r="AA18" s="30">
        <f t="shared" si="24"/>
        <v>1.1885471206918264E-2</v>
      </c>
      <c r="AB18" s="7">
        <f t="shared" si="25"/>
        <v>0.3773546975705091</v>
      </c>
      <c r="AC18" s="7">
        <f t="shared" si="26"/>
        <v>0.51555785113932617</v>
      </c>
      <c r="AD18" s="7"/>
      <c r="AG18" s="1">
        <v>3</v>
      </c>
      <c r="AH18" s="1">
        <v>15</v>
      </c>
      <c r="AI18" s="7">
        <v>0.38</v>
      </c>
      <c r="AJ18" s="7">
        <v>0.43</v>
      </c>
      <c r="BI18" s="1">
        <v>3</v>
      </c>
      <c r="BJ18" s="1">
        <v>15</v>
      </c>
      <c r="BK18" s="7">
        <v>0.38</v>
      </c>
      <c r="BL18" s="7">
        <v>0.43</v>
      </c>
    </row>
    <row r="19" spans="1:68" x14ac:dyDescent="0.2">
      <c r="A19" s="1">
        <v>3</v>
      </c>
      <c r="B19" s="1">
        <v>16</v>
      </c>
      <c r="C19" s="7">
        <f t="shared" si="0"/>
        <v>0.47149999999999992</v>
      </c>
      <c r="D19" s="7">
        <f t="shared" si="1"/>
        <v>0.55199999999999994</v>
      </c>
      <c r="E19" s="12">
        <v>0.35</v>
      </c>
      <c r="F19" s="12">
        <v>0.35</v>
      </c>
      <c r="G19" s="18">
        <f t="shared" si="4"/>
        <v>0.47149999999999992</v>
      </c>
      <c r="H19" s="18">
        <f t="shared" si="5"/>
        <v>0.55199999999999994</v>
      </c>
      <c r="I19" s="7">
        <f t="shared" si="6"/>
        <v>0.12149999999999994</v>
      </c>
      <c r="J19" s="7">
        <f t="shared" si="7"/>
        <v>0.20199999999999996</v>
      </c>
      <c r="K19" s="23">
        <f t="shared" si="8"/>
        <v>0</v>
      </c>
      <c r="L19" s="23">
        <f t="shared" si="9"/>
        <v>0</v>
      </c>
      <c r="M19" s="6">
        <f t="shared" si="10"/>
        <v>0.27947117485869366</v>
      </c>
      <c r="N19" s="7">
        <f t="shared" si="11"/>
        <v>1.1543109723658567</v>
      </c>
      <c r="O19" s="7">
        <f t="shared" si="12"/>
        <v>1.3513884554527102</v>
      </c>
      <c r="P19" s="7">
        <f t="shared" si="13"/>
        <v>0.72588166130747922</v>
      </c>
      <c r="Q19" s="7">
        <f t="shared" si="14"/>
        <v>0.9229591443943328</v>
      </c>
      <c r="R19" s="7">
        <f t="shared" si="15"/>
        <v>0.64019579909580382</v>
      </c>
      <c r="S19" s="7">
        <f t="shared" si="16"/>
        <v>0.8372732821826574</v>
      </c>
      <c r="T19" s="7">
        <f t="shared" si="17"/>
        <v>0.5545099368841282</v>
      </c>
      <c r="U19" s="7">
        <f t="shared" si="18"/>
        <v>0.75158741997098188</v>
      </c>
      <c r="V19" s="23">
        <f t="shared" si="19"/>
        <v>0.34629329170975698</v>
      </c>
      <c r="W19" s="23">
        <f t="shared" si="20"/>
        <v>0.40541653663581306</v>
      </c>
      <c r="X19" s="30">
        <f t="shared" si="21"/>
        <v>0.23086219447317136</v>
      </c>
      <c r="Y19" s="30">
        <f t="shared" si="22"/>
        <v>0.27027769109054206</v>
      </c>
      <c r="Z19" s="30">
        <f t="shared" si="23"/>
        <v>1.1543109723658566E-2</v>
      </c>
      <c r="AA19" s="30">
        <f t="shared" si="24"/>
        <v>1.3513884554527103E-2</v>
      </c>
      <c r="AB19" s="7">
        <f t="shared" si="25"/>
        <v>0.4688240746724528</v>
      </c>
      <c r="AC19" s="7">
        <f t="shared" si="26"/>
        <v>0.66590155775930637</v>
      </c>
      <c r="AD19" s="7"/>
      <c r="AG19" s="1">
        <v>3</v>
      </c>
      <c r="AH19" s="1">
        <v>16</v>
      </c>
      <c r="AI19" s="7">
        <v>0.41</v>
      </c>
      <c r="AJ19" s="7">
        <v>0.48</v>
      </c>
      <c r="BI19" s="1">
        <v>3</v>
      </c>
      <c r="BJ19" s="1">
        <v>16</v>
      </c>
      <c r="BK19" s="7">
        <v>0.41</v>
      </c>
      <c r="BL19" s="7">
        <v>0.48</v>
      </c>
    </row>
    <row r="20" spans="1:68" x14ac:dyDescent="0.2">
      <c r="A20" s="1">
        <v>3</v>
      </c>
      <c r="B20" s="1">
        <v>17</v>
      </c>
      <c r="C20" s="7">
        <f t="shared" si="0"/>
        <v>0.51749999999999996</v>
      </c>
      <c r="D20" s="7">
        <f t="shared" si="1"/>
        <v>0.59799999999999998</v>
      </c>
      <c r="E20" s="12">
        <v>0.35</v>
      </c>
      <c r="F20" s="12">
        <v>0.35</v>
      </c>
      <c r="G20" s="18">
        <f t="shared" si="4"/>
        <v>0.51749999999999996</v>
      </c>
      <c r="H20" s="18">
        <f t="shared" si="5"/>
        <v>0.59799999999999998</v>
      </c>
      <c r="I20" s="7">
        <f t="shared" si="6"/>
        <v>0.16749999999999998</v>
      </c>
      <c r="J20" s="7">
        <f t="shared" si="7"/>
        <v>0.248</v>
      </c>
      <c r="K20" s="23">
        <f t="shared" si="8"/>
        <v>0</v>
      </c>
      <c r="L20" s="23">
        <f t="shared" si="9"/>
        <v>0</v>
      </c>
      <c r="M20" s="6">
        <f t="shared" si="10"/>
        <v>0.28466104485737542</v>
      </c>
      <c r="N20" s="7">
        <f t="shared" si="11"/>
        <v>1.2904539146519398</v>
      </c>
      <c r="O20" s="7">
        <f t="shared" si="12"/>
        <v>1.4911911902644641</v>
      </c>
      <c r="P20" s="7">
        <f t="shared" si="13"/>
        <v>0.85406853288558326</v>
      </c>
      <c r="Q20" s="7">
        <f t="shared" si="14"/>
        <v>1.0548058084981076</v>
      </c>
      <c r="R20" s="7">
        <f t="shared" si="15"/>
        <v>0.76679145653231207</v>
      </c>
      <c r="S20" s="7">
        <f t="shared" si="16"/>
        <v>0.96752873214483626</v>
      </c>
      <c r="T20" s="7">
        <f t="shared" si="17"/>
        <v>0.67951438017904076</v>
      </c>
      <c r="U20" s="7">
        <f t="shared" si="18"/>
        <v>0.88025165579156495</v>
      </c>
      <c r="V20" s="23">
        <f t="shared" si="19"/>
        <v>0.38713617439558196</v>
      </c>
      <c r="W20" s="23">
        <f t="shared" si="20"/>
        <v>0.44735735707933921</v>
      </c>
      <c r="X20" s="30">
        <f t="shared" si="21"/>
        <v>0.25809078293038795</v>
      </c>
      <c r="Y20" s="30">
        <f t="shared" si="22"/>
        <v>0.29823823805289285</v>
      </c>
      <c r="Z20" s="30">
        <f t="shared" si="23"/>
        <v>1.2904539146519399E-2</v>
      </c>
      <c r="AA20" s="30">
        <f t="shared" si="24"/>
        <v>1.4911911902644641E-2</v>
      </c>
      <c r="AB20" s="7">
        <f t="shared" si="25"/>
        <v>0.59223730382576945</v>
      </c>
      <c r="AC20" s="7">
        <f t="shared" si="26"/>
        <v>0.79297457943829364</v>
      </c>
      <c r="AD20" s="7"/>
      <c r="AG20" s="1">
        <v>3</v>
      </c>
      <c r="AH20" s="1">
        <v>17</v>
      </c>
      <c r="AI20" s="7">
        <v>0.45</v>
      </c>
      <c r="AJ20" s="7">
        <v>0.52</v>
      </c>
      <c r="BI20" s="1">
        <v>3</v>
      </c>
      <c r="BJ20" s="1">
        <v>17</v>
      </c>
      <c r="BK20" s="7">
        <v>0.45</v>
      </c>
      <c r="BL20" s="7">
        <v>0.52</v>
      </c>
    </row>
    <row r="21" spans="1:68" x14ac:dyDescent="0.2">
      <c r="A21" s="1">
        <v>3</v>
      </c>
      <c r="B21" s="1">
        <v>18</v>
      </c>
      <c r="C21" s="7">
        <f t="shared" si="0"/>
        <v>0.57499999999999996</v>
      </c>
      <c r="D21" s="7">
        <f t="shared" si="1"/>
        <v>0.66699999999999993</v>
      </c>
      <c r="E21" s="12">
        <v>0.35</v>
      </c>
      <c r="F21" s="12">
        <v>0.35</v>
      </c>
      <c r="G21" s="18">
        <f t="shared" si="4"/>
        <v>0.57499999999999996</v>
      </c>
      <c r="H21" s="18">
        <f t="shared" si="5"/>
        <v>0.66699999999999993</v>
      </c>
      <c r="I21" s="7">
        <f t="shared" si="6"/>
        <v>0.22499999999999998</v>
      </c>
      <c r="J21" s="7">
        <f t="shared" si="7"/>
        <v>0.31699999999999995</v>
      </c>
      <c r="K21" s="23">
        <f t="shared" si="8"/>
        <v>0</v>
      </c>
      <c r="L21" s="23">
        <f t="shared" si="9"/>
        <v>0</v>
      </c>
      <c r="M21" s="6">
        <f t="shared" si="10"/>
        <v>0.28994729241849049</v>
      </c>
      <c r="N21" s="7">
        <f t="shared" si="11"/>
        <v>1.4604645119119368</v>
      </c>
      <c r="O21" s="7">
        <f t="shared" si="12"/>
        <v>1.6941388338178462</v>
      </c>
      <c r="P21" s="7">
        <f t="shared" si="13"/>
        <v>1.0159753126343907</v>
      </c>
      <c r="Q21" s="7">
        <f t="shared" si="14"/>
        <v>1.2496496345403005</v>
      </c>
      <c r="R21" s="7">
        <f t="shared" si="15"/>
        <v>0.92707747277888153</v>
      </c>
      <c r="S21" s="7">
        <f t="shared" si="16"/>
        <v>1.1607517946847912</v>
      </c>
      <c r="T21" s="7">
        <f t="shared" si="17"/>
        <v>0.83817963292337228</v>
      </c>
      <c r="U21" s="7">
        <f t="shared" si="18"/>
        <v>1.071853954829282</v>
      </c>
      <c r="V21" s="23">
        <f t="shared" si="19"/>
        <v>0.43813935357358103</v>
      </c>
      <c r="W21" s="23">
        <f t="shared" si="20"/>
        <v>0.50824165014535383</v>
      </c>
      <c r="X21" s="30">
        <f t="shared" si="21"/>
        <v>0.29209290238238739</v>
      </c>
      <c r="Y21" s="30">
        <f t="shared" si="22"/>
        <v>0.33882776676356929</v>
      </c>
      <c r="Z21" s="30">
        <f t="shared" si="23"/>
        <v>1.4604645119119368E-2</v>
      </c>
      <c r="AA21" s="30">
        <f t="shared" si="24"/>
        <v>1.6941388338178463E-2</v>
      </c>
      <c r="AB21" s="7">
        <f t="shared" si="25"/>
        <v>0.74928179306786313</v>
      </c>
      <c r="AC21" s="7">
        <f t="shared" si="26"/>
        <v>0.98295611497377289</v>
      </c>
      <c r="AD21" s="7"/>
      <c r="AG21" s="1">
        <v>3</v>
      </c>
      <c r="AH21" s="1">
        <v>18</v>
      </c>
      <c r="AI21" s="7">
        <v>0.5</v>
      </c>
      <c r="AJ21" s="7">
        <v>0.57999999999999996</v>
      </c>
      <c r="BI21" s="1">
        <v>3</v>
      </c>
      <c r="BJ21" s="1">
        <v>18</v>
      </c>
      <c r="BK21" s="7">
        <v>0.5</v>
      </c>
      <c r="BL21" s="7">
        <v>0.57999999999999996</v>
      </c>
    </row>
    <row r="22" spans="1:68" x14ac:dyDescent="0.2">
      <c r="A22" s="1">
        <v>3</v>
      </c>
      <c r="B22" s="1">
        <v>19</v>
      </c>
      <c r="C22" s="7">
        <f t="shared" si="0"/>
        <v>0.621</v>
      </c>
      <c r="D22" s="7">
        <f t="shared" si="1"/>
        <v>0.72449999999999992</v>
      </c>
      <c r="E22" s="12">
        <v>0.35</v>
      </c>
      <c r="F22" s="12">
        <v>0.35</v>
      </c>
      <c r="G22" s="18">
        <f t="shared" si="4"/>
        <v>0.621</v>
      </c>
      <c r="H22" s="18">
        <f t="shared" si="5"/>
        <v>0.72449999999999992</v>
      </c>
      <c r="I22" s="7">
        <f t="shared" si="6"/>
        <v>0.27100000000000002</v>
      </c>
      <c r="J22" s="7">
        <f t="shared" si="7"/>
        <v>0.37449999999999994</v>
      </c>
      <c r="K22" s="23">
        <f t="shared" si="8"/>
        <v>0</v>
      </c>
      <c r="L22" s="23">
        <f t="shared" si="9"/>
        <v>0</v>
      </c>
      <c r="M22" s="6">
        <f t="shared" si="10"/>
        <v>0.29533170730450725</v>
      </c>
      <c r="N22" s="7">
        <f t="shared" si="11"/>
        <v>1.6065926744682273</v>
      </c>
      <c r="O22" s="7">
        <f t="shared" si="12"/>
        <v>1.8743581202129316</v>
      </c>
      <c r="P22" s="7">
        <f t="shared" si="13"/>
        <v>1.1538491671704176</v>
      </c>
      <c r="Q22" s="7">
        <f t="shared" si="14"/>
        <v>1.4216146129151219</v>
      </c>
      <c r="R22" s="7">
        <f t="shared" si="15"/>
        <v>1.0633004657108558</v>
      </c>
      <c r="S22" s="7">
        <f t="shared" si="16"/>
        <v>1.3310659114555601</v>
      </c>
      <c r="T22" s="7">
        <f t="shared" si="17"/>
        <v>0.97275176425129384</v>
      </c>
      <c r="U22" s="7">
        <f t="shared" si="18"/>
        <v>1.240517209995998</v>
      </c>
      <c r="V22" s="23">
        <f t="shared" si="19"/>
        <v>0.48197780234046816</v>
      </c>
      <c r="W22" s="23">
        <f t="shared" si="20"/>
        <v>0.56230743606387945</v>
      </c>
      <c r="X22" s="30">
        <f t="shared" si="21"/>
        <v>0.32131853489364548</v>
      </c>
      <c r="Y22" s="30">
        <f t="shared" si="22"/>
        <v>0.37487162404258634</v>
      </c>
      <c r="Z22" s="30">
        <f t="shared" si="23"/>
        <v>1.6065926744682272E-2</v>
      </c>
      <c r="AA22" s="30">
        <f t="shared" si="24"/>
        <v>1.8743581202129315E-2</v>
      </c>
      <c r="AB22" s="7">
        <f t="shared" si="25"/>
        <v>0.88220306279173188</v>
      </c>
      <c r="AC22" s="7">
        <f t="shared" si="26"/>
        <v>1.1499685085364362</v>
      </c>
      <c r="AD22" s="7"/>
      <c r="AG22" s="1">
        <v>3</v>
      </c>
      <c r="AH22" s="1">
        <v>19</v>
      </c>
      <c r="AI22" s="7">
        <v>0.54</v>
      </c>
      <c r="AJ22" s="7">
        <v>0.63</v>
      </c>
      <c r="BI22" s="1">
        <v>3</v>
      </c>
      <c r="BJ22" s="1">
        <v>19</v>
      </c>
      <c r="BK22" s="7">
        <v>0.54</v>
      </c>
      <c r="BL22" s="7">
        <v>0.63</v>
      </c>
    </row>
    <row r="23" spans="1:68" x14ac:dyDescent="0.2">
      <c r="A23" s="1">
        <v>3</v>
      </c>
      <c r="B23" s="1">
        <v>20</v>
      </c>
      <c r="C23" s="7">
        <f t="shared" si="0"/>
        <v>0.67849999999999988</v>
      </c>
      <c r="D23" s="7">
        <f t="shared" si="1"/>
        <v>0.79349999999999987</v>
      </c>
      <c r="E23" s="12">
        <v>0.35</v>
      </c>
      <c r="F23" s="12">
        <v>0.35</v>
      </c>
      <c r="G23" s="18">
        <f t="shared" si="4"/>
        <v>0.67849999999999988</v>
      </c>
      <c r="H23" s="18">
        <f t="shared" si="5"/>
        <v>0.79349999999999987</v>
      </c>
      <c r="I23" s="7">
        <f t="shared" si="6"/>
        <v>0.3284999999999999</v>
      </c>
      <c r="J23" s="7">
        <f t="shared" si="7"/>
        <v>0.44349999999999989</v>
      </c>
      <c r="K23" s="23">
        <f t="shared" si="8"/>
        <v>0</v>
      </c>
      <c r="L23" s="23">
        <f t="shared" si="9"/>
        <v>0</v>
      </c>
      <c r="M23" s="6">
        <f t="shared" si="10"/>
        <v>0.30081611251436158</v>
      </c>
      <c r="N23" s="7">
        <f t="shared" si="11"/>
        <v>1.7879486953071102</v>
      </c>
      <c r="O23" s="7">
        <f t="shared" si="12"/>
        <v>2.0909908470540777</v>
      </c>
      <c r="P23" s="7">
        <f t="shared" si="13"/>
        <v>1.3267975948225939</v>
      </c>
      <c r="Q23" s="7">
        <f t="shared" si="14"/>
        <v>1.6298397465695615</v>
      </c>
      <c r="R23" s="7">
        <f t="shared" si="15"/>
        <v>1.2345673747256907</v>
      </c>
      <c r="S23" s="7">
        <f t="shared" si="16"/>
        <v>1.5376095264726581</v>
      </c>
      <c r="T23" s="7">
        <f t="shared" si="17"/>
        <v>1.1423371546287873</v>
      </c>
      <c r="U23" s="7">
        <f t="shared" si="18"/>
        <v>1.445379306375755</v>
      </c>
      <c r="V23" s="23">
        <f t="shared" si="19"/>
        <v>0.53638460859213299</v>
      </c>
      <c r="W23" s="23">
        <f t="shared" si="20"/>
        <v>0.62729725411622328</v>
      </c>
      <c r="X23" s="30">
        <f t="shared" si="21"/>
        <v>0.35758973906142205</v>
      </c>
      <c r="Y23" s="30">
        <f t="shared" si="22"/>
        <v>0.41819816941081556</v>
      </c>
      <c r="Z23" s="30">
        <f t="shared" si="23"/>
        <v>1.7879486953071101E-2</v>
      </c>
      <c r="AA23" s="30">
        <f t="shared" si="24"/>
        <v>2.0909908470540778E-2</v>
      </c>
      <c r="AB23" s="7">
        <f t="shared" si="25"/>
        <v>1.0501069345318841</v>
      </c>
      <c r="AC23" s="7">
        <f t="shared" si="26"/>
        <v>1.3531490862788518</v>
      </c>
      <c r="AD23" s="7"/>
      <c r="AG23" s="1">
        <v>3</v>
      </c>
      <c r="AH23" s="1">
        <v>20</v>
      </c>
      <c r="AI23" s="7">
        <v>0.59</v>
      </c>
      <c r="AJ23" s="7">
        <v>0.69</v>
      </c>
      <c r="BI23" s="1">
        <v>3</v>
      </c>
      <c r="BJ23" s="1">
        <v>20</v>
      </c>
      <c r="BK23" s="7">
        <v>0.59</v>
      </c>
      <c r="BL23" s="7">
        <v>0.69</v>
      </c>
    </row>
    <row r="24" spans="1:68" x14ac:dyDescent="0.2">
      <c r="A24" s="1">
        <v>3</v>
      </c>
      <c r="B24" s="1">
        <v>21</v>
      </c>
      <c r="C24" s="7">
        <f t="shared" si="0"/>
        <v>0.73599999999999999</v>
      </c>
      <c r="D24" s="7">
        <f t="shared" si="1"/>
        <v>0.86249999999999993</v>
      </c>
      <c r="E24" s="12">
        <v>0.35</v>
      </c>
      <c r="F24" s="12">
        <v>0.35</v>
      </c>
      <c r="G24" s="18">
        <f t="shared" si="4"/>
        <v>0.73599999999999999</v>
      </c>
      <c r="H24" s="18">
        <f t="shared" si="5"/>
        <v>0.86249999999999993</v>
      </c>
      <c r="I24" s="7">
        <f t="shared" si="6"/>
        <v>0.38600000000000001</v>
      </c>
      <c r="J24" s="7">
        <f t="shared" si="7"/>
        <v>0.51249999999999996</v>
      </c>
      <c r="K24" s="23">
        <f t="shared" si="8"/>
        <v>0</v>
      </c>
      <c r="L24" s="23">
        <f t="shared" si="9"/>
        <v>0</v>
      </c>
      <c r="M24" s="6">
        <f t="shared" si="10"/>
        <v>0.30640236490066852</v>
      </c>
      <c r="N24" s="7">
        <f t="shared" si="11"/>
        <v>1.9754863513659742</v>
      </c>
      <c r="O24" s="7">
        <f t="shared" si="12"/>
        <v>2.315023068007001</v>
      </c>
      <c r="P24" s="7">
        <f t="shared" si="13"/>
        <v>1.5057715259732494</v>
      </c>
      <c r="Q24" s="7">
        <f t="shared" si="14"/>
        <v>1.845308242614276</v>
      </c>
      <c r="R24" s="7">
        <f t="shared" si="15"/>
        <v>1.4118285608947043</v>
      </c>
      <c r="S24" s="7">
        <f t="shared" si="16"/>
        <v>1.7513652775357311</v>
      </c>
      <c r="T24" s="7">
        <f t="shared" si="17"/>
        <v>1.3178855958161595</v>
      </c>
      <c r="U24" s="7">
        <f t="shared" si="18"/>
        <v>1.6574223124571861</v>
      </c>
      <c r="V24" s="23">
        <f t="shared" si="19"/>
        <v>0.59264590540979223</v>
      </c>
      <c r="W24" s="23">
        <f t="shared" si="20"/>
        <v>0.69450692040210027</v>
      </c>
      <c r="X24" s="30">
        <f t="shared" si="21"/>
        <v>0.39509727027319486</v>
      </c>
      <c r="Y24" s="30">
        <f t="shared" si="22"/>
        <v>0.46300461360140022</v>
      </c>
      <c r="Z24" s="30">
        <f t="shared" si="23"/>
        <v>1.9754863513659741E-2</v>
      </c>
      <c r="AA24" s="30">
        <f t="shared" si="24"/>
        <v>2.3150230680070012E-2</v>
      </c>
      <c r="AB24" s="7">
        <f t="shared" si="25"/>
        <v>1.2239426307376144</v>
      </c>
      <c r="AC24" s="7">
        <f t="shared" si="26"/>
        <v>1.563479347378641</v>
      </c>
      <c r="AD24" s="7"/>
      <c r="AG24" s="1">
        <v>3</v>
      </c>
      <c r="AH24" s="1">
        <v>21</v>
      </c>
      <c r="AI24" s="7">
        <v>0.64</v>
      </c>
      <c r="AJ24" s="7">
        <v>0.75</v>
      </c>
      <c r="BI24" s="1">
        <v>3</v>
      </c>
      <c r="BJ24" s="1">
        <v>21</v>
      </c>
      <c r="BK24" s="7">
        <v>0.64</v>
      </c>
      <c r="BL24" s="7">
        <v>0.75</v>
      </c>
      <c r="BN24">
        <v>0.64</v>
      </c>
      <c r="BO24">
        <v>0.73</v>
      </c>
      <c r="BP24">
        <v>0.55000000000000004</v>
      </c>
    </row>
    <row r="25" spans="1:68" x14ac:dyDescent="0.2">
      <c r="A25" s="1">
        <v>4</v>
      </c>
      <c r="B25" s="1">
        <v>22</v>
      </c>
      <c r="C25" s="7">
        <f t="shared" si="0"/>
        <v>0.79349999999999987</v>
      </c>
      <c r="D25" s="7">
        <f t="shared" si="1"/>
        <v>0.94299999999999984</v>
      </c>
      <c r="E25" s="12">
        <v>0.35</v>
      </c>
      <c r="F25" s="12">
        <v>0.35</v>
      </c>
      <c r="G25" s="18">
        <f t="shared" si="4"/>
        <v>0.79349999999999987</v>
      </c>
      <c r="H25" s="18">
        <f t="shared" si="5"/>
        <v>0.94299999999999984</v>
      </c>
      <c r="I25" s="7">
        <f t="shared" si="6"/>
        <v>0.44349999999999989</v>
      </c>
      <c r="J25" s="7">
        <f t="shared" si="7"/>
        <v>0.59299999999999986</v>
      </c>
      <c r="K25" s="23">
        <f t="shared" si="8"/>
        <v>0</v>
      </c>
      <c r="L25" s="23">
        <f t="shared" si="9"/>
        <v>0</v>
      </c>
      <c r="M25" s="6">
        <f t="shared" si="10"/>
        <v>0.31209235579839589</v>
      </c>
      <c r="N25" s="7">
        <f t="shared" si="11"/>
        <v>2.1693726906959974</v>
      </c>
      <c r="O25" s="7">
        <f t="shared" si="12"/>
        <v>2.5780950816966923</v>
      </c>
      <c r="P25" s="7">
        <f t="shared" si="13"/>
        <v>1.6909351092570564</v>
      </c>
      <c r="Q25" s="7">
        <f t="shared" si="14"/>
        <v>2.0996575002577513</v>
      </c>
      <c r="R25" s="7">
        <f t="shared" si="15"/>
        <v>1.5952475929692682</v>
      </c>
      <c r="S25" s="7">
        <f t="shared" si="16"/>
        <v>2.0039699839699634</v>
      </c>
      <c r="T25" s="7">
        <f t="shared" si="17"/>
        <v>1.4995600766814801</v>
      </c>
      <c r="U25" s="7">
        <f t="shared" si="18"/>
        <v>1.908282467682175</v>
      </c>
      <c r="V25" s="23">
        <f t="shared" si="19"/>
        <v>0.65081180720879916</v>
      </c>
      <c r="W25" s="23">
        <f t="shared" si="20"/>
        <v>0.77342852450900768</v>
      </c>
      <c r="X25" s="30">
        <f t="shared" si="21"/>
        <v>0.43387453813919952</v>
      </c>
      <c r="Y25" s="30">
        <f t="shared" si="22"/>
        <v>0.51561901633933849</v>
      </c>
      <c r="Z25" s="30">
        <f t="shared" si="23"/>
        <v>2.1693726906959972E-2</v>
      </c>
      <c r="AA25" s="30">
        <f t="shared" si="24"/>
        <v>2.5780950816966925E-2</v>
      </c>
      <c r="AB25" s="7">
        <f t="shared" si="25"/>
        <v>1.4038725603936919</v>
      </c>
      <c r="AC25" s="7">
        <f t="shared" si="26"/>
        <v>1.8125949513943869</v>
      </c>
      <c r="AD25" s="7"/>
      <c r="AG25" s="1">
        <v>4</v>
      </c>
      <c r="AH25" s="1">
        <v>22</v>
      </c>
      <c r="AI25" s="7">
        <v>0.69</v>
      </c>
      <c r="AJ25" s="7">
        <v>0.82</v>
      </c>
      <c r="BI25" s="1">
        <v>4</v>
      </c>
      <c r="BJ25" s="1">
        <v>22</v>
      </c>
      <c r="BK25" s="7">
        <v>0.69</v>
      </c>
      <c r="BL25" s="7">
        <v>0.82</v>
      </c>
    </row>
    <row r="26" spans="1:68" x14ac:dyDescent="0.2">
      <c r="A26" s="1">
        <v>4</v>
      </c>
      <c r="B26" s="1">
        <v>23</v>
      </c>
      <c r="C26" s="7">
        <f t="shared" si="0"/>
        <v>0.85099999999999998</v>
      </c>
      <c r="D26" s="7">
        <f t="shared" si="1"/>
        <v>1.0234999999999999</v>
      </c>
      <c r="E26" s="12">
        <v>0.35</v>
      </c>
      <c r="F26" s="12">
        <v>0.35</v>
      </c>
      <c r="G26" s="18">
        <f t="shared" si="4"/>
        <v>0.85099999999999998</v>
      </c>
      <c r="H26" s="18">
        <f t="shared" si="5"/>
        <v>1.0234999999999999</v>
      </c>
      <c r="I26" s="7">
        <f t="shared" si="6"/>
        <v>0.501</v>
      </c>
      <c r="J26" s="7">
        <f t="shared" si="7"/>
        <v>0.67349999999999988</v>
      </c>
      <c r="K26" s="23">
        <f t="shared" si="8"/>
        <v>0</v>
      </c>
      <c r="L26" s="23">
        <f t="shared" si="9"/>
        <v>0</v>
      </c>
      <c r="M26" s="6">
        <f t="shared" si="10"/>
        <v>0.31788801166521291</v>
      </c>
      <c r="N26" s="7">
        <f t="shared" si="11"/>
        <v>2.3697788338413628</v>
      </c>
      <c r="O26" s="7">
        <f t="shared" si="12"/>
        <v>2.8501394082686655</v>
      </c>
      <c r="P26" s="7">
        <f t="shared" si="13"/>
        <v>1.8824565119585912</v>
      </c>
      <c r="Q26" s="7">
        <f t="shared" si="14"/>
        <v>2.3628170863858942</v>
      </c>
      <c r="R26" s="7">
        <f t="shared" si="15"/>
        <v>1.7849920475820369</v>
      </c>
      <c r="S26" s="7">
        <f t="shared" si="16"/>
        <v>2.2653526220093401</v>
      </c>
      <c r="T26" s="7">
        <f t="shared" si="17"/>
        <v>1.6875275832054828</v>
      </c>
      <c r="U26" s="7">
        <f t="shared" si="18"/>
        <v>2.1678881576327855</v>
      </c>
      <c r="V26" s="23">
        <f t="shared" si="19"/>
        <v>0.71093365015240884</v>
      </c>
      <c r="W26" s="23">
        <f t="shared" si="20"/>
        <v>0.85504182248059968</v>
      </c>
      <c r="X26" s="30">
        <f t="shared" si="21"/>
        <v>0.47395576676827256</v>
      </c>
      <c r="Y26" s="30">
        <f t="shared" si="22"/>
        <v>0.57002788165373308</v>
      </c>
      <c r="Z26" s="30">
        <f t="shared" si="23"/>
        <v>2.3697788338413628E-2</v>
      </c>
      <c r="AA26" s="30">
        <f t="shared" si="24"/>
        <v>2.8501394082686655E-2</v>
      </c>
      <c r="AB26" s="7">
        <f t="shared" si="25"/>
        <v>1.5900631188289285</v>
      </c>
      <c r="AC26" s="7">
        <f t="shared" si="26"/>
        <v>2.0704236932562314</v>
      </c>
      <c r="AD26" s="7"/>
      <c r="AG26" s="1">
        <v>4</v>
      </c>
      <c r="AH26" s="1">
        <v>23</v>
      </c>
      <c r="AI26" s="7">
        <v>0.74</v>
      </c>
      <c r="AJ26" s="7">
        <v>0.89</v>
      </c>
      <c r="BI26" s="1">
        <v>4</v>
      </c>
      <c r="BJ26" s="1">
        <v>23</v>
      </c>
      <c r="BK26" s="7">
        <v>0.74</v>
      </c>
      <c r="BL26" s="7">
        <v>0.89</v>
      </c>
    </row>
    <row r="27" spans="1:68" x14ac:dyDescent="0.2">
      <c r="A27" s="1">
        <v>4</v>
      </c>
      <c r="B27" s="1">
        <v>24</v>
      </c>
      <c r="C27" s="7">
        <f t="shared" si="0"/>
        <v>0.91999999999999993</v>
      </c>
      <c r="D27" s="7">
        <f t="shared" si="1"/>
        <v>1.1039999999999999</v>
      </c>
      <c r="E27" s="12">
        <v>0.35</v>
      </c>
      <c r="F27" s="12">
        <v>0.35</v>
      </c>
      <c r="G27" s="18">
        <f t="shared" si="4"/>
        <v>0.91999999999999993</v>
      </c>
      <c r="H27" s="18">
        <f t="shared" si="5"/>
        <v>1.1039999999999999</v>
      </c>
      <c r="I27" s="7">
        <f t="shared" si="6"/>
        <v>0.56999999999999995</v>
      </c>
      <c r="J27" s="7">
        <f t="shared" si="7"/>
        <v>0.75399999999999989</v>
      </c>
      <c r="K27" s="23">
        <f t="shared" si="8"/>
        <v>0</v>
      </c>
      <c r="L27" s="23">
        <f t="shared" si="9"/>
        <v>0</v>
      </c>
      <c r="M27" s="6">
        <f t="shared" si="10"/>
        <v>0.32379129473372997</v>
      </c>
      <c r="N27" s="7">
        <f t="shared" si="11"/>
        <v>2.6094988025180763</v>
      </c>
      <c r="O27" s="7">
        <f t="shared" si="12"/>
        <v>3.1313985630216918</v>
      </c>
      <c r="P27" s="7">
        <f t="shared" si="13"/>
        <v>2.1131267476912683</v>
      </c>
      <c r="Q27" s="7">
        <f t="shared" si="14"/>
        <v>2.6350265081948834</v>
      </c>
      <c r="R27" s="7">
        <f t="shared" si="15"/>
        <v>2.0138523367259067</v>
      </c>
      <c r="S27" s="7">
        <f t="shared" si="16"/>
        <v>2.5357520972295218</v>
      </c>
      <c r="T27" s="7">
        <f t="shared" si="17"/>
        <v>1.9145779257605451</v>
      </c>
      <c r="U27" s="7">
        <f t="shared" si="18"/>
        <v>2.4364776862641602</v>
      </c>
      <c r="V27" s="23">
        <f t="shared" si="19"/>
        <v>0.78284964075542285</v>
      </c>
      <c r="W27" s="23">
        <f t="shared" si="20"/>
        <v>0.93941956890650746</v>
      </c>
      <c r="X27" s="30">
        <f t="shared" si="21"/>
        <v>0.52189976050361531</v>
      </c>
      <c r="Y27" s="30">
        <f t="shared" si="22"/>
        <v>0.62627971260433846</v>
      </c>
      <c r="Z27" s="30">
        <f t="shared" si="23"/>
        <v>2.6094988025180763E-2</v>
      </c>
      <c r="AA27" s="30">
        <f t="shared" si="24"/>
        <v>3.1313985630216916E-2</v>
      </c>
      <c r="AB27" s="7">
        <f t="shared" si="25"/>
        <v>1.8153035147951835</v>
      </c>
      <c r="AC27" s="7">
        <f t="shared" si="26"/>
        <v>2.3372032752987986</v>
      </c>
      <c r="AD27" s="7"/>
      <c r="AG27" s="1">
        <v>4</v>
      </c>
      <c r="AH27" s="1">
        <v>24</v>
      </c>
      <c r="AI27" s="7">
        <v>0.8</v>
      </c>
      <c r="AJ27" s="7">
        <v>0.96</v>
      </c>
      <c r="BI27" s="1">
        <v>4</v>
      </c>
      <c r="BJ27" s="1">
        <v>24</v>
      </c>
      <c r="BK27" s="7">
        <v>0.8</v>
      </c>
      <c r="BL27" s="7">
        <v>0.96</v>
      </c>
    </row>
    <row r="28" spans="1:68" x14ac:dyDescent="0.2">
      <c r="A28" s="1">
        <v>4</v>
      </c>
      <c r="B28" s="1">
        <v>25</v>
      </c>
      <c r="C28" s="7">
        <f t="shared" si="0"/>
        <v>0.98899999999999988</v>
      </c>
      <c r="D28" s="7">
        <f t="shared" si="1"/>
        <v>1.1844999999999999</v>
      </c>
      <c r="E28" s="12">
        <v>0.35</v>
      </c>
      <c r="F28" s="12">
        <v>0.35</v>
      </c>
      <c r="G28" s="18">
        <f t="shared" si="4"/>
        <v>0.98899999999999988</v>
      </c>
      <c r="H28" s="18">
        <f t="shared" si="5"/>
        <v>1.1844999999999999</v>
      </c>
      <c r="I28" s="7">
        <f t="shared" si="6"/>
        <v>0.6389999999999999</v>
      </c>
      <c r="J28" s="7">
        <f t="shared" si="7"/>
        <v>0.83449999999999991</v>
      </c>
      <c r="K28" s="23">
        <f t="shared" si="8"/>
        <v>0</v>
      </c>
      <c r="L28" s="23">
        <f t="shared" si="9"/>
        <v>0</v>
      </c>
      <c r="M28" s="6">
        <f t="shared" si="10"/>
        <v>0.32980420367585112</v>
      </c>
      <c r="N28" s="7">
        <f t="shared" si="11"/>
        <v>2.85730489113425</v>
      </c>
      <c r="O28" s="7">
        <f t="shared" si="12"/>
        <v>3.4221209742654395</v>
      </c>
      <c r="P28" s="7">
        <f t="shared" si="13"/>
        <v>2.3517150468991703</v>
      </c>
      <c r="Q28" s="7">
        <f t="shared" si="14"/>
        <v>2.9165311300303598</v>
      </c>
      <c r="R28" s="7">
        <f t="shared" si="15"/>
        <v>2.2505970780521545</v>
      </c>
      <c r="S28" s="7">
        <f t="shared" si="16"/>
        <v>2.8154131611833439</v>
      </c>
      <c r="T28" s="7">
        <f t="shared" si="17"/>
        <v>2.1494791092051386</v>
      </c>
      <c r="U28" s="7">
        <f t="shared" si="18"/>
        <v>2.7142951923363281</v>
      </c>
      <c r="V28" s="23">
        <f t="shared" si="19"/>
        <v>0.85719146734027496</v>
      </c>
      <c r="W28" s="23">
        <f t="shared" si="20"/>
        <v>1.0266362922796317</v>
      </c>
      <c r="X28" s="30">
        <f t="shared" si="21"/>
        <v>0.57146097822685005</v>
      </c>
      <c r="Y28" s="30">
        <f t="shared" si="22"/>
        <v>0.68442419485308792</v>
      </c>
      <c r="Z28" s="30">
        <f t="shared" si="23"/>
        <v>2.8573048911342502E-2</v>
      </c>
      <c r="AA28" s="30">
        <f t="shared" si="24"/>
        <v>3.4221209742654399E-2</v>
      </c>
      <c r="AB28" s="7">
        <f t="shared" si="25"/>
        <v>2.0483611403581228</v>
      </c>
      <c r="AC28" s="7">
        <f t="shared" si="26"/>
        <v>2.6131772234893118</v>
      </c>
      <c r="AD28" s="7"/>
      <c r="AG28" s="1">
        <v>4</v>
      </c>
      <c r="AH28" s="1">
        <v>25</v>
      </c>
      <c r="AI28" s="7">
        <v>0.86</v>
      </c>
      <c r="AJ28" s="7">
        <v>1.03</v>
      </c>
      <c r="BI28" s="1">
        <v>4</v>
      </c>
      <c r="BJ28" s="1">
        <v>25</v>
      </c>
      <c r="BK28" s="7">
        <v>0.86</v>
      </c>
      <c r="BL28" s="7">
        <v>1.03</v>
      </c>
    </row>
    <row r="29" spans="1:68" x14ac:dyDescent="0.2">
      <c r="A29" s="1">
        <v>4</v>
      </c>
      <c r="B29" s="1">
        <v>26</v>
      </c>
      <c r="C29" s="7">
        <f t="shared" si="0"/>
        <v>1.0580000000000001</v>
      </c>
      <c r="D29" s="7">
        <f t="shared" si="1"/>
        <v>1.2765</v>
      </c>
      <c r="E29" s="12">
        <v>0.35</v>
      </c>
      <c r="F29" s="12">
        <v>0.35</v>
      </c>
      <c r="G29" s="18">
        <f t="shared" si="4"/>
        <v>1.0580000000000001</v>
      </c>
      <c r="H29" s="18">
        <f t="shared" si="5"/>
        <v>1.2765</v>
      </c>
      <c r="I29" s="7">
        <f t="shared" si="6"/>
        <v>0.70800000000000007</v>
      </c>
      <c r="J29" s="7">
        <f t="shared" si="7"/>
        <v>0.92649999999999999</v>
      </c>
      <c r="K29" s="23">
        <f t="shared" si="8"/>
        <v>0</v>
      </c>
      <c r="L29" s="23">
        <f t="shared" si="9"/>
        <v>0</v>
      </c>
      <c r="M29" s="6">
        <f t="shared" si="10"/>
        <v>0.33592877427946305</v>
      </c>
      <c r="N29" s="7">
        <f t="shared" si="11"/>
        <v>3.1134147543240061</v>
      </c>
      <c r="O29" s="7">
        <f t="shared" si="12"/>
        <v>3.7564025840213549</v>
      </c>
      <c r="P29" s="7">
        <f t="shared" si="13"/>
        <v>2.5984359433535893</v>
      </c>
      <c r="Q29" s="7">
        <f t="shared" si="14"/>
        <v>3.2414237730509381</v>
      </c>
      <c r="R29" s="7">
        <f t="shared" si="15"/>
        <v>2.4954401811595059</v>
      </c>
      <c r="S29" s="7">
        <f t="shared" si="16"/>
        <v>3.1384280108568547</v>
      </c>
      <c r="T29" s="7">
        <f t="shared" si="17"/>
        <v>2.3924444189654226</v>
      </c>
      <c r="U29" s="7">
        <f t="shared" si="18"/>
        <v>3.0354322486627714</v>
      </c>
      <c r="V29" s="23">
        <f t="shared" si="19"/>
        <v>0.93402442629720173</v>
      </c>
      <c r="W29" s="23">
        <f t="shared" si="20"/>
        <v>1.1269207752064063</v>
      </c>
      <c r="X29" s="30">
        <f t="shared" si="21"/>
        <v>0.6226829508648013</v>
      </c>
      <c r="Y29" s="30">
        <f t="shared" si="22"/>
        <v>0.75128051680427099</v>
      </c>
      <c r="Z29" s="30">
        <f t="shared" si="23"/>
        <v>3.1134147543240061E-2</v>
      </c>
      <c r="AA29" s="30">
        <f t="shared" si="24"/>
        <v>3.7564025840213552E-2</v>
      </c>
      <c r="AB29" s="7">
        <f t="shared" si="25"/>
        <v>2.2894486567713392</v>
      </c>
      <c r="AC29" s="7">
        <f t="shared" si="26"/>
        <v>2.932436486468688</v>
      </c>
      <c r="AD29" s="7"/>
      <c r="AG29" s="1">
        <v>4</v>
      </c>
      <c r="AH29" s="1">
        <v>26</v>
      </c>
      <c r="AI29" s="7">
        <v>0.92</v>
      </c>
      <c r="AJ29" s="7">
        <v>1.1100000000000001</v>
      </c>
      <c r="BI29" s="1">
        <v>4</v>
      </c>
      <c r="BJ29" s="1">
        <v>26</v>
      </c>
      <c r="BK29" s="7">
        <v>0.92</v>
      </c>
      <c r="BL29" s="7">
        <v>1.1100000000000001</v>
      </c>
    </row>
    <row r="30" spans="1:68" x14ac:dyDescent="0.2">
      <c r="A30" s="1">
        <v>4</v>
      </c>
      <c r="B30" s="1">
        <v>27</v>
      </c>
      <c r="C30" s="7">
        <f t="shared" si="0"/>
        <v>1.1384999999999998</v>
      </c>
      <c r="D30" s="7">
        <f t="shared" si="1"/>
        <v>1.3684999999999998</v>
      </c>
      <c r="E30" s="12">
        <v>0.35</v>
      </c>
      <c r="F30" s="12">
        <v>0.35</v>
      </c>
      <c r="G30" s="18">
        <f t="shared" si="4"/>
        <v>1.1384999999999998</v>
      </c>
      <c r="H30" s="18">
        <f t="shared" si="5"/>
        <v>1.3684999999999998</v>
      </c>
      <c r="I30" s="7">
        <f t="shared" si="6"/>
        <v>0.78849999999999987</v>
      </c>
      <c r="J30" s="7">
        <f t="shared" si="7"/>
        <v>1.0185</v>
      </c>
      <c r="K30" s="23">
        <f t="shared" si="8"/>
        <v>0</v>
      </c>
      <c r="L30" s="23">
        <f t="shared" si="9"/>
        <v>0</v>
      </c>
      <c r="M30" s="6">
        <f t="shared" si="10"/>
        <v>0.34216708013769137</v>
      </c>
      <c r="N30" s="7">
        <f t="shared" si="11"/>
        <v>3.4125212536540319</v>
      </c>
      <c r="O30" s="7">
        <f t="shared" si="12"/>
        <v>4.1019194867154516</v>
      </c>
      <c r="P30" s="7">
        <f t="shared" si="13"/>
        <v>2.8879791198029507</v>
      </c>
      <c r="Q30" s="7">
        <f t="shared" si="14"/>
        <v>3.5773773528643709</v>
      </c>
      <c r="R30" s="7">
        <f t="shared" si="15"/>
        <v>2.7830706930327347</v>
      </c>
      <c r="S30" s="7">
        <f t="shared" si="16"/>
        <v>3.4724689260941548</v>
      </c>
      <c r="T30" s="7">
        <f t="shared" si="17"/>
        <v>2.6781622662625186</v>
      </c>
      <c r="U30" s="7">
        <f t="shared" si="18"/>
        <v>3.3675604993239387</v>
      </c>
      <c r="V30" s="23">
        <f t="shared" si="19"/>
        <v>1.0237563760962096</v>
      </c>
      <c r="W30" s="23">
        <f t="shared" si="20"/>
        <v>1.2305758460146354</v>
      </c>
      <c r="X30" s="30">
        <f t="shared" si="21"/>
        <v>0.68250425073080645</v>
      </c>
      <c r="Y30" s="30">
        <f t="shared" si="22"/>
        <v>0.82038389734309036</v>
      </c>
      <c r="Z30" s="30">
        <f t="shared" si="23"/>
        <v>3.4125212536540321E-2</v>
      </c>
      <c r="AA30" s="30">
        <f t="shared" si="24"/>
        <v>4.1019194867154517E-2</v>
      </c>
      <c r="AB30" s="7">
        <f t="shared" si="25"/>
        <v>2.5732538394923026</v>
      </c>
      <c r="AC30" s="7">
        <f t="shared" si="26"/>
        <v>3.2626520725537222</v>
      </c>
      <c r="AD30" s="7"/>
      <c r="AG30" s="1">
        <v>4</v>
      </c>
      <c r="AH30" s="1">
        <v>27</v>
      </c>
      <c r="AI30" s="7">
        <v>0.99</v>
      </c>
      <c r="AJ30" s="7">
        <v>1.19</v>
      </c>
      <c r="BI30" s="1">
        <v>4</v>
      </c>
      <c r="BJ30" s="1">
        <v>27</v>
      </c>
      <c r="BK30" s="7">
        <v>0.99</v>
      </c>
      <c r="BL30" s="7">
        <v>1.19</v>
      </c>
    </row>
    <row r="31" spans="1:68" x14ac:dyDescent="0.2">
      <c r="A31" s="1">
        <v>4</v>
      </c>
      <c r="B31" s="1">
        <v>28</v>
      </c>
      <c r="C31" s="7">
        <f t="shared" si="0"/>
        <v>1.2075</v>
      </c>
      <c r="D31" s="7">
        <f t="shared" si="1"/>
        <v>1.4604999999999999</v>
      </c>
      <c r="E31" s="12">
        <v>0.35</v>
      </c>
      <c r="F31" s="12">
        <v>0.35</v>
      </c>
      <c r="G31" s="18">
        <f t="shared" si="4"/>
        <v>1.2075</v>
      </c>
      <c r="H31" s="18">
        <f t="shared" si="5"/>
        <v>1.4604999999999999</v>
      </c>
      <c r="I31" s="7">
        <f t="shared" si="6"/>
        <v>0.85750000000000004</v>
      </c>
      <c r="J31" s="7">
        <f t="shared" si="7"/>
        <v>1.1105</v>
      </c>
      <c r="K31" s="23">
        <f t="shared" si="8"/>
        <v>0</v>
      </c>
      <c r="L31" s="23">
        <f t="shared" si="9"/>
        <v>0</v>
      </c>
      <c r="M31" s="6">
        <f t="shared" si="10"/>
        <v>0.34852123335095586</v>
      </c>
      <c r="N31" s="7">
        <f t="shared" si="11"/>
        <v>3.6865530500164061</v>
      </c>
      <c r="O31" s="7">
        <f t="shared" si="12"/>
        <v>4.4589736890674621</v>
      </c>
      <c r="P31" s="7">
        <f t="shared" si="13"/>
        <v>3.1522699992893908</v>
      </c>
      <c r="Q31" s="7">
        <f t="shared" si="14"/>
        <v>3.9246906383404472</v>
      </c>
      <c r="R31" s="7">
        <f t="shared" si="15"/>
        <v>3.0454133891439876</v>
      </c>
      <c r="S31" s="7">
        <f t="shared" si="16"/>
        <v>3.817834028195044</v>
      </c>
      <c r="T31" s="7">
        <f t="shared" si="17"/>
        <v>2.9385567789985845</v>
      </c>
      <c r="U31" s="7">
        <f t="shared" si="18"/>
        <v>3.7109774180496409</v>
      </c>
      <c r="V31" s="23">
        <f t="shared" si="19"/>
        <v>1.1059659150049217</v>
      </c>
      <c r="W31" s="23">
        <f t="shared" si="20"/>
        <v>1.3376921067202385</v>
      </c>
      <c r="X31" s="30">
        <f t="shared" si="21"/>
        <v>0.73731061000328124</v>
      </c>
      <c r="Y31" s="30">
        <f t="shared" si="22"/>
        <v>0.8917947378134925</v>
      </c>
      <c r="Z31" s="30">
        <f t="shared" si="23"/>
        <v>3.6865530500164063E-2</v>
      </c>
      <c r="AA31" s="30">
        <f t="shared" si="24"/>
        <v>4.4589736890674622E-2</v>
      </c>
      <c r="AB31" s="7">
        <f t="shared" si="25"/>
        <v>2.8317001688531818</v>
      </c>
      <c r="AC31" s="7">
        <f t="shared" si="26"/>
        <v>3.6041208079042382</v>
      </c>
      <c r="AD31" s="7"/>
      <c r="AG31" s="1">
        <v>4</v>
      </c>
      <c r="AH31" s="1">
        <v>28</v>
      </c>
      <c r="AI31" s="7">
        <v>1.05</v>
      </c>
      <c r="AJ31" s="7">
        <v>1.27</v>
      </c>
      <c r="BI31" s="1">
        <v>4</v>
      </c>
      <c r="BJ31" s="1">
        <v>28</v>
      </c>
      <c r="BK31" s="7">
        <v>1.05</v>
      </c>
      <c r="BL31" s="7">
        <v>1.27</v>
      </c>
      <c r="BN31">
        <v>1.04</v>
      </c>
      <c r="BO31">
        <v>1.22</v>
      </c>
      <c r="BP31">
        <v>0.88</v>
      </c>
    </row>
    <row r="32" spans="1:68" x14ac:dyDescent="0.2">
      <c r="A32" s="1">
        <v>5</v>
      </c>
      <c r="B32" s="1">
        <v>29</v>
      </c>
      <c r="C32" s="7">
        <f t="shared" si="0"/>
        <v>1.288</v>
      </c>
      <c r="D32" s="7">
        <f t="shared" si="1"/>
        <v>1.5640000000000001</v>
      </c>
      <c r="E32" s="12">
        <v>0.35</v>
      </c>
      <c r="F32" s="12">
        <v>0.35</v>
      </c>
      <c r="G32" s="18">
        <f t="shared" si="4"/>
        <v>1.288</v>
      </c>
      <c r="H32" s="18">
        <f t="shared" si="5"/>
        <v>1.5640000000000001</v>
      </c>
      <c r="I32" s="7">
        <f t="shared" si="6"/>
        <v>0.93800000000000006</v>
      </c>
      <c r="J32" s="7">
        <f t="shared" si="7"/>
        <v>1.214</v>
      </c>
      <c r="K32" s="23">
        <f t="shared" si="8"/>
        <v>0</v>
      </c>
      <c r="L32" s="23">
        <f t="shared" si="9"/>
        <v>0</v>
      </c>
      <c r="M32" s="6">
        <f t="shared" si="10"/>
        <v>0.35499338524206325</v>
      </c>
      <c r="N32" s="7">
        <f t="shared" si="11"/>
        <v>4.0053477664799706</v>
      </c>
      <c r="O32" s="7">
        <f t="shared" si="12"/>
        <v>4.8636365735828218</v>
      </c>
      <c r="P32" s="7">
        <f t="shared" si="13"/>
        <v>3.4611429069038877</v>
      </c>
      <c r="Q32" s="7">
        <f t="shared" si="14"/>
        <v>4.3194317140067389</v>
      </c>
      <c r="R32" s="7">
        <f t="shared" si="15"/>
        <v>3.3523019349886711</v>
      </c>
      <c r="S32" s="7">
        <f t="shared" si="16"/>
        <v>4.2105907420915223</v>
      </c>
      <c r="T32" s="7">
        <f t="shared" si="17"/>
        <v>3.2434609630734546</v>
      </c>
      <c r="U32" s="7">
        <f t="shared" si="18"/>
        <v>4.1017497701763057</v>
      </c>
      <c r="V32" s="23">
        <f t="shared" si="19"/>
        <v>1.2016043299439911</v>
      </c>
      <c r="W32" s="23">
        <f t="shared" si="20"/>
        <v>1.4590909720748464</v>
      </c>
      <c r="X32" s="30">
        <f t="shared" si="21"/>
        <v>0.80106955329599416</v>
      </c>
      <c r="Y32" s="30">
        <f t="shared" si="22"/>
        <v>0.97272731471656437</v>
      </c>
      <c r="Z32" s="30">
        <f t="shared" si="23"/>
        <v>4.0053477664799705E-2</v>
      </c>
      <c r="AA32" s="30">
        <f t="shared" si="24"/>
        <v>4.8636365735828219E-2</v>
      </c>
      <c r="AB32" s="7">
        <f t="shared" si="25"/>
        <v>3.134619991158238</v>
      </c>
      <c r="AC32" s="7">
        <f t="shared" si="26"/>
        <v>3.9929087982610887</v>
      </c>
      <c r="AD32" s="7"/>
      <c r="AG32" s="1">
        <v>5</v>
      </c>
      <c r="AH32" s="1">
        <v>29</v>
      </c>
      <c r="AI32" s="7">
        <v>1.1200000000000001</v>
      </c>
      <c r="AJ32" s="7">
        <v>1.36</v>
      </c>
      <c r="BI32" s="1">
        <v>5</v>
      </c>
      <c r="BJ32" s="1">
        <v>29</v>
      </c>
      <c r="BK32" s="7">
        <v>1.1200000000000001</v>
      </c>
      <c r="BL32" s="7">
        <v>1.36</v>
      </c>
    </row>
    <row r="33" spans="1:68" x14ac:dyDescent="0.2">
      <c r="A33" s="1">
        <v>5</v>
      </c>
      <c r="B33" s="1">
        <v>30</v>
      </c>
      <c r="C33" s="7">
        <f t="shared" si="0"/>
        <v>1.3684999999999998</v>
      </c>
      <c r="D33" s="7">
        <f t="shared" si="1"/>
        <v>1.6674999999999998</v>
      </c>
      <c r="E33" s="12">
        <v>0.35</v>
      </c>
      <c r="F33" s="12">
        <v>0.35</v>
      </c>
      <c r="G33" s="18">
        <f t="shared" si="4"/>
        <v>1.3684999999999998</v>
      </c>
      <c r="H33" s="18">
        <f t="shared" si="5"/>
        <v>1.6674999999999998</v>
      </c>
      <c r="I33" s="7">
        <f t="shared" si="6"/>
        <v>1.0185</v>
      </c>
      <c r="J33" s="7">
        <f t="shared" si="7"/>
        <v>1.3174999999999999</v>
      </c>
      <c r="K33" s="23">
        <f t="shared" si="8"/>
        <v>0</v>
      </c>
      <c r="L33" s="23">
        <f t="shared" si="9"/>
        <v>0</v>
      </c>
      <c r="M33" s="6">
        <f t="shared" si="10"/>
        <v>0.36158572708458003</v>
      </c>
      <c r="N33" s="7">
        <f t="shared" si="11"/>
        <v>4.3347113914335704</v>
      </c>
      <c r="O33" s="7">
        <f t="shared" si="12"/>
        <v>5.2817911912425854</v>
      </c>
      <c r="P33" s="7">
        <f t="shared" si="13"/>
        <v>3.7804004718129089</v>
      </c>
      <c r="Q33" s="7">
        <f t="shared" si="14"/>
        <v>4.7274802716219249</v>
      </c>
      <c r="R33" s="7">
        <f t="shared" si="15"/>
        <v>3.6695382878887766</v>
      </c>
      <c r="S33" s="7">
        <f t="shared" si="16"/>
        <v>4.616618087697792</v>
      </c>
      <c r="T33" s="7">
        <f t="shared" si="17"/>
        <v>3.5586761039646442</v>
      </c>
      <c r="U33" s="7">
        <f t="shared" si="18"/>
        <v>4.5057559037736601</v>
      </c>
      <c r="V33" s="23">
        <f t="shared" si="19"/>
        <v>1.300413417430071</v>
      </c>
      <c r="W33" s="23">
        <f t="shared" si="20"/>
        <v>1.5845373573727757</v>
      </c>
      <c r="X33" s="30">
        <f t="shared" si="21"/>
        <v>0.86694227828671411</v>
      </c>
      <c r="Y33" s="30">
        <f t="shared" si="22"/>
        <v>1.056358238248517</v>
      </c>
      <c r="Z33" s="30">
        <f t="shared" si="23"/>
        <v>4.3347113914335704E-2</v>
      </c>
      <c r="AA33" s="30">
        <f t="shared" si="24"/>
        <v>5.2817911912425852E-2</v>
      </c>
      <c r="AB33" s="7">
        <f t="shared" si="25"/>
        <v>3.4478139200405118</v>
      </c>
      <c r="AC33" s="7">
        <f t="shared" si="26"/>
        <v>4.3948937198495281</v>
      </c>
      <c r="AD33" s="7"/>
      <c r="AG33" s="1">
        <v>5</v>
      </c>
      <c r="AH33" s="1">
        <v>30</v>
      </c>
      <c r="AI33" s="7">
        <v>1.19</v>
      </c>
      <c r="AJ33" s="7">
        <v>1.45</v>
      </c>
      <c r="BI33" s="1">
        <v>5</v>
      </c>
      <c r="BJ33" s="1">
        <v>30</v>
      </c>
      <c r="BK33" s="7">
        <v>1.19</v>
      </c>
      <c r="BL33" s="7">
        <v>1.45</v>
      </c>
    </row>
    <row r="34" spans="1:68" x14ac:dyDescent="0.2">
      <c r="A34" s="1">
        <v>5</v>
      </c>
      <c r="B34" s="1">
        <v>31</v>
      </c>
      <c r="C34" s="7">
        <f t="shared" si="0"/>
        <v>1.4604999999999999</v>
      </c>
      <c r="D34" s="7">
        <f t="shared" si="1"/>
        <v>1.7709999999999999</v>
      </c>
      <c r="E34" s="12">
        <v>0.35</v>
      </c>
      <c r="F34" s="12">
        <v>0.35</v>
      </c>
      <c r="G34" s="18">
        <f t="shared" si="4"/>
        <v>1.4604999999999999</v>
      </c>
      <c r="H34" s="18">
        <f t="shared" si="5"/>
        <v>1.7709999999999999</v>
      </c>
      <c r="I34" s="7">
        <f t="shared" si="6"/>
        <v>1.1105</v>
      </c>
      <c r="J34" s="7">
        <f t="shared" si="7"/>
        <v>1.4209999999999998</v>
      </c>
      <c r="K34" s="23">
        <f t="shared" si="8"/>
        <v>0</v>
      </c>
      <c r="L34" s="23">
        <f t="shared" si="9"/>
        <v>0</v>
      </c>
      <c r="M34" s="6">
        <f t="shared" si="10"/>
        <v>0.36830049084473043</v>
      </c>
      <c r="N34" s="7">
        <f t="shared" si="11"/>
        <v>4.712029113857664</v>
      </c>
      <c r="O34" s="7">
        <f t="shared" si="12"/>
        <v>5.7137990829455143</v>
      </c>
      <c r="P34" s="7">
        <f t="shared" si="13"/>
        <v>4.1474244613926929</v>
      </c>
      <c r="Q34" s="7">
        <f t="shared" si="14"/>
        <v>5.1491944304805424</v>
      </c>
      <c r="R34" s="7">
        <f t="shared" si="15"/>
        <v>4.0345035308996984</v>
      </c>
      <c r="S34" s="7">
        <f t="shared" si="16"/>
        <v>5.0362734999875478</v>
      </c>
      <c r="T34" s="7">
        <f t="shared" si="17"/>
        <v>3.9215826004067043</v>
      </c>
      <c r="U34" s="7">
        <f t="shared" si="18"/>
        <v>4.9233525694945532</v>
      </c>
      <c r="V34" s="23">
        <f t="shared" si="19"/>
        <v>1.4136087341572992</v>
      </c>
      <c r="W34" s="23">
        <f t="shared" si="20"/>
        <v>1.7141397248836543</v>
      </c>
      <c r="X34" s="30">
        <f t="shared" si="21"/>
        <v>0.94240582277153284</v>
      </c>
      <c r="Y34" s="30">
        <f t="shared" si="22"/>
        <v>1.1427598165891029</v>
      </c>
      <c r="Z34" s="30">
        <f t="shared" si="23"/>
        <v>4.7120291138576638E-2</v>
      </c>
      <c r="AA34" s="30">
        <f t="shared" si="24"/>
        <v>5.7137990829455143E-2</v>
      </c>
      <c r="AB34" s="7">
        <f t="shared" si="25"/>
        <v>3.8086616699137097</v>
      </c>
      <c r="AC34" s="7">
        <f t="shared" si="26"/>
        <v>4.8104316390015596</v>
      </c>
      <c r="AD34" s="7"/>
      <c r="AG34" s="1">
        <v>5</v>
      </c>
      <c r="AH34" s="1">
        <v>31</v>
      </c>
      <c r="AI34" s="7">
        <v>1.27</v>
      </c>
      <c r="AJ34" s="7">
        <v>1.54</v>
      </c>
      <c r="BI34" s="1">
        <v>5</v>
      </c>
      <c r="BJ34" s="1">
        <v>31</v>
      </c>
      <c r="BK34" s="7">
        <v>1.27</v>
      </c>
      <c r="BL34" s="7">
        <v>1.54</v>
      </c>
    </row>
    <row r="35" spans="1:68" x14ac:dyDescent="0.2">
      <c r="A35" s="1">
        <v>5</v>
      </c>
      <c r="B35" s="1">
        <v>32</v>
      </c>
      <c r="C35" s="7">
        <f t="shared" si="0"/>
        <v>1.5409999999999999</v>
      </c>
      <c r="D35" s="7">
        <f t="shared" si="1"/>
        <v>1.8859999999999997</v>
      </c>
      <c r="E35" s="12">
        <v>0.35</v>
      </c>
      <c r="F35" s="12">
        <v>0.35</v>
      </c>
      <c r="G35" s="18">
        <f t="shared" si="4"/>
        <v>1.5409999999999999</v>
      </c>
      <c r="H35" s="18">
        <f t="shared" si="5"/>
        <v>1.8859999999999997</v>
      </c>
      <c r="I35" s="7">
        <f t="shared" si="6"/>
        <v>1.1909999999999998</v>
      </c>
      <c r="J35" s="7">
        <f t="shared" si="7"/>
        <v>1.5359999999999996</v>
      </c>
      <c r="K35" s="23">
        <f t="shared" si="8"/>
        <v>0</v>
      </c>
      <c r="L35" s="23">
        <f t="shared" si="9"/>
        <v>0</v>
      </c>
      <c r="M35" s="6">
        <f t="shared" si="10"/>
        <v>0.37513994993707267</v>
      </c>
      <c r="N35" s="7">
        <f t="shared" si="11"/>
        <v>5.0640742065925339</v>
      </c>
      <c r="O35" s="7">
        <f t="shared" si="12"/>
        <v>6.1978221632923534</v>
      </c>
      <c r="P35" s="7">
        <f t="shared" si="13"/>
        <v>4.4889846633390009</v>
      </c>
      <c r="Q35" s="7">
        <f t="shared" si="14"/>
        <v>5.6227326200388204</v>
      </c>
      <c r="R35" s="7">
        <f t="shared" si="15"/>
        <v>4.3739667546882943</v>
      </c>
      <c r="S35" s="7">
        <f t="shared" si="16"/>
        <v>5.5077147113881137</v>
      </c>
      <c r="T35" s="7">
        <f t="shared" si="17"/>
        <v>4.2589488460375886</v>
      </c>
      <c r="U35" s="7">
        <f t="shared" si="18"/>
        <v>5.392696802737408</v>
      </c>
      <c r="V35" s="23">
        <f t="shared" si="19"/>
        <v>1.5192222619777602</v>
      </c>
      <c r="W35" s="23">
        <f t="shared" si="20"/>
        <v>1.859346648987706</v>
      </c>
      <c r="X35" s="30">
        <f t="shared" si="21"/>
        <v>1.0128148413185067</v>
      </c>
      <c r="Y35" s="30">
        <f t="shared" si="22"/>
        <v>1.2395644326584707</v>
      </c>
      <c r="Z35" s="30">
        <f t="shared" si="23"/>
        <v>5.0640742065925337E-2</v>
      </c>
      <c r="AA35" s="30">
        <f t="shared" si="24"/>
        <v>6.1978221632923533E-2</v>
      </c>
      <c r="AB35" s="7">
        <f t="shared" si="25"/>
        <v>4.143930937386882</v>
      </c>
      <c r="AC35" s="7">
        <f t="shared" si="26"/>
        <v>5.2776788940867014</v>
      </c>
      <c r="AD35" s="7"/>
      <c r="AG35" s="1">
        <v>5</v>
      </c>
      <c r="AH35" s="1">
        <v>32</v>
      </c>
      <c r="AI35" s="7">
        <v>1.34</v>
      </c>
      <c r="AJ35" s="7">
        <v>1.64</v>
      </c>
      <c r="BI35" s="1">
        <v>5</v>
      </c>
      <c r="BJ35" s="1">
        <v>32</v>
      </c>
      <c r="BK35" s="7">
        <v>1.34</v>
      </c>
      <c r="BL35" s="7">
        <v>1.64</v>
      </c>
    </row>
    <row r="36" spans="1:68" x14ac:dyDescent="0.2">
      <c r="A36" s="1">
        <v>5</v>
      </c>
      <c r="B36" s="1">
        <v>33</v>
      </c>
      <c r="C36" s="7">
        <f t="shared" ref="C36:C67" si="27">AI36*1.15</f>
        <v>1.6329999999999998</v>
      </c>
      <c r="D36" s="7">
        <f t="shared" ref="D36:D67" si="28">AJ36*1.15</f>
        <v>2.0009999999999999</v>
      </c>
      <c r="E36" s="12">
        <v>0.35</v>
      </c>
      <c r="F36" s="12">
        <v>0.35</v>
      </c>
      <c r="G36" s="18">
        <f t="shared" si="4"/>
        <v>1.6329999999999998</v>
      </c>
      <c r="H36" s="18">
        <f t="shared" si="5"/>
        <v>2.0009999999999999</v>
      </c>
      <c r="I36" s="7">
        <f t="shared" si="6"/>
        <v>1.2829999999999999</v>
      </c>
      <c r="J36" s="7">
        <f t="shared" si="7"/>
        <v>1.6509999999999998</v>
      </c>
      <c r="K36" s="23">
        <f t="shared" si="8"/>
        <v>0</v>
      </c>
      <c r="L36" s="23">
        <f t="shared" si="9"/>
        <v>0</v>
      </c>
      <c r="M36" s="6">
        <f t="shared" si="10"/>
        <v>0.38210641999420758</v>
      </c>
      <c r="N36" s="7">
        <f t="shared" si="11"/>
        <v>5.4660629065307385</v>
      </c>
      <c r="O36" s="7">
        <f t="shared" si="12"/>
        <v>6.6978517305376659</v>
      </c>
      <c r="P36" s="7">
        <f t="shared" si="13"/>
        <v>4.8802937646796192</v>
      </c>
      <c r="Q36" s="7">
        <f t="shared" si="14"/>
        <v>6.1120825886865457</v>
      </c>
      <c r="R36" s="7">
        <f t="shared" si="15"/>
        <v>4.7631399363093951</v>
      </c>
      <c r="S36" s="7">
        <f t="shared" si="16"/>
        <v>5.9949287603163217</v>
      </c>
      <c r="T36" s="7">
        <f t="shared" si="17"/>
        <v>4.6459861079391711</v>
      </c>
      <c r="U36" s="7">
        <f t="shared" si="18"/>
        <v>5.8777749319460977</v>
      </c>
      <c r="V36" s="23">
        <f t="shared" si="19"/>
        <v>1.6398188719592215</v>
      </c>
      <c r="W36" s="23">
        <f t="shared" si="20"/>
        <v>2.0093555191612995</v>
      </c>
      <c r="X36" s="30">
        <f t="shared" si="21"/>
        <v>1.0932125813061477</v>
      </c>
      <c r="Y36" s="30">
        <f t="shared" si="22"/>
        <v>1.3395703461075332</v>
      </c>
      <c r="Z36" s="30">
        <f t="shared" si="23"/>
        <v>5.4660629065307387E-2</v>
      </c>
      <c r="AA36" s="30">
        <f t="shared" si="24"/>
        <v>6.6978517305376656E-2</v>
      </c>
      <c r="AB36" s="7">
        <f t="shared" si="25"/>
        <v>4.5288322795689471</v>
      </c>
      <c r="AC36" s="7">
        <f t="shared" si="26"/>
        <v>5.7606211035758736</v>
      </c>
      <c r="AD36" s="7"/>
      <c r="AG36" s="1">
        <v>5</v>
      </c>
      <c r="AH36" s="1">
        <v>33</v>
      </c>
      <c r="AI36" s="7">
        <v>1.42</v>
      </c>
      <c r="AJ36" s="7">
        <v>1.74</v>
      </c>
      <c r="BI36" s="1">
        <v>5</v>
      </c>
      <c r="BJ36" s="1">
        <v>33</v>
      </c>
      <c r="BK36" s="7">
        <v>1.42</v>
      </c>
      <c r="BL36" s="7">
        <v>1.74</v>
      </c>
    </row>
    <row r="37" spans="1:68" x14ac:dyDescent="0.2">
      <c r="A37" s="1">
        <v>5</v>
      </c>
      <c r="B37" s="1">
        <v>34</v>
      </c>
      <c r="C37" s="7">
        <f t="shared" si="27"/>
        <v>1.7249999999999999</v>
      </c>
      <c r="D37" s="7">
        <f t="shared" si="28"/>
        <v>2.1160000000000001</v>
      </c>
      <c r="E37" s="12">
        <v>0.35</v>
      </c>
      <c r="F37" s="12">
        <v>0.35</v>
      </c>
      <c r="G37" s="18">
        <f t="shared" si="4"/>
        <v>1.7249999999999999</v>
      </c>
      <c r="H37" s="18">
        <f t="shared" si="5"/>
        <v>2.1160000000000001</v>
      </c>
      <c r="I37" s="7">
        <f t="shared" si="6"/>
        <v>1.375</v>
      </c>
      <c r="J37" s="7">
        <f t="shared" si="7"/>
        <v>1.766</v>
      </c>
      <c r="K37" s="23">
        <f t="shared" si="8"/>
        <v>0</v>
      </c>
      <c r="L37" s="23">
        <f t="shared" si="9"/>
        <v>0</v>
      </c>
      <c r="M37" s="6">
        <f t="shared" si="10"/>
        <v>0.38920225965078159</v>
      </c>
      <c r="N37" s="7">
        <f t="shared" si="11"/>
        <v>5.8812353455829598</v>
      </c>
      <c r="O37" s="7">
        <f t="shared" si="12"/>
        <v>7.2143153572484318</v>
      </c>
      <c r="P37" s="7">
        <f t="shared" si="13"/>
        <v>5.2845882815383121</v>
      </c>
      <c r="Q37" s="7">
        <f t="shared" si="14"/>
        <v>6.6176682932037831</v>
      </c>
      <c r="R37" s="7">
        <f t="shared" si="15"/>
        <v>5.1652588687293832</v>
      </c>
      <c r="S37" s="7">
        <f t="shared" si="16"/>
        <v>6.4983388803948543</v>
      </c>
      <c r="T37" s="7">
        <f t="shared" si="17"/>
        <v>5.0459294559204535</v>
      </c>
      <c r="U37" s="7">
        <f t="shared" si="18"/>
        <v>6.3790094675859246</v>
      </c>
      <c r="V37" s="23">
        <f t="shared" si="19"/>
        <v>1.7643706036748878</v>
      </c>
      <c r="W37" s="23">
        <f t="shared" si="20"/>
        <v>2.1642946071745293</v>
      </c>
      <c r="X37" s="30">
        <f t="shared" si="21"/>
        <v>1.176247069116592</v>
      </c>
      <c r="Y37" s="30">
        <f t="shared" si="22"/>
        <v>1.4428630714496864</v>
      </c>
      <c r="Z37" s="30">
        <f t="shared" si="23"/>
        <v>5.8812353455829601E-2</v>
      </c>
      <c r="AA37" s="30">
        <f t="shared" si="24"/>
        <v>7.2143153572484325E-2</v>
      </c>
      <c r="AB37" s="7">
        <f t="shared" si="25"/>
        <v>4.9266000431115238</v>
      </c>
      <c r="AC37" s="7">
        <f t="shared" si="26"/>
        <v>6.2596800547769949</v>
      </c>
      <c r="AD37" s="7"/>
      <c r="AG37" s="1">
        <v>5</v>
      </c>
      <c r="AH37" s="1">
        <v>34</v>
      </c>
      <c r="AI37" s="7">
        <v>1.5</v>
      </c>
      <c r="AJ37" s="7">
        <v>1.84</v>
      </c>
      <c r="BI37" s="1">
        <v>5</v>
      </c>
      <c r="BJ37" s="1">
        <v>34</v>
      </c>
      <c r="BK37" s="7">
        <v>1.5</v>
      </c>
      <c r="BL37" s="7">
        <v>1.84</v>
      </c>
    </row>
    <row r="38" spans="1:68" x14ac:dyDescent="0.2">
      <c r="A38" s="1">
        <v>5</v>
      </c>
      <c r="B38" s="1">
        <v>35</v>
      </c>
      <c r="C38" s="7">
        <f t="shared" si="27"/>
        <v>1.8285</v>
      </c>
      <c r="D38" s="7">
        <f t="shared" si="28"/>
        <v>2.2424999999999997</v>
      </c>
      <c r="E38" s="12">
        <v>0.35</v>
      </c>
      <c r="F38" s="12">
        <v>0.35</v>
      </c>
      <c r="G38" s="18">
        <f t="shared" si="4"/>
        <v>1.8285</v>
      </c>
      <c r="H38" s="18">
        <f t="shared" si="5"/>
        <v>2.2424999999999997</v>
      </c>
      <c r="I38" s="7">
        <f t="shared" si="6"/>
        <v>1.4784999999999999</v>
      </c>
      <c r="J38" s="7">
        <f t="shared" si="7"/>
        <v>1.8924999999999996</v>
      </c>
      <c r="K38" s="23">
        <f t="shared" si="8"/>
        <v>0</v>
      </c>
      <c r="L38" s="23">
        <f t="shared" si="9"/>
        <v>0</v>
      </c>
      <c r="M38" s="6">
        <f t="shared" si="10"/>
        <v>0.39642987134204843</v>
      </c>
      <c r="N38" s="7">
        <f t="shared" si="11"/>
        <v>6.3498788930006755</v>
      </c>
      <c r="O38" s="7">
        <f t="shared" si="12"/>
        <v>7.787587321604601</v>
      </c>
      <c r="P38" s="7">
        <f t="shared" si="13"/>
        <v>5.7421519002333152</v>
      </c>
      <c r="Q38" s="7">
        <f t="shared" si="14"/>
        <v>7.1798603288372416</v>
      </c>
      <c r="R38" s="7">
        <f t="shared" si="15"/>
        <v>5.620606501679843</v>
      </c>
      <c r="S38" s="7">
        <f t="shared" si="16"/>
        <v>7.0583149302837693</v>
      </c>
      <c r="T38" s="7">
        <f t="shared" si="17"/>
        <v>5.4990611031263708</v>
      </c>
      <c r="U38" s="7">
        <f t="shared" si="18"/>
        <v>6.9367695317302971</v>
      </c>
      <c r="V38" s="23">
        <f t="shared" si="19"/>
        <v>1.9049636679002027</v>
      </c>
      <c r="W38" s="23">
        <f t="shared" si="20"/>
        <v>2.3362761964813803</v>
      </c>
      <c r="X38" s="30">
        <f t="shared" si="21"/>
        <v>1.2699757786001351</v>
      </c>
      <c r="Y38" s="30">
        <f t="shared" si="22"/>
        <v>1.5575174643209202</v>
      </c>
      <c r="Z38" s="30">
        <f t="shared" si="23"/>
        <v>6.3498788930006753E-2</v>
      </c>
      <c r="AA38" s="30">
        <f t="shared" si="24"/>
        <v>7.7875873216046013E-2</v>
      </c>
      <c r="AB38" s="7">
        <f t="shared" si="25"/>
        <v>5.3775157045728994</v>
      </c>
      <c r="AC38" s="7">
        <f t="shared" si="26"/>
        <v>6.8152241331768257</v>
      </c>
      <c r="AD38" s="7"/>
      <c r="AG38" s="1">
        <v>5</v>
      </c>
      <c r="AH38" s="1">
        <v>35</v>
      </c>
      <c r="AI38" s="7">
        <v>1.59</v>
      </c>
      <c r="AJ38" s="7">
        <v>1.95</v>
      </c>
      <c r="BI38" s="1">
        <v>5</v>
      </c>
      <c r="BJ38" s="1">
        <v>35</v>
      </c>
      <c r="BK38" s="7">
        <v>1.59</v>
      </c>
      <c r="BL38" s="7">
        <v>1.95</v>
      </c>
      <c r="BN38">
        <v>1.57</v>
      </c>
      <c r="BO38">
        <v>1.9</v>
      </c>
      <c r="BP38">
        <v>1.29</v>
      </c>
    </row>
    <row r="39" spans="1:68" x14ac:dyDescent="0.2">
      <c r="A39" s="1">
        <v>6</v>
      </c>
      <c r="B39" s="1">
        <v>36</v>
      </c>
      <c r="C39" s="7">
        <f t="shared" si="27"/>
        <v>1.9204999999999999</v>
      </c>
      <c r="D39" s="7">
        <f t="shared" si="28"/>
        <v>2.3689999999999998</v>
      </c>
      <c r="E39" s="12">
        <v>0.35</v>
      </c>
      <c r="F39" s="12">
        <v>0.35</v>
      </c>
      <c r="G39" s="18">
        <f t="shared" si="4"/>
        <v>1.9204999999999999</v>
      </c>
      <c r="H39" s="18">
        <f t="shared" si="5"/>
        <v>2.3689999999999998</v>
      </c>
      <c r="I39" s="7">
        <f t="shared" si="6"/>
        <v>1.5705</v>
      </c>
      <c r="J39" s="7">
        <f t="shared" si="7"/>
        <v>2.0189999999999997</v>
      </c>
      <c r="K39" s="23">
        <f t="shared" si="8"/>
        <v>0</v>
      </c>
      <c r="L39" s="23">
        <f t="shared" si="9"/>
        <v>0</v>
      </c>
      <c r="M39" s="6">
        <f t="shared" si="10"/>
        <v>0.40379170211726045</v>
      </c>
      <c r="N39" s="7">
        <f t="shared" si="11"/>
        <v>6.7932220039058997</v>
      </c>
      <c r="O39" s="7">
        <f t="shared" si="12"/>
        <v>8.3796630706863198</v>
      </c>
      <c r="P39" s="7">
        <f t="shared" si="13"/>
        <v>6.1742093245601399</v>
      </c>
      <c r="Q39" s="7">
        <f t="shared" si="14"/>
        <v>7.76065039134056</v>
      </c>
      <c r="R39" s="7">
        <f t="shared" si="15"/>
        <v>6.0504067886909887</v>
      </c>
      <c r="S39" s="7">
        <f t="shared" si="16"/>
        <v>7.6368478554714079</v>
      </c>
      <c r="T39" s="7">
        <f t="shared" si="17"/>
        <v>5.9266042528218366</v>
      </c>
      <c r="U39" s="7">
        <f t="shared" si="18"/>
        <v>7.5130453196022557</v>
      </c>
      <c r="V39" s="23">
        <f t="shared" si="19"/>
        <v>2.0379666011717696</v>
      </c>
      <c r="W39" s="23">
        <f t="shared" si="20"/>
        <v>2.5138989212058958</v>
      </c>
      <c r="X39" s="30">
        <f t="shared" si="21"/>
        <v>1.35864440078118</v>
      </c>
      <c r="Y39" s="30">
        <f t="shared" si="22"/>
        <v>1.6759326141372641</v>
      </c>
      <c r="Z39" s="30">
        <f t="shared" si="23"/>
        <v>6.7932220039058994E-2</v>
      </c>
      <c r="AA39" s="30">
        <f t="shared" si="24"/>
        <v>8.3796630706863204E-2</v>
      </c>
      <c r="AB39" s="7">
        <f t="shared" si="25"/>
        <v>5.8028017169526844</v>
      </c>
      <c r="AC39" s="7">
        <f t="shared" si="26"/>
        <v>7.3892427837331036</v>
      </c>
      <c r="AD39" s="7"/>
      <c r="AG39" s="1">
        <v>6</v>
      </c>
      <c r="AH39" s="1">
        <v>36</v>
      </c>
      <c r="AI39" s="7">
        <v>1.67</v>
      </c>
      <c r="AJ39" s="7">
        <v>2.06</v>
      </c>
      <c r="BI39" s="1">
        <v>6</v>
      </c>
      <c r="BJ39" s="1">
        <v>36</v>
      </c>
      <c r="BK39" s="7">
        <v>1.67</v>
      </c>
      <c r="BL39" s="7">
        <v>2.06</v>
      </c>
    </row>
    <row r="40" spans="1:68" x14ac:dyDescent="0.2">
      <c r="A40" s="1">
        <v>6</v>
      </c>
      <c r="B40" s="1">
        <v>37</v>
      </c>
      <c r="C40" s="7">
        <f t="shared" si="27"/>
        <v>2.024</v>
      </c>
      <c r="D40" s="7">
        <f t="shared" si="28"/>
        <v>2.4954999999999998</v>
      </c>
      <c r="E40" s="12">
        <v>0.35</v>
      </c>
      <c r="F40" s="12">
        <v>0.35</v>
      </c>
      <c r="G40" s="18">
        <f t="shared" si="4"/>
        <v>2.024</v>
      </c>
      <c r="H40" s="18">
        <f t="shared" si="5"/>
        <v>2.4954999999999998</v>
      </c>
      <c r="I40" s="7">
        <f t="shared" si="6"/>
        <v>1.6739999999999999</v>
      </c>
      <c r="J40" s="7">
        <f t="shared" si="7"/>
        <v>2.1454999999999997</v>
      </c>
      <c r="K40" s="23">
        <f t="shared" si="8"/>
        <v>0</v>
      </c>
      <c r="L40" s="23">
        <f t="shared" si="9"/>
        <v>0</v>
      </c>
      <c r="M40" s="6">
        <f t="shared" si="10"/>
        <v>0.4112902444681652</v>
      </c>
      <c r="N40" s="7">
        <f t="shared" si="11"/>
        <v>7.2922747440792408</v>
      </c>
      <c r="O40" s="7">
        <f t="shared" si="12"/>
        <v>8.991043292415883</v>
      </c>
      <c r="P40" s="7">
        <f t="shared" si="13"/>
        <v>6.661766799309544</v>
      </c>
      <c r="Q40" s="7">
        <f t="shared" si="14"/>
        <v>8.3605353476461843</v>
      </c>
      <c r="R40" s="7">
        <f t="shared" si="15"/>
        <v>6.5356652103556048</v>
      </c>
      <c r="S40" s="7">
        <f t="shared" si="16"/>
        <v>8.2344337586922443</v>
      </c>
      <c r="T40" s="7">
        <f t="shared" si="17"/>
        <v>6.4095636214016656</v>
      </c>
      <c r="U40" s="7">
        <f t="shared" si="18"/>
        <v>8.1083321697383042</v>
      </c>
      <c r="V40" s="23">
        <f t="shared" si="19"/>
        <v>2.1876824232237722</v>
      </c>
      <c r="W40" s="23">
        <f t="shared" si="20"/>
        <v>2.6973129877247648</v>
      </c>
      <c r="X40" s="30">
        <f t="shared" si="21"/>
        <v>1.4584549488158483</v>
      </c>
      <c r="Y40" s="30">
        <f t="shared" si="22"/>
        <v>1.7982086584831767</v>
      </c>
      <c r="Z40" s="30">
        <f t="shared" si="23"/>
        <v>7.2922747440792413E-2</v>
      </c>
      <c r="AA40" s="30">
        <f t="shared" si="24"/>
        <v>8.9910432924158831E-2</v>
      </c>
      <c r="AB40" s="7">
        <f t="shared" si="25"/>
        <v>6.2834620324477264</v>
      </c>
      <c r="AC40" s="7">
        <f t="shared" si="26"/>
        <v>7.9822305807843659</v>
      </c>
      <c r="AD40" s="7"/>
      <c r="AG40" s="1">
        <v>6</v>
      </c>
      <c r="AH40" s="1">
        <v>37</v>
      </c>
      <c r="AI40" s="7">
        <v>1.76</v>
      </c>
      <c r="AJ40" s="7">
        <v>2.17</v>
      </c>
      <c r="BI40" s="1">
        <v>6</v>
      </c>
      <c r="BJ40" s="1">
        <v>37</v>
      </c>
      <c r="BK40" s="7">
        <v>1.76</v>
      </c>
      <c r="BL40" s="7">
        <v>2.17</v>
      </c>
    </row>
    <row r="41" spans="1:68" x14ac:dyDescent="0.2">
      <c r="A41" s="1">
        <v>6</v>
      </c>
      <c r="B41" s="1">
        <v>38</v>
      </c>
      <c r="C41" s="7">
        <f t="shared" si="27"/>
        <v>2.1274999999999999</v>
      </c>
      <c r="D41" s="7">
        <f t="shared" si="28"/>
        <v>2.6219999999999994</v>
      </c>
      <c r="E41" s="12">
        <v>0.35</v>
      </c>
      <c r="F41" s="12">
        <v>0.35</v>
      </c>
      <c r="G41" s="18">
        <f t="shared" si="4"/>
        <v>2.1274999999999999</v>
      </c>
      <c r="H41" s="18">
        <f t="shared" si="5"/>
        <v>2.6219999999999994</v>
      </c>
      <c r="I41" s="7">
        <f t="shared" si="6"/>
        <v>1.7774999999999999</v>
      </c>
      <c r="J41" s="7">
        <f t="shared" si="7"/>
        <v>2.2719999999999994</v>
      </c>
      <c r="K41" s="23">
        <f t="shared" si="8"/>
        <v>0</v>
      </c>
      <c r="L41" s="23">
        <f t="shared" si="9"/>
        <v>0</v>
      </c>
      <c r="M41" s="6">
        <f t="shared" si="10"/>
        <v>0.41892803717288729</v>
      </c>
      <c r="N41" s="7">
        <f t="shared" si="11"/>
        <v>7.8075199359873819</v>
      </c>
      <c r="O41" s="7">
        <f t="shared" si="12"/>
        <v>9.6222407859736379</v>
      </c>
      <c r="P41" s="7">
        <f t="shared" si="13"/>
        <v>7.165303255001346</v>
      </c>
      <c r="Q41" s="7">
        <f t="shared" si="14"/>
        <v>8.9800241049876011</v>
      </c>
      <c r="R41" s="7">
        <f t="shared" si="15"/>
        <v>7.0368599188041392</v>
      </c>
      <c r="S41" s="7">
        <f t="shared" si="16"/>
        <v>8.8515807687903933</v>
      </c>
      <c r="T41" s="7">
        <f t="shared" si="17"/>
        <v>6.9084165826069315</v>
      </c>
      <c r="U41" s="7">
        <f t="shared" si="18"/>
        <v>8.7231374325931856</v>
      </c>
      <c r="V41" s="23">
        <f t="shared" si="19"/>
        <v>2.3422559807962147</v>
      </c>
      <c r="W41" s="23">
        <f t="shared" si="20"/>
        <v>2.8866722357920911</v>
      </c>
      <c r="X41" s="30">
        <f t="shared" si="21"/>
        <v>1.5615039871974765</v>
      </c>
      <c r="Y41" s="30">
        <f t="shared" si="22"/>
        <v>1.9244481571947276</v>
      </c>
      <c r="Z41" s="30">
        <f t="shared" si="23"/>
        <v>7.8075199359873823E-2</v>
      </c>
      <c r="AA41" s="30">
        <f t="shared" si="24"/>
        <v>9.6222407859736375E-2</v>
      </c>
      <c r="AB41" s="7">
        <f t="shared" si="25"/>
        <v>6.7799732464097247</v>
      </c>
      <c r="AC41" s="7">
        <f t="shared" si="26"/>
        <v>8.5946940963959779</v>
      </c>
      <c r="AD41" s="7"/>
      <c r="AG41" s="1">
        <v>6</v>
      </c>
      <c r="AH41" s="1">
        <v>38</v>
      </c>
      <c r="AI41" s="7">
        <v>1.85</v>
      </c>
      <c r="AJ41" s="7">
        <v>2.2799999999999998</v>
      </c>
      <c r="BI41" s="1">
        <v>6</v>
      </c>
      <c r="BJ41" s="1">
        <v>38</v>
      </c>
      <c r="BK41" s="7">
        <v>1.85</v>
      </c>
      <c r="BL41" s="7">
        <v>2.2799999999999998</v>
      </c>
    </row>
    <row r="42" spans="1:68" x14ac:dyDescent="0.2">
      <c r="A42" s="1">
        <v>6</v>
      </c>
      <c r="B42" s="1">
        <v>39</v>
      </c>
      <c r="C42" s="7">
        <f t="shared" si="27"/>
        <v>2.2309999999999999</v>
      </c>
      <c r="D42" s="7">
        <f t="shared" si="28"/>
        <v>2.76</v>
      </c>
      <c r="E42" s="12">
        <v>0.35</v>
      </c>
      <c r="F42" s="12">
        <v>0.35</v>
      </c>
      <c r="G42" s="18">
        <f t="shared" si="4"/>
        <v>2.2309999999999999</v>
      </c>
      <c r="H42" s="18">
        <f t="shared" si="5"/>
        <v>2.76</v>
      </c>
      <c r="I42" s="7">
        <f t="shared" si="6"/>
        <v>1.8809999999999998</v>
      </c>
      <c r="J42" s="7">
        <f t="shared" si="7"/>
        <v>2.4099999999999997</v>
      </c>
      <c r="K42" s="23">
        <f t="shared" si="8"/>
        <v>0</v>
      </c>
      <c r="L42" s="23">
        <f t="shared" si="9"/>
        <v>0</v>
      </c>
      <c r="M42" s="6">
        <f t="shared" si="10"/>
        <v>0.42670766615548111</v>
      </c>
      <c r="N42" s="7">
        <f t="shared" si="11"/>
        <v>8.3393868759696144</v>
      </c>
      <c r="O42" s="7">
        <f t="shared" si="12"/>
        <v>10.31676726924076</v>
      </c>
      <c r="P42" s="7">
        <f t="shared" si="13"/>
        <v>7.6852440237532615</v>
      </c>
      <c r="Q42" s="7">
        <f t="shared" si="14"/>
        <v>9.6626244170244071</v>
      </c>
      <c r="R42" s="7">
        <f t="shared" si="15"/>
        <v>7.554415453309991</v>
      </c>
      <c r="S42" s="7">
        <f t="shared" si="16"/>
        <v>9.5317958465811365</v>
      </c>
      <c r="T42" s="7">
        <f t="shared" si="17"/>
        <v>7.4235868828667204</v>
      </c>
      <c r="U42" s="7">
        <f t="shared" si="18"/>
        <v>9.400967276137866</v>
      </c>
      <c r="V42" s="23">
        <f t="shared" si="19"/>
        <v>2.5018160627908843</v>
      </c>
      <c r="W42" s="23">
        <f t="shared" si="20"/>
        <v>3.0950301807722278</v>
      </c>
      <c r="X42" s="30">
        <f t="shared" si="21"/>
        <v>1.6678773751939229</v>
      </c>
      <c r="Y42" s="30">
        <f t="shared" si="22"/>
        <v>2.0633534538481522</v>
      </c>
      <c r="Z42" s="30">
        <f t="shared" si="23"/>
        <v>8.3393868759696149E-2</v>
      </c>
      <c r="AA42" s="30">
        <f t="shared" si="24"/>
        <v>0.10316767269240761</v>
      </c>
      <c r="AB42" s="7">
        <f t="shared" si="25"/>
        <v>7.2927583124234499</v>
      </c>
      <c r="AC42" s="7">
        <f t="shared" si="26"/>
        <v>9.2701387056945954</v>
      </c>
      <c r="AD42" s="7"/>
      <c r="AG42" s="1">
        <v>6</v>
      </c>
      <c r="AH42" s="1">
        <v>39</v>
      </c>
      <c r="AI42" s="7">
        <v>1.94</v>
      </c>
      <c r="AJ42" s="7">
        <v>2.4</v>
      </c>
      <c r="BI42" s="1">
        <v>6</v>
      </c>
      <c r="BJ42" s="1">
        <v>39</v>
      </c>
      <c r="BK42" s="7">
        <v>1.94</v>
      </c>
      <c r="BL42" s="7">
        <v>2.4</v>
      </c>
    </row>
    <row r="43" spans="1:68" x14ac:dyDescent="0.2">
      <c r="A43" s="1">
        <v>6</v>
      </c>
      <c r="B43" s="1">
        <v>40</v>
      </c>
      <c r="C43" s="7">
        <f t="shared" si="27"/>
        <v>2.3344999999999998</v>
      </c>
      <c r="D43" s="7">
        <f t="shared" si="28"/>
        <v>2.8979999999999997</v>
      </c>
      <c r="E43" s="12">
        <v>0.35</v>
      </c>
      <c r="F43" s="12">
        <v>0.35</v>
      </c>
      <c r="G43" s="18">
        <f t="shared" si="4"/>
        <v>2.3344999999999998</v>
      </c>
      <c r="H43" s="18">
        <f t="shared" si="5"/>
        <v>2.8979999999999997</v>
      </c>
      <c r="I43" s="7">
        <f t="shared" si="6"/>
        <v>1.9844999999999997</v>
      </c>
      <c r="J43" s="7">
        <f t="shared" si="7"/>
        <v>2.5479999999999996</v>
      </c>
      <c r="K43" s="23">
        <f t="shared" si="8"/>
        <v>0</v>
      </c>
      <c r="L43" s="23">
        <f t="shared" si="9"/>
        <v>0</v>
      </c>
      <c r="M43" s="6">
        <f t="shared" si="10"/>
        <v>0.43463176536144604</v>
      </c>
      <c r="N43" s="7">
        <f t="shared" si="11"/>
        <v>8.8883152206299485</v>
      </c>
      <c r="O43" s="7">
        <f t="shared" si="12"/>
        <v>11.033770618713042</v>
      </c>
      <c r="P43" s="7">
        <f t="shared" si="13"/>
        <v>8.2220247243308524</v>
      </c>
      <c r="Q43" s="7">
        <f t="shared" si="14"/>
        <v>10.367480122413944</v>
      </c>
      <c r="R43" s="7">
        <f t="shared" si="15"/>
        <v>8.0887666250710328</v>
      </c>
      <c r="S43" s="7">
        <f t="shared" si="16"/>
        <v>10.234222023154125</v>
      </c>
      <c r="T43" s="7">
        <f t="shared" si="17"/>
        <v>7.9555085258112133</v>
      </c>
      <c r="U43" s="7">
        <f t="shared" si="18"/>
        <v>10.100963923894307</v>
      </c>
      <c r="V43" s="23">
        <f t="shared" si="19"/>
        <v>2.6664945661889843</v>
      </c>
      <c r="W43" s="23">
        <f t="shared" si="20"/>
        <v>3.3101311856139124</v>
      </c>
      <c r="X43" s="30">
        <f t="shared" si="21"/>
        <v>1.7776630441259897</v>
      </c>
      <c r="Y43" s="30">
        <f t="shared" si="22"/>
        <v>2.2067541237426087</v>
      </c>
      <c r="Z43" s="30">
        <f t="shared" si="23"/>
        <v>8.8883152206299484E-2</v>
      </c>
      <c r="AA43" s="30">
        <f t="shared" si="24"/>
        <v>0.11033770618713043</v>
      </c>
      <c r="AB43" s="7">
        <f t="shared" si="25"/>
        <v>7.8222504265513937</v>
      </c>
      <c r="AC43" s="7">
        <f t="shared" si="26"/>
        <v>9.9677058246344874</v>
      </c>
      <c r="AD43" s="7"/>
      <c r="AG43" s="1">
        <v>6</v>
      </c>
      <c r="AH43" s="1">
        <v>40</v>
      </c>
      <c r="AI43" s="7">
        <v>2.0299999999999998</v>
      </c>
      <c r="AJ43" s="7">
        <v>2.52</v>
      </c>
      <c r="BI43" s="1">
        <v>6</v>
      </c>
      <c r="BJ43" s="1">
        <v>40</v>
      </c>
      <c r="BK43" s="7">
        <v>2.0299999999999998</v>
      </c>
      <c r="BL43" s="7">
        <v>2.52</v>
      </c>
    </row>
    <row r="44" spans="1:68" x14ac:dyDescent="0.2">
      <c r="A44" s="1">
        <v>6</v>
      </c>
      <c r="B44" s="1">
        <v>41</v>
      </c>
      <c r="C44" s="7">
        <f t="shared" si="27"/>
        <v>2.4494999999999996</v>
      </c>
      <c r="D44" s="7">
        <f t="shared" si="28"/>
        <v>3.036</v>
      </c>
      <c r="E44" s="12">
        <v>0.35</v>
      </c>
      <c r="F44" s="12">
        <v>0.35</v>
      </c>
      <c r="G44" s="18">
        <f t="shared" si="4"/>
        <v>2.4494999999999996</v>
      </c>
      <c r="H44" s="18">
        <f t="shared" si="5"/>
        <v>3.036</v>
      </c>
      <c r="I44" s="7">
        <f t="shared" si="6"/>
        <v>2.0994999999999995</v>
      </c>
      <c r="J44" s="7">
        <f t="shared" si="7"/>
        <v>2.6859999999999999</v>
      </c>
      <c r="K44" s="23">
        <f t="shared" si="8"/>
        <v>0</v>
      </c>
      <c r="L44" s="23">
        <f t="shared" si="9"/>
        <v>0</v>
      </c>
      <c r="M44" s="6">
        <f t="shared" si="10"/>
        <v>0.44270301764950043</v>
      </c>
      <c r="N44" s="7">
        <f t="shared" si="11"/>
        <v>9.4993531255762704</v>
      </c>
      <c r="O44" s="7">
        <f t="shared" si="12"/>
        <v>11.773846127474817</v>
      </c>
      <c r="P44" s="7">
        <f t="shared" si="13"/>
        <v>8.820689399519587</v>
      </c>
      <c r="Q44" s="7">
        <f t="shared" si="14"/>
        <v>11.095182401418134</v>
      </c>
      <c r="R44" s="7">
        <f t="shared" si="15"/>
        <v>8.6849566543082517</v>
      </c>
      <c r="S44" s="7">
        <f t="shared" si="16"/>
        <v>10.959449656206797</v>
      </c>
      <c r="T44" s="7">
        <f t="shared" si="17"/>
        <v>8.5492239090969147</v>
      </c>
      <c r="U44" s="7">
        <f t="shared" si="18"/>
        <v>10.823716910995461</v>
      </c>
      <c r="V44" s="23">
        <f t="shared" si="19"/>
        <v>2.849805937672881</v>
      </c>
      <c r="W44" s="23">
        <f t="shared" si="20"/>
        <v>3.5321538382424449</v>
      </c>
      <c r="X44" s="30">
        <f t="shared" si="21"/>
        <v>1.8998706251152542</v>
      </c>
      <c r="Y44" s="30">
        <f t="shared" si="22"/>
        <v>2.3547692254949637</v>
      </c>
      <c r="Z44" s="30">
        <f t="shared" si="23"/>
        <v>9.4993531255762709E-2</v>
      </c>
      <c r="AA44" s="30">
        <f t="shared" si="24"/>
        <v>0.11773846127474817</v>
      </c>
      <c r="AB44" s="7">
        <f t="shared" si="25"/>
        <v>8.4134911638855776</v>
      </c>
      <c r="AC44" s="7">
        <f t="shared" si="26"/>
        <v>10.687984165784124</v>
      </c>
      <c r="AD44" s="7"/>
      <c r="AG44" s="1">
        <v>6</v>
      </c>
      <c r="AH44" s="1">
        <v>41</v>
      </c>
      <c r="AI44" s="7">
        <v>2.13</v>
      </c>
      <c r="AJ44" s="7">
        <v>2.64</v>
      </c>
      <c r="BI44" s="1">
        <v>6</v>
      </c>
      <c r="BJ44" s="1">
        <v>41</v>
      </c>
      <c r="BK44" s="7">
        <v>2.13</v>
      </c>
      <c r="BL44" s="7">
        <v>2.64</v>
      </c>
    </row>
    <row r="45" spans="1:68" x14ac:dyDescent="0.2">
      <c r="A45" s="1">
        <v>6</v>
      </c>
      <c r="B45" s="1">
        <v>42</v>
      </c>
      <c r="C45" s="7">
        <f t="shared" si="27"/>
        <v>2.5644999999999998</v>
      </c>
      <c r="D45" s="7">
        <f t="shared" si="28"/>
        <v>3.1854999999999998</v>
      </c>
      <c r="E45" s="12">
        <v>0.35</v>
      </c>
      <c r="F45" s="12">
        <v>0.35</v>
      </c>
      <c r="G45" s="18">
        <f t="shared" si="4"/>
        <v>2.5644999999999998</v>
      </c>
      <c r="H45" s="18">
        <f t="shared" si="5"/>
        <v>3.1854999999999998</v>
      </c>
      <c r="I45" s="7">
        <f t="shared" si="6"/>
        <v>2.2144999999999997</v>
      </c>
      <c r="J45" s="7">
        <f t="shared" si="7"/>
        <v>2.8354999999999997</v>
      </c>
      <c r="K45" s="23">
        <f t="shared" si="8"/>
        <v>0</v>
      </c>
      <c r="L45" s="23">
        <f t="shared" si="9"/>
        <v>0</v>
      </c>
      <c r="M45" s="6">
        <f t="shared" si="10"/>
        <v>0.45092415569991562</v>
      </c>
      <c r="N45" s="7">
        <f t="shared" si="11"/>
        <v>10.130020176281718</v>
      </c>
      <c r="O45" s="7">
        <f t="shared" si="12"/>
        <v>12.583029546323031</v>
      </c>
      <c r="P45" s="7">
        <f t="shared" si="13"/>
        <v>9.438753445593747</v>
      </c>
      <c r="Q45" s="7">
        <f t="shared" si="14"/>
        <v>11.891762815635062</v>
      </c>
      <c r="R45" s="7">
        <f t="shared" si="15"/>
        <v>9.3005000994561531</v>
      </c>
      <c r="S45" s="7">
        <f t="shared" si="16"/>
        <v>11.753509469497468</v>
      </c>
      <c r="T45" s="7">
        <f t="shared" si="17"/>
        <v>9.1622467533185574</v>
      </c>
      <c r="U45" s="7">
        <f t="shared" si="18"/>
        <v>11.615256123359872</v>
      </c>
      <c r="V45" s="23">
        <f t="shared" si="19"/>
        <v>3.0390060528845155</v>
      </c>
      <c r="W45" s="23">
        <f t="shared" si="20"/>
        <v>3.7749088638969091</v>
      </c>
      <c r="X45" s="30">
        <f t="shared" si="21"/>
        <v>2.0260040352563435</v>
      </c>
      <c r="Y45" s="30">
        <f t="shared" si="22"/>
        <v>2.5166059092646065</v>
      </c>
      <c r="Z45" s="30">
        <f t="shared" si="23"/>
        <v>0.10130020176281718</v>
      </c>
      <c r="AA45" s="30">
        <f t="shared" si="24"/>
        <v>0.12583029546323032</v>
      </c>
      <c r="AB45" s="7">
        <f t="shared" si="25"/>
        <v>9.0239934071809635</v>
      </c>
      <c r="AC45" s="7">
        <f t="shared" si="26"/>
        <v>11.477002777222278</v>
      </c>
      <c r="AD45" s="7"/>
      <c r="AG45" s="1">
        <v>6</v>
      </c>
      <c r="AH45" s="1">
        <v>42</v>
      </c>
      <c r="AI45" s="7">
        <v>2.23</v>
      </c>
      <c r="AJ45" s="7">
        <v>2.77</v>
      </c>
      <c r="BI45" s="1">
        <v>6</v>
      </c>
      <c r="BJ45" s="1">
        <v>42</v>
      </c>
      <c r="BK45" s="7">
        <v>2.23</v>
      </c>
      <c r="BL45" s="7">
        <v>2.77</v>
      </c>
      <c r="BN45">
        <v>2.2200000000000002</v>
      </c>
      <c r="BO45">
        <v>2.75</v>
      </c>
      <c r="BP45">
        <v>1.75</v>
      </c>
    </row>
    <row r="46" spans="1:68" x14ac:dyDescent="0.2">
      <c r="A46" s="1">
        <v>7</v>
      </c>
      <c r="B46" s="1">
        <v>43</v>
      </c>
      <c r="C46" s="7">
        <f t="shared" si="27"/>
        <v>2.6795</v>
      </c>
      <c r="D46" s="7">
        <f t="shared" si="28"/>
        <v>3.3349999999999995</v>
      </c>
      <c r="E46" s="12">
        <v>0.35</v>
      </c>
      <c r="F46" s="12">
        <v>0.35</v>
      </c>
      <c r="G46" s="18">
        <f t="shared" si="4"/>
        <v>2.6795</v>
      </c>
      <c r="H46" s="18">
        <f t="shared" si="5"/>
        <v>3.3349999999999995</v>
      </c>
      <c r="I46" s="7">
        <f t="shared" si="6"/>
        <v>2.3294999999999999</v>
      </c>
      <c r="J46" s="7">
        <f t="shared" si="7"/>
        <v>2.9849999999999994</v>
      </c>
      <c r="K46" s="23">
        <f t="shared" si="8"/>
        <v>0</v>
      </c>
      <c r="L46" s="23">
        <f t="shared" si="9"/>
        <v>0</v>
      </c>
      <c r="M46" s="6">
        <f t="shared" si="10"/>
        <v>0.45929796293971847</v>
      </c>
      <c r="N46" s="7">
        <f t="shared" si="11"/>
        <v>10.780834691265506</v>
      </c>
      <c r="O46" s="7">
        <f t="shared" si="12"/>
        <v>13.418206268098698</v>
      </c>
      <c r="P46" s="7">
        <f t="shared" si="13"/>
        <v>10.076730914078919</v>
      </c>
      <c r="Q46" s="7">
        <f t="shared" si="14"/>
        <v>12.714102490912108</v>
      </c>
      <c r="R46" s="7">
        <f t="shared" si="15"/>
        <v>9.935910158641601</v>
      </c>
      <c r="S46" s="7">
        <f t="shared" si="16"/>
        <v>12.57328173547479</v>
      </c>
      <c r="T46" s="7">
        <f t="shared" si="17"/>
        <v>9.7950894032042832</v>
      </c>
      <c r="U46" s="7">
        <f t="shared" si="18"/>
        <v>12.432460980037472</v>
      </c>
      <c r="V46" s="23">
        <f t="shared" si="19"/>
        <v>3.2342504073796516</v>
      </c>
      <c r="W46" s="23">
        <f t="shared" si="20"/>
        <v>4.0254618804296092</v>
      </c>
      <c r="X46" s="30">
        <f t="shared" si="21"/>
        <v>2.1561669382531012</v>
      </c>
      <c r="Y46" s="30">
        <f t="shared" si="22"/>
        <v>2.68364125361974</v>
      </c>
      <c r="Z46" s="30">
        <f t="shared" si="23"/>
        <v>0.10780834691265506</v>
      </c>
      <c r="AA46" s="30">
        <f t="shared" si="24"/>
        <v>0.13418206268098698</v>
      </c>
      <c r="AB46" s="7">
        <f t="shared" si="25"/>
        <v>9.6542686477669655</v>
      </c>
      <c r="AC46" s="7">
        <f t="shared" si="26"/>
        <v>12.291640224600155</v>
      </c>
      <c r="AD46" s="7"/>
      <c r="AG46" s="1">
        <v>7</v>
      </c>
      <c r="AH46" s="1">
        <v>43</v>
      </c>
      <c r="AI46" s="7">
        <v>2.33</v>
      </c>
      <c r="AJ46" s="7">
        <v>2.9</v>
      </c>
      <c r="BI46" s="1">
        <v>7</v>
      </c>
      <c r="BJ46" s="1">
        <v>43</v>
      </c>
      <c r="BK46" s="7">
        <v>2.33</v>
      </c>
      <c r="BL46" s="7">
        <v>2.9</v>
      </c>
    </row>
    <row r="47" spans="1:68" x14ac:dyDescent="0.2">
      <c r="A47" s="1">
        <v>7</v>
      </c>
      <c r="B47" s="1">
        <v>44</v>
      </c>
      <c r="C47" s="7">
        <f t="shared" si="27"/>
        <v>2.7944999999999998</v>
      </c>
      <c r="D47" s="7">
        <f t="shared" si="28"/>
        <v>3.4844999999999997</v>
      </c>
      <c r="E47" s="12">
        <v>0.35</v>
      </c>
      <c r="F47" s="12">
        <v>0.35</v>
      </c>
      <c r="G47" s="18">
        <f t="shared" si="4"/>
        <v>2.7944999999999998</v>
      </c>
      <c r="H47" s="18">
        <f t="shared" si="5"/>
        <v>3.4844999999999997</v>
      </c>
      <c r="I47" s="7">
        <f t="shared" si="6"/>
        <v>2.4444999999999997</v>
      </c>
      <c r="J47" s="7">
        <f t="shared" si="7"/>
        <v>3.1344999999999996</v>
      </c>
      <c r="K47" s="23">
        <f t="shared" si="8"/>
        <v>0</v>
      </c>
      <c r="L47" s="23">
        <f t="shared" si="9"/>
        <v>0</v>
      </c>
      <c r="M47" s="6">
        <f t="shared" si="10"/>
        <v>0.46782727448507472</v>
      </c>
      <c r="N47" s="7">
        <f t="shared" si="11"/>
        <v>11.452327470485221</v>
      </c>
      <c r="O47" s="7">
        <f t="shared" si="12"/>
        <v>14.280062648382806</v>
      </c>
      <c r="P47" s="7">
        <f t="shared" si="13"/>
        <v>10.735148258699601</v>
      </c>
      <c r="Q47" s="7">
        <f t="shared" si="14"/>
        <v>13.562883436597188</v>
      </c>
      <c r="R47" s="7">
        <f t="shared" si="15"/>
        <v>10.591712416342476</v>
      </c>
      <c r="S47" s="7">
        <f t="shared" si="16"/>
        <v>13.419447594240063</v>
      </c>
      <c r="T47" s="7">
        <f t="shared" si="17"/>
        <v>10.448276573985353</v>
      </c>
      <c r="U47" s="7">
        <f t="shared" si="18"/>
        <v>13.27601175188294</v>
      </c>
      <c r="V47" s="23">
        <f t="shared" si="19"/>
        <v>3.4356982411455661</v>
      </c>
      <c r="W47" s="23">
        <f t="shared" si="20"/>
        <v>4.284018794514842</v>
      </c>
      <c r="X47" s="30">
        <f t="shared" si="21"/>
        <v>2.2904654940970444</v>
      </c>
      <c r="Y47" s="30">
        <f t="shared" si="22"/>
        <v>2.8560125296765615</v>
      </c>
      <c r="Z47" s="30">
        <f t="shared" si="23"/>
        <v>0.11452327470485221</v>
      </c>
      <c r="AA47" s="30">
        <f t="shared" si="24"/>
        <v>0.14280062648382807</v>
      </c>
      <c r="AB47" s="7">
        <f t="shared" si="25"/>
        <v>10.304840731628229</v>
      </c>
      <c r="AC47" s="7">
        <f t="shared" si="26"/>
        <v>13.132575909525816</v>
      </c>
      <c r="AD47" s="7"/>
      <c r="AG47" s="1">
        <v>7</v>
      </c>
      <c r="AH47" s="1">
        <v>44</v>
      </c>
      <c r="AI47" s="7">
        <v>2.4300000000000002</v>
      </c>
      <c r="AJ47" s="7">
        <v>3.03</v>
      </c>
      <c r="BI47" s="1">
        <v>7</v>
      </c>
      <c r="BJ47" s="1">
        <v>44</v>
      </c>
      <c r="BK47" s="7">
        <v>2.4300000000000002</v>
      </c>
      <c r="BL47" s="7">
        <v>3.03</v>
      </c>
    </row>
    <row r="48" spans="1:68" x14ac:dyDescent="0.2">
      <c r="A48" s="1">
        <v>7</v>
      </c>
      <c r="B48" s="1">
        <v>45</v>
      </c>
      <c r="C48" s="7">
        <f t="shared" si="27"/>
        <v>2.9094999999999995</v>
      </c>
      <c r="D48" s="7">
        <f t="shared" si="28"/>
        <v>3.6454999999999997</v>
      </c>
      <c r="E48" s="12">
        <v>0.35</v>
      </c>
      <c r="F48" s="12">
        <v>0.35</v>
      </c>
      <c r="G48" s="18">
        <f t="shared" si="4"/>
        <v>2.9094999999999995</v>
      </c>
      <c r="H48" s="18">
        <f t="shared" si="5"/>
        <v>3.6454999999999997</v>
      </c>
      <c r="I48" s="7">
        <f t="shared" si="6"/>
        <v>2.5594999999999994</v>
      </c>
      <c r="J48" s="7">
        <f t="shared" si="7"/>
        <v>3.2954999999999997</v>
      </c>
      <c r="K48" s="23">
        <f t="shared" si="8"/>
        <v>0</v>
      </c>
      <c r="L48" s="23">
        <f t="shared" si="9"/>
        <v>0</v>
      </c>
      <c r="M48" s="6">
        <f t="shared" si="10"/>
        <v>0.47651497810117321</v>
      </c>
      <c r="N48" s="7">
        <f t="shared" si="11"/>
        <v>12.145042080159783</v>
      </c>
      <c r="O48" s="7">
        <f t="shared" si="12"/>
        <v>15.217305689370162</v>
      </c>
      <c r="P48" s="7">
        <f t="shared" si="13"/>
        <v>11.414544618730684</v>
      </c>
      <c r="Q48" s="7">
        <f t="shared" si="14"/>
        <v>14.486808227941067</v>
      </c>
      <c r="R48" s="7">
        <f t="shared" si="15"/>
        <v>11.268445126444863</v>
      </c>
      <c r="S48" s="7">
        <f t="shared" si="16"/>
        <v>14.340708735655246</v>
      </c>
      <c r="T48" s="7">
        <f t="shared" si="17"/>
        <v>11.122345634159045</v>
      </c>
      <c r="U48" s="7">
        <f t="shared" si="18"/>
        <v>14.194609243369428</v>
      </c>
      <c r="V48" s="23">
        <f t="shared" si="19"/>
        <v>3.6435126240479345</v>
      </c>
      <c r="W48" s="23">
        <f t="shared" si="20"/>
        <v>4.5651917068110484</v>
      </c>
      <c r="X48" s="30">
        <f t="shared" si="21"/>
        <v>2.4290084160319569</v>
      </c>
      <c r="Y48" s="30">
        <f t="shared" si="22"/>
        <v>3.0434611378740328</v>
      </c>
      <c r="Z48" s="30">
        <f t="shared" si="23"/>
        <v>0.12145042080159783</v>
      </c>
      <c r="AA48" s="30">
        <f t="shared" si="24"/>
        <v>0.15217305689370161</v>
      </c>
      <c r="AB48" s="7">
        <f t="shared" si="25"/>
        <v>10.976246141873224</v>
      </c>
      <c r="AC48" s="7">
        <f t="shared" si="26"/>
        <v>14.048509751083607</v>
      </c>
      <c r="AD48" s="7"/>
      <c r="AG48" s="1">
        <v>7</v>
      </c>
      <c r="AH48" s="1">
        <v>45</v>
      </c>
      <c r="AI48" s="7">
        <v>2.5299999999999998</v>
      </c>
      <c r="AJ48" s="7">
        <v>3.17</v>
      </c>
      <c r="BI48" s="1">
        <v>7</v>
      </c>
      <c r="BJ48" s="1">
        <v>45</v>
      </c>
      <c r="BK48" s="7">
        <v>2.5299999999999998</v>
      </c>
      <c r="BL48" s="7">
        <v>3.17</v>
      </c>
    </row>
    <row r="49" spans="1:68" x14ac:dyDescent="0.2">
      <c r="A49" s="1">
        <v>7</v>
      </c>
      <c r="B49" s="1">
        <v>46</v>
      </c>
      <c r="C49" s="7">
        <f t="shared" si="27"/>
        <v>3.036</v>
      </c>
      <c r="D49" s="7">
        <f t="shared" si="28"/>
        <v>3.7949999999999995</v>
      </c>
      <c r="E49" s="12">
        <v>0.35</v>
      </c>
      <c r="F49" s="12">
        <v>0.35</v>
      </c>
      <c r="G49" s="18">
        <f t="shared" si="4"/>
        <v>3.036</v>
      </c>
      <c r="H49" s="18">
        <f t="shared" si="5"/>
        <v>3.7949999999999995</v>
      </c>
      <c r="I49" s="7">
        <f t="shared" si="6"/>
        <v>2.6859999999999999</v>
      </c>
      <c r="J49" s="7">
        <f t="shared" si="7"/>
        <v>3.4449999999999994</v>
      </c>
      <c r="K49" s="23">
        <f t="shared" si="8"/>
        <v>0</v>
      </c>
      <c r="L49" s="23">
        <f t="shared" si="9"/>
        <v>0</v>
      </c>
      <c r="M49" s="6">
        <f t="shared" si="10"/>
        <v>0.48536401517993538</v>
      </c>
      <c r="N49" s="7">
        <f t="shared" si="11"/>
        <v>12.908430714755847</v>
      </c>
      <c r="O49" s="7">
        <f t="shared" si="12"/>
        <v>16.135538393444804</v>
      </c>
      <c r="P49" s="7">
        <f t="shared" si="13"/>
        <v>12.164367679485004</v>
      </c>
      <c r="Q49" s="7">
        <f t="shared" si="14"/>
        <v>15.391475358173967</v>
      </c>
      <c r="R49" s="7">
        <f t="shared" si="15"/>
        <v>12.015555072430836</v>
      </c>
      <c r="S49" s="7">
        <f t="shared" si="16"/>
        <v>15.242662751119799</v>
      </c>
      <c r="T49" s="7">
        <f t="shared" si="17"/>
        <v>11.866742465376667</v>
      </c>
      <c r="U49" s="7">
        <f t="shared" si="18"/>
        <v>15.09385014406563</v>
      </c>
      <c r="V49" s="23">
        <f t="shared" si="19"/>
        <v>3.8725292144267538</v>
      </c>
      <c r="W49" s="23">
        <f t="shared" si="20"/>
        <v>4.8406615180334409</v>
      </c>
      <c r="X49" s="30">
        <f t="shared" si="21"/>
        <v>2.5816861429511695</v>
      </c>
      <c r="Y49" s="30">
        <f t="shared" si="22"/>
        <v>3.2271076786889612</v>
      </c>
      <c r="Z49" s="30">
        <f t="shared" si="23"/>
        <v>0.12908430714755847</v>
      </c>
      <c r="AA49" s="30">
        <f t="shared" si="24"/>
        <v>0.16135538393444804</v>
      </c>
      <c r="AB49" s="7">
        <f t="shared" si="25"/>
        <v>11.717929858322499</v>
      </c>
      <c r="AC49" s="7">
        <f t="shared" si="26"/>
        <v>14.945037537011462</v>
      </c>
      <c r="AD49" s="7"/>
      <c r="AG49" s="1">
        <v>7</v>
      </c>
      <c r="AH49" s="1">
        <v>46</v>
      </c>
      <c r="AI49" s="7">
        <v>2.64</v>
      </c>
      <c r="AJ49" s="7">
        <v>3.3</v>
      </c>
      <c r="BI49" s="1">
        <v>7</v>
      </c>
      <c r="BJ49" s="1">
        <v>46</v>
      </c>
      <c r="BK49" s="7">
        <v>2.64</v>
      </c>
      <c r="BL49" s="7">
        <v>3.3</v>
      </c>
    </row>
    <row r="50" spans="1:68" x14ac:dyDescent="0.2">
      <c r="A50" s="1">
        <v>7</v>
      </c>
      <c r="B50" s="1">
        <v>47</v>
      </c>
      <c r="C50" s="7">
        <f t="shared" si="27"/>
        <v>3.1509999999999998</v>
      </c>
      <c r="D50" s="7">
        <f t="shared" si="28"/>
        <v>3.9559999999999995</v>
      </c>
      <c r="E50" s="12">
        <v>0.35</v>
      </c>
      <c r="F50" s="12">
        <v>0.35</v>
      </c>
      <c r="G50" s="18">
        <f t="shared" si="4"/>
        <v>3.1509999999999998</v>
      </c>
      <c r="H50" s="18">
        <f t="shared" si="5"/>
        <v>3.9559999999999995</v>
      </c>
      <c r="I50" s="7">
        <f t="shared" si="6"/>
        <v>2.8009999999999997</v>
      </c>
      <c r="J50" s="7">
        <f t="shared" si="7"/>
        <v>3.6059999999999994</v>
      </c>
      <c r="K50" s="23">
        <f t="shared" si="8"/>
        <v>0</v>
      </c>
      <c r="L50" s="23">
        <f t="shared" si="9"/>
        <v>0</v>
      </c>
      <c r="M50" s="6">
        <f t="shared" si="10"/>
        <v>0.49437738173588069</v>
      </c>
      <c r="N50" s="7">
        <f t="shared" si="11"/>
        <v>13.646180217483899</v>
      </c>
      <c r="O50" s="7">
        <f t="shared" si="12"/>
        <v>17.13243063800898</v>
      </c>
      <c r="P50" s="7">
        <f t="shared" si="13"/>
        <v>12.888299691282793</v>
      </c>
      <c r="Q50" s="7">
        <f t="shared" si="14"/>
        <v>16.374550111807874</v>
      </c>
      <c r="R50" s="7">
        <f t="shared" si="15"/>
        <v>12.73672358604257</v>
      </c>
      <c r="S50" s="7">
        <f t="shared" si="16"/>
        <v>16.222974006567654</v>
      </c>
      <c r="T50" s="7">
        <f t="shared" si="17"/>
        <v>12.58514748080235</v>
      </c>
      <c r="U50" s="7">
        <f t="shared" si="18"/>
        <v>16.071397901327433</v>
      </c>
      <c r="V50" s="23">
        <f t="shared" si="19"/>
        <v>4.0938540652451696</v>
      </c>
      <c r="W50" s="23">
        <f t="shared" si="20"/>
        <v>5.1397291914026937</v>
      </c>
      <c r="X50" s="30">
        <f t="shared" si="21"/>
        <v>2.7292360434967797</v>
      </c>
      <c r="Y50" s="30">
        <f t="shared" si="22"/>
        <v>3.4264861276017964</v>
      </c>
      <c r="Z50" s="30">
        <f t="shared" si="23"/>
        <v>0.136461802174839</v>
      </c>
      <c r="AA50" s="30">
        <f t="shared" si="24"/>
        <v>0.1713243063800898</v>
      </c>
      <c r="AB50" s="7">
        <f t="shared" si="25"/>
        <v>12.43357137556213</v>
      </c>
      <c r="AC50" s="7">
        <f t="shared" si="26"/>
        <v>15.919821796087213</v>
      </c>
      <c r="AD50" s="7"/>
      <c r="AG50" s="1">
        <v>7</v>
      </c>
      <c r="AH50" s="1">
        <v>47</v>
      </c>
      <c r="AI50" s="7">
        <v>2.74</v>
      </c>
      <c r="AJ50" s="7">
        <v>3.44</v>
      </c>
      <c r="BI50" s="1">
        <v>7</v>
      </c>
      <c r="BJ50" s="1">
        <v>47</v>
      </c>
      <c r="BK50" s="7">
        <v>2.74</v>
      </c>
      <c r="BL50" s="7">
        <v>3.44</v>
      </c>
    </row>
    <row r="51" spans="1:68" x14ac:dyDescent="0.2">
      <c r="A51" s="1">
        <v>7</v>
      </c>
      <c r="B51" s="1">
        <v>48</v>
      </c>
      <c r="C51" s="7">
        <f t="shared" si="27"/>
        <v>3.2774999999999999</v>
      </c>
      <c r="D51" s="7">
        <f t="shared" si="28"/>
        <v>4.1284999999999998</v>
      </c>
      <c r="E51" s="12">
        <v>0.35</v>
      </c>
      <c r="F51" s="12">
        <v>0.35</v>
      </c>
      <c r="G51" s="18">
        <f t="shared" si="4"/>
        <v>3.2774999999999999</v>
      </c>
      <c r="H51" s="18">
        <f t="shared" si="5"/>
        <v>4.1284999999999998</v>
      </c>
      <c r="I51" s="7">
        <f t="shared" si="6"/>
        <v>2.9274999999999998</v>
      </c>
      <c r="J51" s="7">
        <f t="shared" si="7"/>
        <v>3.7784999999999997</v>
      </c>
      <c r="K51" s="23">
        <f t="shared" si="8"/>
        <v>0</v>
      </c>
      <c r="L51" s="23">
        <f t="shared" si="9"/>
        <v>0</v>
      </c>
      <c r="M51" s="6">
        <f t="shared" si="10"/>
        <v>0.50355812942048617</v>
      </c>
      <c r="N51" s="7">
        <f t="shared" si="11"/>
        <v>14.457607097978633</v>
      </c>
      <c r="O51" s="7">
        <f t="shared" si="12"/>
        <v>18.211512098857298</v>
      </c>
      <c r="P51" s="7">
        <f t="shared" si="13"/>
        <v>13.685652485577029</v>
      </c>
      <c r="Q51" s="7">
        <f t="shared" si="14"/>
        <v>17.439557486455691</v>
      </c>
      <c r="R51" s="7">
        <f t="shared" si="15"/>
        <v>13.531261563096706</v>
      </c>
      <c r="S51" s="7">
        <f t="shared" si="16"/>
        <v>17.28516656397537</v>
      </c>
      <c r="T51" s="7">
        <f t="shared" si="17"/>
        <v>13.376870640616385</v>
      </c>
      <c r="U51" s="7">
        <f t="shared" si="18"/>
        <v>17.130775641495049</v>
      </c>
      <c r="V51" s="23">
        <f t="shared" si="19"/>
        <v>4.3372821293935893</v>
      </c>
      <c r="W51" s="23">
        <f t="shared" si="20"/>
        <v>5.4634536296571889</v>
      </c>
      <c r="X51" s="30">
        <f t="shared" si="21"/>
        <v>2.8915214195957266</v>
      </c>
      <c r="Y51" s="30">
        <f t="shared" si="22"/>
        <v>3.6423024197714597</v>
      </c>
      <c r="Z51" s="30">
        <f t="shared" si="23"/>
        <v>0.14457607097978634</v>
      </c>
      <c r="AA51" s="30">
        <f t="shared" si="24"/>
        <v>0.18211512098857299</v>
      </c>
      <c r="AB51" s="7">
        <f t="shared" si="25"/>
        <v>13.222479718136064</v>
      </c>
      <c r="AC51" s="7">
        <f t="shared" si="26"/>
        <v>16.976384719014728</v>
      </c>
      <c r="AD51" s="7"/>
      <c r="AG51" s="1">
        <v>7</v>
      </c>
      <c r="AH51" s="1">
        <v>48</v>
      </c>
      <c r="AI51" s="7">
        <v>2.85</v>
      </c>
      <c r="AJ51" s="7">
        <v>3.59</v>
      </c>
      <c r="BI51" s="1">
        <v>7</v>
      </c>
      <c r="BJ51" s="1">
        <v>48</v>
      </c>
      <c r="BK51" s="7">
        <v>2.85</v>
      </c>
      <c r="BL51" s="7">
        <v>3.59</v>
      </c>
    </row>
    <row r="52" spans="1:68" x14ac:dyDescent="0.2">
      <c r="A52" s="1">
        <v>7</v>
      </c>
      <c r="B52" s="1">
        <v>49</v>
      </c>
      <c r="C52" s="7">
        <f t="shared" si="27"/>
        <v>3.4039999999999999</v>
      </c>
      <c r="D52" s="7">
        <f t="shared" si="28"/>
        <v>4.2894999999999994</v>
      </c>
      <c r="E52" s="12">
        <v>0.35</v>
      </c>
      <c r="F52" s="12">
        <v>0.35</v>
      </c>
      <c r="G52" s="18">
        <f t="shared" si="4"/>
        <v>3.4039999999999999</v>
      </c>
      <c r="H52" s="18">
        <f t="shared" si="5"/>
        <v>4.2894999999999994</v>
      </c>
      <c r="I52" s="7">
        <f t="shared" si="6"/>
        <v>3.0539999999999998</v>
      </c>
      <c r="J52" s="7">
        <f t="shared" si="7"/>
        <v>3.9394999999999993</v>
      </c>
      <c r="K52" s="23">
        <f t="shared" si="8"/>
        <v>0</v>
      </c>
      <c r="L52" s="23">
        <f t="shared" si="9"/>
        <v>0</v>
      </c>
      <c r="M52" s="6">
        <f t="shared" si="10"/>
        <v>0.51290936655538244</v>
      </c>
      <c r="N52" s="7">
        <f t="shared" si="11"/>
        <v>15.294464917689611</v>
      </c>
      <c r="O52" s="7">
        <f t="shared" si="12"/>
        <v>19.273092615872383</v>
      </c>
      <c r="P52" s="7">
        <f t="shared" si="13"/>
        <v>14.50817485876021</v>
      </c>
      <c r="Q52" s="7">
        <f t="shared" si="14"/>
        <v>18.486802556942983</v>
      </c>
      <c r="R52" s="7">
        <f t="shared" si="15"/>
        <v>14.35091684697433</v>
      </c>
      <c r="S52" s="7">
        <f t="shared" si="16"/>
        <v>18.329544545157102</v>
      </c>
      <c r="T52" s="7">
        <f t="shared" si="17"/>
        <v>14.193658835188449</v>
      </c>
      <c r="U52" s="7">
        <f t="shared" si="18"/>
        <v>18.172286533371221</v>
      </c>
      <c r="V52" s="23">
        <f t="shared" si="19"/>
        <v>4.5883394753068831</v>
      </c>
      <c r="W52" s="23">
        <f t="shared" si="20"/>
        <v>5.7819277847617148</v>
      </c>
      <c r="X52" s="30">
        <f t="shared" si="21"/>
        <v>3.0588929835379224</v>
      </c>
      <c r="Y52" s="30">
        <f t="shared" si="22"/>
        <v>3.8546185231744765</v>
      </c>
      <c r="Z52" s="30">
        <f t="shared" si="23"/>
        <v>0.15294464917689612</v>
      </c>
      <c r="AA52" s="30">
        <f t="shared" si="24"/>
        <v>0.19273092615872384</v>
      </c>
      <c r="AB52" s="7">
        <f t="shared" si="25"/>
        <v>14.03640082340257</v>
      </c>
      <c r="AC52" s="7">
        <f t="shared" si="26"/>
        <v>18.015028521585339</v>
      </c>
      <c r="AD52" s="7"/>
      <c r="AG52" s="1">
        <v>7</v>
      </c>
      <c r="AH52" s="1">
        <v>49</v>
      </c>
      <c r="AI52" s="7">
        <v>2.96</v>
      </c>
      <c r="AJ52" s="7">
        <v>3.73</v>
      </c>
      <c r="BI52" s="1">
        <v>7</v>
      </c>
      <c r="BJ52" s="1">
        <v>49</v>
      </c>
      <c r="BK52" s="7">
        <v>2.96</v>
      </c>
      <c r="BL52" s="7">
        <v>3.73</v>
      </c>
      <c r="BN52">
        <v>2.98</v>
      </c>
      <c r="BO52">
        <v>3.77</v>
      </c>
      <c r="BP52">
        <v>2.2599999999999998</v>
      </c>
    </row>
    <row r="53" spans="1:68" x14ac:dyDescent="0.2">
      <c r="A53" s="1">
        <v>8</v>
      </c>
      <c r="B53" s="1">
        <v>50</v>
      </c>
      <c r="C53" s="7">
        <f t="shared" si="27"/>
        <v>3.5304999999999995</v>
      </c>
      <c r="D53" s="7">
        <f t="shared" si="28"/>
        <v>4.4619999999999997</v>
      </c>
      <c r="E53" s="12">
        <v>0.35</v>
      </c>
      <c r="F53" s="12">
        <v>0.35</v>
      </c>
      <c r="G53" s="18">
        <f t="shared" si="4"/>
        <v>3.5304999999999995</v>
      </c>
      <c r="H53" s="18">
        <f t="shared" si="5"/>
        <v>4.4619999999999997</v>
      </c>
      <c r="I53" s="7">
        <f t="shared" si="6"/>
        <v>3.1804999999999994</v>
      </c>
      <c r="J53" s="7">
        <f t="shared" si="7"/>
        <v>4.1120000000000001</v>
      </c>
      <c r="K53" s="23">
        <f t="shared" si="8"/>
        <v>0</v>
      </c>
      <c r="L53" s="23">
        <f t="shared" si="9"/>
        <v>0</v>
      </c>
      <c r="M53" s="6">
        <f t="shared" si="10"/>
        <v>0.52243425918473718</v>
      </c>
      <c r="N53" s="7">
        <f t="shared" si="11"/>
        <v>16.157418371973019</v>
      </c>
      <c r="O53" s="7">
        <f t="shared" si="12"/>
        <v>20.420450580864923</v>
      </c>
      <c r="P53" s="7">
        <f t="shared" si="13"/>
        <v>15.356526652642815</v>
      </c>
      <c r="Q53" s="7">
        <f t="shared" si="14"/>
        <v>19.619558861534724</v>
      </c>
      <c r="R53" s="7">
        <f t="shared" si="15"/>
        <v>15.196348308776773</v>
      </c>
      <c r="S53" s="7">
        <f t="shared" si="16"/>
        <v>19.459380517668684</v>
      </c>
      <c r="T53" s="7">
        <f t="shared" si="17"/>
        <v>15.036169964910734</v>
      </c>
      <c r="U53" s="7">
        <f t="shared" si="18"/>
        <v>19.299202173802641</v>
      </c>
      <c r="V53" s="23">
        <f t="shared" si="19"/>
        <v>4.8472255115919056</v>
      </c>
      <c r="W53" s="23">
        <f t="shared" si="20"/>
        <v>6.1261351742594767</v>
      </c>
      <c r="X53" s="30">
        <f t="shared" si="21"/>
        <v>3.231483674394604</v>
      </c>
      <c r="Y53" s="30">
        <f t="shared" si="22"/>
        <v>4.0840901161729848</v>
      </c>
      <c r="Z53" s="30">
        <f t="shared" si="23"/>
        <v>0.1615741837197302</v>
      </c>
      <c r="AA53" s="30">
        <f t="shared" si="24"/>
        <v>0.20420450580864924</v>
      </c>
      <c r="AB53" s="7">
        <f t="shared" si="25"/>
        <v>14.875991621044694</v>
      </c>
      <c r="AC53" s="7">
        <f t="shared" si="26"/>
        <v>19.139023829936601</v>
      </c>
      <c r="AD53" s="7"/>
      <c r="AG53" s="1">
        <v>8</v>
      </c>
      <c r="AH53" s="1">
        <v>50</v>
      </c>
      <c r="AI53" s="7">
        <v>3.07</v>
      </c>
      <c r="AJ53" s="7">
        <v>3.88</v>
      </c>
      <c r="BI53" s="1">
        <v>8</v>
      </c>
      <c r="BJ53" s="1">
        <v>50</v>
      </c>
      <c r="BK53" s="7">
        <v>3.07</v>
      </c>
      <c r="BL53" s="7">
        <v>3.88</v>
      </c>
    </row>
    <row r="54" spans="1:68" x14ac:dyDescent="0.2">
      <c r="A54" s="1">
        <v>8</v>
      </c>
      <c r="B54" s="1">
        <v>51</v>
      </c>
      <c r="C54" s="7">
        <f t="shared" si="27"/>
        <v>3.657</v>
      </c>
      <c r="D54" s="7">
        <f t="shared" si="28"/>
        <v>4.6345000000000001</v>
      </c>
      <c r="E54" s="12">
        <v>0.35</v>
      </c>
      <c r="F54" s="12">
        <v>0.35</v>
      </c>
      <c r="G54" s="18">
        <f t="shared" si="4"/>
        <v>3.657</v>
      </c>
      <c r="H54" s="18">
        <f t="shared" si="5"/>
        <v>4.6345000000000001</v>
      </c>
      <c r="I54" s="7">
        <f t="shared" si="6"/>
        <v>3.3069999999999999</v>
      </c>
      <c r="J54" s="7">
        <f t="shared" si="7"/>
        <v>4.2845000000000004</v>
      </c>
      <c r="K54" s="23">
        <f t="shared" si="8"/>
        <v>0</v>
      </c>
      <c r="L54" s="23">
        <f t="shared" si="9"/>
        <v>0</v>
      </c>
      <c r="M54" s="6">
        <f t="shared" si="10"/>
        <v>0.53213603214718075</v>
      </c>
      <c r="N54" s="7">
        <f t="shared" si="11"/>
        <v>17.047148073365225</v>
      </c>
      <c r="O54" s="7">
        <f t="shared" si="12"/>
        <v>21.603775703038316</v>
      </c>
      <c r="P54" s="7">
        <f t="shared" si="13"/>
        <v>16.231383536083595</v>
      </c>
      <c r="Q54" s="7">
        <f t="shared" si="14"/>
        <v>20.788011165756689</v>
      </c>
      <c r="R54" s="7">
        <f t="shared" si="15"/>
        <v>16.068230628627269</v>
      </c>
      <c r="S54" s="7">
        <f t="shared" si="16"/>
        <v>20.624858258300364</v>
      </c>
      <c r="T54" s="7">
        <f t="shared" si="17"/>
        <v>15.905077721170942</v>
      </c>
      <c r="U54" s="7">
        <f t="shared" si="18"/>
        <v>20.461705350844039</v>
      </c>
      <c r="V54" s="23">
        <f t="shared" si="19"/>
        <v>5.1141444220095673</v>
      </c>
      <c r="W54" s="23">
        <f t="shared" si="20"/>
        <v>6.4811327109114947</v>
      </c>
      <c r="X54" s="30">
        <f t="shared" si="21"/>
        <v>3.4094296146730452</v>
      </c>
      <c r="Y54" s="30">
        <f t="shared" si="22"/>
        <v>4.3207551406076634</v>
      </c>
      <c r="Z54" s="30">
        <f t="shared" si="23"/>
        <v>0.17047148073365226</v>
      </c>
      <c r="AA54" s="30">
        <f t="shared" si="24"/>
        <v>0.21603775703038317</v>
      </c>
      <c r="AB54" s="7">
        <f t="shared" si="25"/>
        <v>15.741924813714617</v>
      </c>
      <c r="AC54" s="7">
        <f t="shared" si="26"/>
        <v>20.298552443387713</v>
      </c>
      <c r="AD54" s="7"/>
      <c r="AG54" s="1">
        <v>8</v>
      </c>
      <c r="AH54" s="1">
        <v>51</v>
      </c>
      <c r="AI54" s="7">
        <v>3.18</v>
      </c>
      <c r="AJ54" s="7">
        <v>4.03</v>
      </c>
      <c r="BI54" s="1">
        <v>8</v>
      </c>
      <c r="BJ54" s="1">
        <v>51</v>
      </c>
      <c r="BK54" s="7">
        <v>3.18</v>
      </c>
      <c r="BL54" s="7">
        <v>4.03</v>
      </c>
    </row>
    <row r="55" spans="1:68" x14ac:dyDescent="0.2">
      <c r="A55" s="1">
        <v>8</v>
      </c>
      <c r="B55" s="1">
        <v>52</v>
      </c>
      <c r="C55" s="7">
        <f t="shared" si="27"/>
        <v>3.7949999999999995</v>
      </c>
      <c r="D55" s="7">
        <f t="shared" si="28"/>
        <v>4.8069999999999995</v>
      </c>
      <c r="E55" s="12">
        <v>0.35</v>
      </c>
      <c r="F55" s="12">
        <v>0.35</v>
      </c>
      <c r="G55" s="18">
        <f t="shared" si="4"/>
        <v>3.7949999999999995</v>
      </c>
      <c r="H55" s="18">
        <f t="shared" si="5"/>
        <v>4.8069999999999995</v>
      </c>
      <c r="I55" s="7">
        <f t="shared" si="6"/>
        <v>3.4449999999999994</v>
      </c>
      <c r="J55" s="7">
        <f t="shared" si="7"/>
        <v>4.4569999999999999</v>
      </c>
      <c r="K55" s="23">
        <f t="shared" si="8"/>
        <v>0</v>
      </c>
      <c r="L55" s="23">
        <f t="shared" si="9"/>
        <v>0</v>
      </c>
      <c r="M55" s="6">
        <f t="shared" si="10"/>
        <v>0.54201797016763897</v>
      </c>
      <c r="N55" s="7">
        <f t="shared" si="11"/>
        <v>18.018953803847022</v>
      </c>
      <c r="O55" s="7">
        <f t="shared" si="12"/>
        <v>22.824008151539555</v>
      </c>
      <c r="P55" s="7">
        <f t="shared" si="13"/>
        <v>17.188040255580031</v>
      </c>
      <c r="Q55" s="7">
        <f t="shared" si="14"/>
        <v>21.993094603272571</v>
      </c>
      <c r="R55" s="7">
        <f t="shared" si="15"/>
        <v>17.021857545926633</v>
      </c>
      <c r="S55" s="7">
        <f t="shared" si="16"/>
        <v>21.826911893619172</v>
      </c>
      <c r="T55" s="7">
        <f t="shared" si="17"/>
        <v>16.855674836273234</v>
      </c>
      <c r="U55" s="7">
        <f t="shared" si="18"/>
        <v>21.660729183965774</v>
      </c>
      <c r="V55" s="23">
        <f t="shared" si="19"/>
        <v>5.4056861411541064</v>
      </c>
      <c r="W55" s="23">
        <f t="shared" si="20"/>
        <v>6.8472024454618667</v>
      </c>
      <c r="X55" s="30">
        <f t="shared" si="21"/>
        <v>3.6037907607694049</v>
      </c>
      <c r="Y55" s="30">
        <f t="shared" si="22"/>
        <v>4.5648016303079109</v>
      </c>
      <c r="Z55" s="30">
        <f t="shared" si="23"/>
        <v>0.18018953803847024</v>
      </c>
      <c r="AA55" s="30">
        <f t="shared" si="24"/>
        <v>0.22824008151539554</v>
      </c>
      <c r="AB55" s="7">
        <f t="shared" si="25"/>
        <v>16.689492126619836</v>
      </c>
      <c r="AC55" s="7">
        <f t="shared" si="26"/>
        <v>21.494546474312376</v>
      </c>
      <c r="AD55" s="7"/>
      <c r="AG55" s="1">
        <v>8</v>
      </c>
      <c r="AH55" s="1">
        <v>52</v>
      </c>
      <c r="AI55" s="7">
        <v>3.3</v>
      </c>
      <c r="AJ55" s="7">
        <v>4.18</v>
      </c>
      <c r="BI55" s="1">
        <v>8</v>
      </c>
      <c r="BJ55" s="1">
        <v>52</v>
      </c>
      <c r="BK55" s="7">
        <v>3.3</v>
      </c>
      <c r="BL55" s="7">
        <v>4.18</v>
      </c>
    </row>
    <row r="56" spans="1:68" x14ac:dyDescent="0.2">
      <c r="A56" s="1">
        <v>8</v>
      </c>
      <c r="B56" s="1">
        <v>53</v>
      </c>
      <c r="C56" s="7">
        <f t="shared" si="27"/>
        <v>3.9215</v>
      </c>
      <c r="D56" s="7">
        <f t="shared" si="28"/>
        <v>4.9794999999999998</v>
      </c>
      <c r="E56" s="12">
        <v>0.35</v>
      </c>
      <c r="F56" s="12">
        <v>0.35</v>
      </c>
      <c r="G56" s="18">
        <f t="shared" si="4"/>
        <v>3.9215</v>
      </c>
      <c r="H56" s="18">
        <f t="shared" si="5"/>
        <v>4.9794999999999998</v>
      </c>
      <c r="I56" s="7">
        <f t="shared" si="6"/>
        <v>3.5714999999999999</v>
      </c>
      <c r="J56" s="7">
        <f t="shared" si="7"/>
        <v>4.6295000000000002</v>
      </c>
      <c r="K56" s="23">
        <f t="shared" si="8"/>
        <v>0</v>
      </c>
      <c r="L56" s="23">
        <f t="shared" si="9"/>
        <v>0</v>
      </c>
      <c r="M56" s="6">
        <f t="shared" si="10"/>
        <v>0.55208341896944024</v>
      </c>
      <c r="N56" s="7">
        <f t="shared" si="11"/>
        <v>18.965357316800663</v>
      </c>
      <c r="O56" s="7">
        <f t="shared" si="12"/>
        <v>24.082110610482953</v>
      </c>
      <c r="P56" s="7">
        <f t="shared" si="13"/>
        <v>18.119013435520507</v>
      </c>
      <c r="Q56" s="7">
        <f t="shared" si="14"/>
        <v>23.235766729202801</v>
      </c>
      <c r="R56" s="7">
        <f t="shared" si="15"/>
        <v>17.949744659264478</v>
      </c>
      <c r="S56" s="7">
        <f t="shared" si="16"/>
        <v>23.066497952946772</v>
      </c>
      <c r="T56" s="7">
        <f t="shared" si="17"/>
        <v>17.780475883008446</v>
      </c>
      <c r="U56" s="7">
        <f t="shared" si="18"/>
        <v>22.89722917669074</v>
      </c>
      <c r="V56" s="23">
        <f t="shared" si="19"/>
        <v>5.6896071950401987</v>
      </c>
      <c r="W56" s="23">
        <f t="shared" si="20"/>
        <v>7.2246331831448858</v>
      </c>
      <c r="X56" s="30">
        <f t="shared" si="21"/>
        <v>3.7930714633601328</v>
      </c>
      <c r="Y56" s="30">
        <f t="shared" si="22"/>
        <v>4.8164221220965908</v>
      </c>
      <c r="Z56" s="30">
        <f t="shared" si="23"/>
        <v>0.18965357316800663</v>
      </c>
      <c r="AA56" s="30">
        <f t="shared" si="24"/>
        <v>0.24082110610482954</v>
      </c>
      <c r="AB56" s="7">
        <f t="shared" si="25"/>
        <v>17.611207106752417</v>
      </c>
      <c r="AC56" s="7">
        <f t="shared" si="26"/>
        <v>22.727960400434711</v>
      </c>
      <c r="AD56" s="7"/>
      <c r="AG56" s="1">
        <v>8</v>
      </c>
      <c r="AH56" s="1">
        <v>53</v>
      </c>
      <c r="AI56" s="7">
        <v>3.41</v>
      </c>
      <c r="AJ56" s="7">
        <v>4.33</v>
      </c>
      <c r="BI56" s="1">
        <v>8</v>
      </c>
      <c r="BJ56" s="1">
        <v>53</v>
      </c>
      <c r="BK56" s="7">
        <v>3.41</v>
      </c>
      <c r="BL56" s="7">
        <v>4.33</v>
      </c>
    </row>
    <row r="57" spans="1:68" x14ac:dyDescent="0.2">
      <c r="A57" s="1">
        <v>8</v>
      </c>
      <c r="B57" s="1">
        <v>54</v>
      </c>
      <c r="C57" s="7">
        <f t="shared" si="27"/>
        <v>4.0594999999999999</v>
      </c>
      <c r="D57" s="7">
        <f t="shared" si="28"/>
        <v>5.1635</v>
      </c>
      <c r="E57" s="12">
        <v>0.35</v>
      </c>
      <c r="F57" s="12">
        <v>0.35</v>
      </c>
      <c r="G57" s="18">
        <f t="shared" si="4"/>
        <v>4.0594999999999999</v>
      </c>
      <c r="H57" s="18">
        <f t="shared" si="5"/>
        <v>5.1635</v>
      </c>
      <c r="I57" s="7">
        <f t="shared" si="6"/>
        <v>3.7094999999999998</v>
      </c>
      <c r="J57" s="7">
        <f t="shared" si="7"/>
        <v>4.8135000000000003</v>
      </c>
      <c r="K57" s="23">
        <f t="shared" si="8"/>
        <v>0</v>
      </c>
      <c r="L57" s="23">
        <f t="shared" si="9"/>
        <v>0</v>
      </c>
      <c r="M57" s="6">
        <f t="shared" si="10"/>
        <v>0.56233578640707649</v>
      </c>
      <c r="N57" s="7">
        <f t="shared" si="11"/>
        <v>19.997346614295058</v>
      </c>
      <c r="O57" s="7">
        <f t="shared" si="12"/>
        <v>25.435718498069349</v>
      </c>
      <c r="P57" s="7">
        <f t="shared" si="13"/>
        <v>19.135285853733009</v>
      </c>
      <c r="Q57" s="7">
        <f t="shared" si="14"/>
        <v>24.573657737507304</v>
      </c>
      <c r="R57" s="7">
        <f t="shared" si="15"/>
        <v>18.962873701620598</v>
      </c>
      <c r="S57" s="7">
        <f t="shared" si="16"/>
        <v>24.401245585394893</v>
      </c>
      <c r="T57" s="7">
        <f t="shared" si="17"/>
        <v>18.790461549508191</v>
      </c>
      <c r="U57" s="7">
        <f t="shared" si="18"/>
        <v>24.228833433282485</v>
      </c>
      <c r="V57" s="23">
        <f t="shared" si="19"/>
        <v>5.999203984288517</v>
      </c>
      <c r="W57" s="23">
        <f t="shared" si="20"/>
        <v>7.6307155494208043</v>
      </c>
      <c r="X57" s="30">
        <f t="shared" si="21"/>
        <v>3.9994693228590119</v>
      </c>
      <c r="Y57" s="30">
        <f t="shared" si="22"/>
        <v>5.0871436996138701</v>
      </c>
      <c r="Z57" s="30">
        <f t="shared" si="23"/>
        <v>0.19997346614295058</v>
      </c>
      <c r="AA57" s="30">
        <f t="shared" si="24"/>
        <v>0.25435718498069348</v>
      </c>
      <c r="AB57" s="7">
        <f t="shared" si="25"/>
        <v>18.618049397395779</v>
      </c>
      <c r="AC57" s="7">
        <f t="shared" si="26"/>
        <v>24.056421281170074</v>
      </c>
      <c r="AD57" s="7"/>
      <c r="AG57" s="1">
        <v>8</v>
      </c>
      <c r="AH57" s="1">
        <v>54</v>
      </c>
      <c r="AI57" s="7">
        <v>3.53</v>
      </c>
      <c r="AJ57" s="7">
        <v>4.49</v>
      </c>
      <c r="BI57" s="1">
        <v>8</v>
      </c>
      <c r="BJ57" s="1">
        <v>54</v>
      </c>
      <c r="BK57" s="7">
        <v>3.53</v>
      </c>
      <c r="BL57" s="7">
        <v>4.49</v>
      </c>
    </row>
    <row r="58" spans="1:68" x14ac:dyDescent="0.2">
      <c r="A58" s="1">
        <v>8</v>
      </c>
      <c r="B58" s="1">
        <v>55</v>
      </c>
      <c r="C58" s="7">
        <f t="shared" si="27"/>
        <v>4.1859999999999999</v>
      </c>
      <c r="D58" s="7">
        <f t="shared" si="28"/>
        <v>5.3475000000000001</v>
      </c>
      <c r="E58" s="12">
        <v>0.35</v>
      </c>
      <c r="F58" s="12">
        <v>0.35</v>
      </c>
      <c r="G58" s="18">
        <f t="shared" si="4"/>
        <v>4.1859999999999999</v>
      </c>
      <c r="H58" s="18">
        <f t="shared" si="5"/>
        <v>5.3475000000000001</v>
      </c>
      <c r="I58" s="7">
        <f t="shared" si="6"/>
        <v>3.8359999999999999</v>
      </c>
      <c r="J58" s="7">
        <f t="shared" si="7"/>
        <v>4.9975000000000005</v>
      </c>
      <c r="K58" s="23">
        <f t="shared" si="8"/>
        <v>0</v>
      </c>
      <c r="L58" s="23">
        <f t="shared" si="9"/>
        <v>0</v>
      </c>
      <c r="M58" s="6">
        <f t="shared" si="10"/>
        <v>0.5727785436199978</v>
      </c>
      <c r="N58" s="7">
        <f t="shared" si="11"/>
        <v>21.003422616277405</v>
      </c>
      <c r="O58" s="7">
        <f t="shared" si="12"/>
        <v>26.831295375189541</v>
      </c>
      <c r="P58" s="7">
        <f t="shared" si="13"/>
        <v>20.125353108907944</v>
      </c>
      <c r="Q58" s="7">
        <f t="shared" si="14"/>
        <v>25.953225867820084</v>
      </c>
      <c r="R58" s="7">
        <f t="shared" si="15"/>
        <v>19.949739207434053</v>
      </c>
      <c r="S58" s="7">
        <f t="shared" si="16"/>
        <v>25.777611966346193</v>
      </c>
      <c r="T58" s="7">
        <f t="shared" si="17"/>
        <v>19.774125305960162</v>
      </c>
      <c r="U58" s="7">
        <f t="shared" si="18"/>
        <v>25.601998064872301</v>
      </c>
      <c r="V58" s="23">
        <f t="shared" si="19"/>
        <v>6.3010267848832209</v>
      </c>
      <c r="W58" s="23">
        <f t="shared" si="20"/>
        <v>8.0493886125568626</v>
      </c>
      <c r="X58" s="30">
        <f t="shared" si="21"/>
        <v>4.2006845232554815</v>
      </c>
      <c r="Y58" s="30">
        <f t="shared" si="22"/>
        <v>5.3662590750379087</v>
      </c>
      <c r="Z58" s="30">
        <f t="shared" si="23"/>
        <v>0.21003422616277406</v>
      </c>
      <c r="AA58" s="30">
        <f t="shared" si="24"/>
        <v>0.2683129537518954</v>
      </c>
      <c r="AB58" s="7">
        <f t="shared" si="25"/>
        <v>19.59851140448627</v>
      </c>
      <c r="AC58" s="7">
        <f t="shared" si="26"/>
        <v>25.42638416339841</v>
      </c>
      <c r="AD58" s="7"/>
      <c r="AG58" s="1">
        <v>8</v>
      </c>
      <c r="AH58" s="1">
        <v>55</v>
      </c>
      <c r="AI58" s="7">
        <v>3.64</v>
      </c>
      <c r="AJ58" s="7">
        <v>4.6500000000000004</v>
      </c>
      <c r="BI58" s="1">
        <v>8</v>
      </c>
      <c r="BJ58" s="1">
        <v>55</v>
      </c>
      <c r="BK58" s="7">
        <v>3.64</v>
      </c>
      <c r="BL58" s="7">
        <v>4.6500000000000004</v>
      </c>
    </row>
    <row r="59" spans="1:68" x14ac:dyDescent="0.2">
      <c r="A59" s="1">
        <v>8</v>
      </c>
      <c r="B59" s="1">
        <v>56</v>
      </c>
      <c r="C59" s="7">
        <f t="shared" si="27"/>
        <v>4.3239999999999998</v>
      </c>
      <c r="D59" s="7">
        <f t="shared" si="28"/>
        <v>5.5314999999999994</v>
      </c>
      <c r="E59" s="12">
        <v>0.35</v>
      </c>
      <c r="F59" s="12">
        <v>0.35</v>
      </c>
      <c r="G59" s="18">
        <f t="shared" si="4"/>
        <v>4.3239999999999998</v>
      </c>
      <c r="H59" s="18">
        <f t="shared" si="5"/>
        <v>5.5314999999999994</v>
      </c>
      <c r="I59" s="7">
        <f t="shared" si="6"/>
        <v>3.9739999999999998</v>
      </c>
      <c r="J59" s="7">
        <f t="shared" si="7"/>
        <v>5.1814999999999998</v>
      </c>
      <c r="K59" s="23">
        <f t="shared" si="8"/>
        <v>0</v>
      </c>
      <c r="L59" s="23">
        <f t="shared" si="9"/>
        <v>0</v>
      </c>
      <c r="M59" s="6">
        <f t="shared" si="10"/>
        <v>0.5834152262078357</v>
      </c>
      <c r="N59" s="7">
        <f t="shared" si="11"/>
        <v>22.09874195795469</v>
      </c>
      <c r="O59" s="7">
        <f t="shared" si="12"/>
        <v>28.269933196213309</v>
      </c>
      <c r="P59" s="7">
        <f t="shared" si="13"/>
        <v>21.204366416178072</v>
      </c>
      <c r="Q59" s="7">
        <f t="shared" si="14"/>
        <v>27.375557654436694</v>
      </c>
      <c r="R59" s="7">
        <f t="shared" si="15"/>
        <v>21.025491307822751</v>
      </c>
      <c r="S59" s="7">
        <f t="shared" si="16"/>
        <v>27.196682546081373</v>
      </c>
      <c r="T59" s="7">
        <f t="shared" si="17"/>
        <v>20.846616199467427</v>
      </c>
      <c r="U59" s="7">
        <f t="shared" si="18"/>
        <v>27.017807437726049</v>
      </c>
      <c r="V59" s="23">
        <f t="shared" si="19"/>
        <v>6.6296225873864065</v>
      </c>
      <c r="W59" s="23">
        <f t="shared" si="20"/>
        <v>8.4809799588639923</v>
      </c>
      <c r="X59" s="30">
        <f t="shared" si="21"/>
        <v>4.4197483915909386</v>
      </c>
      <c r="Y59" s="30">
        <f t="shared" si="22"/>
        <v>5.6539866392426621</v>
      </c>
      <c r="Z59" s="30">
        <f t="shared" si="23"/>
        <v>0.2209874195795469</v>
      </c>
      <c r="AA59" s="30">
        <f t="shared" si="24"/>
        <v>0.28269933196213309</v>
      </c>
      <c r="AB59" s="7">
        <f t="shared" si="25"/>
        <v>20.667741091112106</v>
      </c>
      <c r="AC59" s="7">
        <f t="shared" si="26"/>
        <v>26.838932329370728</v>
      </c>
      <c r="AD59" s="7"/>
      <c r="AG59" s="1">
        <v>8</v>
      </c>
      <c r="AH59" s="1">
        <v>56</v>
      </c>
      <c r="AI59" s="7">
        <v>3.76</v>
      </c>
      <c r="AJ59" s="7">
        <v>4.8099999999999996</v>
      </c>
      <c r="BI59" s="1">
        <v>8</v>
      </c>
      <c r="BJ59" s="1">
        <v>56</v>
      </c>
      <c r="BK59" s="7">
        <v>3.76</v>
      </c>
      <c r="BL59" s="7">
        <v>4.8099999999999996</v>
      </c>
      <c r="BN59">
        <v>3.82</v>
      </c>
      <c r="BO59">
        <v>4.9400000000000004</v>
      </c>
      <c r="BP59">
        <v>2.81</v>
      </c>
    </row>
    <row r="60" spans="1:68" x14ac:dyDescent="0.2">
      <c r="A60" s="1">
        <v>9</v>
      </c>
      <c r="B60" s="1">
        <v>57</v>
      </c>
      <c r="C60" s="7">
        <f t="shared" si="27"/>
        <v>4.4619999999999997</v>
      </c>
      <c r="D60" s="7">
        <f t="shared" si="28"/>
        <v>5.7154999999999996</v>
      </c>
      <c r="E60" s="12">
        <v>0.35</v>
      </c>
      <c r="F60" s="12">
        <v>0.35</v>
      </c>
      <c r="G60" s="18">
        <f t="shared" si="4"/>
        <v>4.4619999999999997</v>
      </c>
      <c r="H60" s="18">
        <f t="shared" si="5"/>
        <v>5.7154999999999996</v>
      </c>
      <c r="I60" s="7">
        <f t="shared" si="6"/>
        <v>4.1120000000000001</v>
      </c>
      <c r="J60" s="7">
        <f t="shared" si="7"/>
        <v>5.3654999999999999</v>
      </c>
      <c r="K60" s="23">
        <f t="shared" si="8"/>
        <v>0</v>
      </c>
      <c r="L60" s="23">
        <f t="shared" si="9"/>
        <v>0</v>
      </c>
      <c r="M60" s="6">
        <f t="shared" si="10"/>
        <v>0.59424943542744912</v>
      </c>
      <c r="N60" s="7">
        <f t="shared" si="11"/>
        <v>23.227498992484954</v>
      </c>
      <c r="O60" s="7">
        <f t="shared" si="12"/>
        <v>29.752749998105728</v>
      </c>
      <c r="P60" s="7">
        <f t="shared" si="13"/>
        <v>22.316514607974675</v>
      </c>
      <c r="Q60" s="7">
        <f t="shared" si="14"/>
        <v>28.841765613595449</v>
      </c>
      <c r="R60" s="7">
        <f t="shared" si="15"/>
        <v>22.13431773107262</v>
      </c>
      <c r="S60" s="7">
        <f t="shared" si="16"/>
        <v>28.659568736693394</v>
      </c>
      <c r="T60" s="7">
        <f t="shared" si="17"/>
        <v>21.952120854170563</v>
      </c>
      <c r="U60" s="7">
        <f t="shared" si="18"/>
        <v>28.477371859791337</v>
      </c>
      <c r="V60" s="23">
        <f t="shared" si="19"/>
        <v>6.9682496977454855</v>
      </c>
      <c r="W60" s="23">
        <f t="shared" si="20"/>
        <v>8.9258249994317183</v>
      </c>
      <c r="X60" s="30">
        <f t="shared" si="21"/>
        <v>4.6454997984969912</v>
      </c>
      <c r="Y60" s="30">
        <f t="shared" si="22"/>
        <v>5.9505499996211455</v>
      </c>
      <c r="Z60" s="30">
        <f t="shared" si="23"/>
        <v>0.23227498992484955</v>
      </c>
      <c r="AA60" s="30">
        <f t="shared" si="24"/>
        <v>0.29752749998105726</v>
      </c>
      <c r="AB60" s="7">
        <f t="shared" si="25"/>
        <v>21.769923977268508</v>
      </c>
      <c r="AC60" s="7">
        <f t="shared" si="26"/>
        <v>28.295174982889282</v>
      </c>
      <c r="AD60" s="7"/>
      <c r="AG60" s="1">
        <v>9</v>
      </c>
      <c r="AH60" s="1">
        <v>57</v>
      </c>
      <c r="AI60" s="7">
        <v>3.88</v>
      </c>
      <c r="AJ60" s="7">
        <v>4.97</v>
      </c>
      <c r="BI60" s="1">
        <v>9</v>
      </c>
      <c r="BJ60" s="1">
        <v>57</v>
      </c>
      <c r="BK60" s="7">
        <v>3.88</v>
      </c>
      <c r="BL60" s="7">
        <v>4.97</v>
      </c>
    </row>
    <row r="61" spans="1:68" x14ac:dyDescent="0.2">
      <c r="A61" s="1">
        <v>9</v>
      </c>
      <c r="B61" s="1">
        <v>58</v>
      </c>
      <c r="C61" s="7">
        <f t="shared" si="27"/>
        <v>4.5999999999999996</v>
      </c>
      <c r="D61" s="7">
        <f t="shared" si="28"/>
        <v>5.8994999999999997</v>
      </c>
      <c r="E61" s="12">
        <v>0.35</v>
      </c>
      <c r="F61" s="12">
        <v>0.35</v>
      </c>
      <c r="G61" s="18">
        <f t="shared" si="4"/>
        <v>4.5999999999999996</v>
      </c>
      <c r="H61" s="18">
        <f t="shared" si="5"/>
        <v>5.8994999999999997</v>
      </c>
      <c r="I61" s="7">
        <f t="shared" si="6"/>
        <v>4.25</v>
      </c>
      <c r="J61" s="7">
        <f t="shared" si="7"/>
        <v>5.5495000000000001</v>
      </c>
      <c r="K61" s="23">
        <f t="shared" si="8"/>
        <v>0</v>
      </c>
      <c r="L61" s="23">
        <f t="shared" si="9"/>
        <v>0</v>
      </c>
      <c r="M61" s="6">
        <f t="shared" si="10"/>
        <v>0.60528483941219946</v>
      </c>
      <c r="N61" s="7">
        <f t="shared" si="11"/>
        <v>24.390557888953985</v>
      </c>
      <c r="O61" s="7">
        <f t="shared" si="12"/>
        <v>31.280890492583488</v>
      </c>
      <c r="P61" s="7">
        <f t="shared" si="13"/>
        <v>23.462656230135082</v>
      </c>
      <c r="Q61" s="7">
        <f t="shared" si="14"/>
        <v>30.352988833764584</v>
      </c>
      <c r="R61" s="7">
        <f t="shared" si="15"/>
        <v>23.277075898371304</v>
      </c>
      <c r="S61" s="7">
        <f t="shared" si="16"/>
        <v>30.167408502000807</v>
      </c>
      <c r="T61" s="7">
        <f t="shared" si="17"/>
        <v>23.091495566607524</v>
      </c>
      <c r="U61" s="7">
        <f t="shared" si="18"/>
        <v>29.981828170237026</v>
      </c>
      <c r="V61" s="23">
        <f t="shared" si="19"/>
        <v>7.3171673666861956</v>
      </c>
      <c r="W61" s="23">
        <f t="shared" si="20"/>
        <v>9.3842671477750468</v>
      </c>
      <c r="X61" s="30">
        <f t="shared" si="21"/>
        <v>4.8781115777907971</v>
      </c>
      <c r="Y61" s="30">
        <f t="shared" si="22"/>
        <v>6.2561780985166981</v>
      </c>
      <c r="Z61" s="30">
        <f t="shared" si="23"/>
        <v>0.24390557888953987</v>
      </c>
      <c r="AA61" s="30">
        <f t="shared" si="24"/>
        <v>0.31280890492583491</v>
      </c>
      <c r="AB61" s="7">
        <f t="shared" si="25"/>
        <v>22.905915234843743</v>
      </c>
      <c r="AC61" s="7">
        <f t="shared" si="26"/>
        <v>29.796247838473246</v>
      </c>
      <c r="AD61" s="7"/>
      <c r="AG61" s="1">
        <v>9</v>
      </c>
      <c r="AH61" s="1">
        <v>58</v>
      </c>
      <c r="AI61" s="7">
        <v>4</v>
      </c>
      <c r="AJ61" s="7">
        <v>5.13</v>
      </c>
      <c r="BI61" s="1">
        <v>9</v>
      </c>
      <c r="BJ61" s="1">
        <v>58</v>
      </c>
      <c r="BK61" s="7">
        <v>4</v>
      </c>
      <c r="BL61" s="7">
        <v>5.13</v>
      </c>
    </row>
    <row r="62" spans="1:68" x14ac:dyDescent="0.2">
      <c r="A62" s="1">
        <v>9</v>
      </c>
      <c r="B62" s="1">
        <v>59</v>
      </c>
      <c r="C62" s="7">
        <f t="shared" si="27"/>
        <v>4.7494999999999994</v>
      </c>
      <c r="D62" s="7">
        <f t="shared" si="28"/>
        <v>6.0949999999999998</v>
      </c>
      <c r="E62" s="12">
        <v>0.35</v>
      </c>
      <c r="F62" s="12">
        <v>0.35</v>
      </c>
      <c r="G62" s="18">
        <f t="shared" si="4"/>
        <v>4.7494999999999994</v>
      </c>
      <c r="H62" s="18">
        <f t="shared" si="5"/>
        <v>6.0949999999999998</v>
      </c>
      <c r="I62" s="7">
        <f t="shared" si="6"/>
        <v>4.3994999999999997</v>
      </c>
      <c r="J62" s="7">
        <f t="shared" si="7"/>
        <v>5.7450000000000001</v>
      </c>
      <c r="K62" s="23">
        <f t="shared" si="8"/>
        <v>0</v>
      </c>
      <c r="L62" s="23">
        <f t="shared" si="9"/>
        <v>0</v>
      </c>
      <c r="M62" s="6">
        <f t="shared" si="10"/>
        <v>0.61652517441387056</v>
      </c>
      <c r="N62" s="7">
        <f t="shared" si="11"/>
        <v>25.650912127097218</v>
      </c>
      <c r="O62" s="7">
        <f t="shared" si="12"/>
        <v>32.917635417340257</v>
      </c>
      <c r="P62" s="7">
        <f t="shared" si="13"/>
        <v>24.705779034720752</v>
      </c>
      <c r="Q62" s="7">
        <f t="shared" si="14"/>
        <v>31.972502324963795</v>
      </c>
      <c r="R62" s="7">
        <f t="shared" si="15"/>
        <v>24.51675241624546</v>
      </c>
      <c r="S62" s="7">
        <f t="shared" si="16"/>
        <v>31.783475706488503</v>
      </c>
      <c r="T62" s="7">
        <f t="shared" si="17"/>
        <v>24.327725797770167</v>
      </c>
      <c r="U62" s="7">
        <f t="shared" si="18"/>
        <v>31.59444908801321</v>
      </c>
      <c r="V62" s="23">
        <f t="shared" si="19"/>
        <v>7.6952736381291649</v>
      </c>
      <c r="W62" s="23">
        <f t="shared" si="20"/>
        <v>9.8752906252020765</v>
      </c>
      <c r="X62" s="30">
        <f t="shared" si="21"/>
        <v>5.1301824254194441</v>
      </c>
      <c r="Y62" s="30">
        <f t="shared" si="22"/>
        <v>6.5835270834680522</v>
      </c>
      <c r="Z62" s="30">
        <f t="shared" si="23"/>
        <v>0.2565091212709722</v>
      </c>
      <c r="AA62" s="30">
        <f t="shared" si="24"/>
        <v>0.32917635417340257</v>
      </c>
      <c r="AB62" s="7">
        <f t="shared" si="25"/>
        <v>24.138699179294875</v>
      </c>
      <c r="AC62" s="7">
        <f t="shared" si="26"/>
        <v>31.405422469537918</v>
      </c>
      <c r="AD62" s="7"/>
      <c r="AG62" s="1">
        <v>9</v>
      </c>
      <c r="AH62" s="1">
        <v>59</v>
      </c>
      <c r="AI62" s="7">
        <v>4.13</v>
      </c>
      <c r="AJ62" s="7">
        <v>5.3</v>
      </c>
      <c r="BI62" s="1">
        <v>9</v>
      </c>
      <c r="BJ62" s="1">
        <v>59</v>
      </c>
      <c r="BK62" s="7">
        <v>4.13</v>
      </c>
      <c r="BL62" s="7">
        <v>5.3</v>
      </c>
    </row>
    <row r="63" spans="1:68" x14ac:dyDescent="0.2">
      <c r="A63" s="1">
        <v>9</v>
      </c>
      <c r="B63" s="1">
        <v>60</v>
      </c>
      <c r="C63" s="7">
        <f t="shared" si="27"/>
        <v>4.8874999999999993</v>
      </c>
      <c r="D63" s="7">
        <f t="shared" si="28"/>
        <v>6.2904999999999989</v>
      </c>
      <c r="E63" s="12">
        <v>0.35</v>
      </c>
      <c r="F63" s="12">
        <v>0.35</v>
      </c>
      <c r="G63" s="18">
        <f t="shared" si="4"/>
        <v>4.8874999999999993</v>
      </c>
      <c r="H63" s="18">
        <f t="shared" si="5"/>
        <v>6.2904999999999989</v>
      </c>
      <c r="I63" s="7">
        <f t="shared" si="6"/>
        <v>4.5374999999999996</v>
      </c>
      <c r="J63" s="7">
        <f t="shared" si="7"/>
        <v>5.9404999999999992</v>
      </c>
      <c r="K63" s="23">
        <f t="shared" si="8"/>
        <v>0</v>
      </c>
      <c r="L63" s="23">
        <f t="shared" si="9"/>
        <v>0</v>
      </c>
      <c r="M63" s="6">
        <f t="shared" si="10"/>
        <v>0.6279742460676484</v>
      </c>
      <c r="N63" s="7">
        <f t="shared" si="11"/>
        <v>26.886403358263326</v>
      </c>
      <c r="O63" s="7">
        <f t="shared" si="12"/>
        <v>34.604382675223619</v>
      </c>
      <c r="P63" s="7">
        <f t="shared" si="13"/>
        <v>25.923718839041623</v>
      </c>
      <c r="Q63" s="7">
        <f t="shared" si="14"/>
        <v>33.641698156001915</v>
      </c>
      <c r="R63" s="7">
        <f t="shared" si="15"/>
        <v>25.731181935197284</v>
      </c>
      <c r="S63" s="7">
        <f t="shared" si="16"/>
        <v>33.449161252157573</v>
      </c>
      <c r="T63" s="7">
        <f t="shared" si="17"/>
        <v>25.538645031352942</v>
      </c>
      <c r="U63" s="7">
        <f t="shared" si="18"/>
        <v>33.256624348313238</v>
      </c>
      <c r="V63" s="23">
        <f t="shared" si="19"/>
        <v>8.0659210074789982</v>
      </c>
      <c r="W63" s="23">
        <f t="shared" si="20"/>
        <v>10.381314802567084</v>
      </c>
      <c r="X63" s="30">
        <f t="shared" si="21"/>
        <v>5.3772806716526658</v>
      </c>
      <c r="Y63" s="30">
        <f t="shared" si="22"/>
        <v>6.9208765350447239</v>
      </c>
      <c r="Z63" s="30">
        <f t="shared" si="23"/>
        <v>0.26886403358263328</v>
      </c>
      <c r="AA63" s="30">
        <f t="shared" si="24"/>
        <v>0.34604382675223622</v>
      </c>
      <c r="AB63" s="7">
        <f t="shared" si="25"/>
        <v>25.3461081275086</v>
      </c>
      <c r="AC63" s="7">
        <f t="shared" si="26"/>
        <v>33.064087444468896</v>
      </c>
      <c r="AD63" s="7"/>
      <c r="AG63" s="1">
        <v>9</v>
      </c>
      <c r="AH63" s="1">
        <v>60</v>
      </c>
      <c r="AI63" s="7">
        <v>4.25</v>
      </c>
      <c r="AJ63" s="7">
        <v>5.47</v>
      </c>
      <c r="BI63" s="1">
        <v>9</v>
      </c>
      <c r="BJ63" s="1">
        <v>60</v>
      </c>
      <c r="BK63" s="7">
        <v>4.25</v>
      </c>
      <c r="BL63" s="7">
        <v>5.47</v>
      </c>
    </row>
    <row r="64" spans="1:68" x14ac:dyDescent="0.2">
      <c r="A64" s="1">
        <v>9</v>
      </c>
      <c r="B64" s="1">
        <v>61</v>
      </c>
      <c r="C64" s="7">
        <f t="shared" si="27"/>
        <v>5.0255000000000001</v>
      </c>
      <c r="D64" s="7">
        <f t="shared" si="28"/>
        <v>6.4859999999999989</v>
      </c>
      <c r="E64" s="12">
        <v>0.35</v>
      </c>
      <c r="F64" s="12">
        <v>0.35</v>
      </c>
      <c r="G64" s="18">
        <f t="shared" si="4"/>
        <v>5.0255000000000001</v>
      </c>
      <c r="H64" s="18">
        <f t="shared" si="5"/>
        <v>6.4859999999999989</v>
      </c>
      <c r="I64" s="7">
        <f t="shared" si="6"/>
        <v>4.6755000000000004</v>
      </c>
      <c r="J64" s="7">
        <f t="shared" si="7"/>
        <v>6.1359999999999992</v>
      </c>
      <c r="K64" s="23">
        <f t="shared" si="8"/>
        <v>0</v>
      </c>
      <c r="L64" s="23">
        <f t="shared" si="9"/>
        <v>0</v>
      </c>
      <c r="M64" s="6">
        <f t="shared" si="10"/>
        <v>0.63963593068059343</v>
      </c>
      <c r="N64" s="7">
        <f t="shared" si="11"/>
        <v>28.158935638005421</v>
      </c>
      <c r="O64" s="7">
        <f t="shared" si="12"/>
        <v>36.342424942414311</v>
      </c>
      <c r="P64" s="7">
        <f t="shared" si="13"/>
        <v>27.178373756272073</v>
      </c>
      <c r="Q64" s="7">
        <f t="shared" si="14"/>
        <v>35.361863060680975</v>
      </c>
      <c r="R64" s="7">
        <f t="shared" si="15"/>
        <v>26.982261379925401</v>
      </c>
      <c r="S64" s="7">
        <f t="shared" si="16"/>
        <v>35.165750684334306</v>
      </c>
      <c r="T64" s="7">
        <f t="shared" si="17"/>
        <v>26.786149003578732</v>
      </c>
      <c r="U64" s="7">
        <f t="shared" si="18"/>
        <v>34.96963830798763</v>
      </c>
      <c r="V64" s="23">
        <f t="shared" si="19"/>
        <v>8.4476806914016258</v>
      </c>
      <c r="W64" s="23">
        <f t="shared" si="20"/>
        <v>10.902727482724293</v>
      </c>
      <c r="X64" s="30">
        <f t="shared" si="21"/>
        <v>5.6317871276010845</v>
      </c>
      <c r="Y64" s="30">
        <f t="shared" si="22"/>
        <v>7.2684849884828626</v>
      </c>
      <c r="Z64" s="30">
        <f t="shared" si="23"/>
        <v>0.28158935638005422</v>
      </c>
      <c r="AA64" s="30">
        <f t="shared" si="24"/>
        <v>0.36342424942414314</v>
      </c>
      <c r="AB64" s="7">
        <f t="shared" si="25"/>
        <v>26.590036627232063</v>
      </c>
      <c r="AC64" s="7">
        <f t="shared" si="26"/>
        <v>34.773525931640961</v>
      </c>
      <c r="AD64" s="7"/>
      <c r="AG64" s="1">
        <v>9</v>
      </c>
      <c r="AH64" s="1">
        <v>61</v>
      </c>
      <c r="AI64" s="7">
        <v>4.37</v>
      </c>
      <c r="AJ64" s="7">
        <v>5.64</v>
      </c>
      <c r="BI64" s="1">
        <v>9</v>
      </c>
      <c r="BJ64" s="1">
        <v>61</v>
      </c>
      <c r="BK64" s="7">
        <v>4.37</v>
      </c>
      <c r="BL64" s="7">
        <v>5.64</v>
      </c>
    </row>
    <row r="65" spans="1:68" x14ac:dyDescent="0.2">
      <c r="A65" s="1">
        <v>9</v>
      </c>
      <c r="B65" s="1">
        <v>62</v>
      </c>
      <c r="C65" s="7">
        <f t="shared" si="27"/>
        <v>5.1749999999999998</v>
      </c>
      <c r="D65" s="7">
        <f t="shared" si="28"/>
        <v>6.6814999999999989</v>
      </c>
      <c r="E65" s="12">
        <v>0.35</v>
      </c>
      <c r="F65" s="12">
        <v>0.35</v>
      </c>
      <c r="G65" s="18">
        <f t="shared" si="4"/>
        <v>5.1749999999999998</v>
      </c>
      <c r="H65" s="18">
        <f t="shared" si="5"/>
        <v>6.6814999999999989</v>
      </c>
      <c r="I65" s="7">
        <f t="shared" si="6"/>
        <v>4.8250000000000002</v>
      </c>
      <c r="J65" s="7">
        <f t="shared" si="7"/>
        <v>6.3314999999999992</v>
      </c>
      <c r="K65" s="23">
        <f t="shared" si="8"/>
        <v>0</v>
      </c>
      <c r="L65" s="23">
        <f t="shared" si="9"/>
        <v>0</v>
      </c>
      <c r="M65" s="6">
        <f t="shared" si="10"/>
        <v>0.6515141765440412</v>
      </c>
      <c r="N65" s="7">
        <f t="shared" si="11"/>
        <v>29.535092165271017</v>
      </c>
      <c r="O65" s="7">
        <f t="shared" si="12"/>
        <v>38.13308566227213</v>
      </c>
      <c r="P65" s="7">
        <f t="shared" si="13"/>
        <v>28.536320932629003</v>
      </c>
      <c r="Q65" s="7">
        <f t="shared" si="14"/>
        <v>37.134314429630116</v>
      </c>
      <c r="R65" s="7">
        <f t="shared" si="15"/>
        <v>28.336566686100603</v>
      </c>
      <c r="S65" s="7">
        <f t="shared" si="16"/>
        <v>36.934560183101716</v>
      </c>
      <c r="T65" s="7">
        <f t="shared" si="17"/>
        <v>28.1368124395722</v>
      </c>
      <c r="U65" s="7">
        <f t="shared" si="18"/>
        <v>36.734805936573309</v>
      </c>
      <c r="V65" s="23">
        <f t="shared" si="19"/>
        <v>8.8605276495813055</v>
      </c>
      <c r="W65" s="23">
        <f t="shared" si="20"/>
        <v>11.439925698681639</v>
      </c>
      <c r="X65" s="30">
        <f t="shared" si="21"/>
        <v>5.9070184330542039</v>
      </c>
      <c r="Y65" s="30">
        <f t="shared" si="22"/>
        <v>7.6266171324544265</v>
      </c>
      <c r="Z65" s="30">
        <f t="shared" si="23"/>
        <v>0.29535092165271015</v>
      </c>
      <c r="AA65" s="30">
        <f t="shared" si="24"/>
        <v>0.38133085662272131</v>
      </c>
      <c r="AB65" s="7">
        <f t="shared" si="25"/>
        <v>27.937058193043796</v>
      </c>
      <c r="AC65" s="7">
        <f t="shared" si="26"/>
        <v>36.535051690044909</v>
      </c>
      <c r="AD65" s="7"/>
      <c r="AG65" s="1">
        <v>9</v>
      </c>
      <c r="AH65" s="1">
        <v>62</v>
      </c>
      <c r="AI65" s="7">
        <v>4.5</v>
      </c>
      <c r="AJ65" s="7">
        <v>5.81</v>
      </c>
      <c r="BI65" s="1">
        <v>9</v>
      </c>
      <c r="BJ65" s="1">
        <v>62</v>
      </c>
      <c r="BK65" s="7">
        <v>4.5</v>
      </c>
      <c r="BL65" s="7">
        <v>5.81</v>
      </c>
    </row>
    <row r="66" spans="1:68" x14ac:dyDescent="0.2">
      <c r="A66" s="1">
        <v>9</v>
      </c>
      <c r="B66" s="1">
        <v>63</v>
      </c>
      <c r="C66" s="7">
        <f t="shared" si="27"/>
        <v>5.3129999999999997</v>
      </c>
      <c r="D66" s="7">
        <f t="shared" si="28"/>
        <v>6.8769999999999998</v>
      </c>
      <c r="E66" s="12">
        <v>0.35</v>
      </c>
      <c r="F66" s="12">
        <v>0.35</v>
      </c>
      <c r="G66" s="18">
        <f t="shared" si="4"/>
        <v>5.3129999999999997</v>
      </c>
      <c r="H66" s="18">
        <f t="shared" si="5"/>
        <v>6.8769999999999998</v>
      </c>
      <c r="I66" s="7">
        <f t="shared" si="6"/>
        <v>4.9630000000000001</v>
      </c>
      <c r="J66" s="7">
        <f t="shared" si="7"/>
        <v>6.5270000000000001</v>
      </c>
      <c r="K66" s="23">
        <f t="shared" si="8"/>
        <v>0</v>
      </c>
      <c r="L66" s="23">
        <f t="shared" si="9"/>
        <v>0</v>
      </c>
      <c r="M66" s="6">
        <f t="shared" si="10"/>
        <v>0.66361300527037204</v>
      </c>
      <c r="N66" s="7">
        <f t="shared" si="11"/>
        <v>30.885796857733023</v>
      </c>
      <c r="O66" s="7">
        <f t="shared" si="12"/>
        <v>39.977719742260483</v>
      </c>
      <c r="P66" s="7">
        <f t="shared" si="13"/>
        <v>29.868478120653538</v>
      </c>
      <c r="Q66" s="7">
        <f t="shared" si="14"/>
        <v>38.960401005181012</v>
      </c>
      <c r="R66" s="7">
        <f t="shared" si="15"/>
        <v>29.665014373237643</v>
      </c>
      <c r="S66" s="7">
        <f t="shared" si="16"/>
        <v>38.756937257765117</v>
      </c>
      <c r="T66" s="7">
        <f t="shared" si="17"/>
        <v>29.461550625821744</v>
      </c>
      <c r="U66" s="7">
        <f t="shared" si="18"/>
        <v>38.553473510349221</v>
      </c>
      <c r="V66" s="23">
        <f t="shared" si="19"/>
        <v>9.265739057319907</v>
      </c>
      <c r="W66" s="23">
        <f t="shared" si="20"/>
        <v>11.993315922678145</v>
      </c>
      <c r="X66" s="30">
        <f t="shared" si="21"/>
        <v>6.1771593715466047</v>
      </c>
      <c r="Y66" s="30">
        <f t="shared" si="22"/>
        <v>7.9955439484520969</v>
      </c>
      <c r="Z66" s="30">
        <f t="shared" si="23"/>
        <v>0.30885796857733022</v>
      </c>
      <c r="AA66" s="30">
        <f t="shared" si="24"/>
        <v>0.39977719742260481</v>
      </c>
      <c r="AB66" s="7">
        <f t="shared" si="25"/>
        <v>29.258086878405848</v>
      </c>
      <c r="AC66" s="7">
        <f t="shared" si="26"/>
        <v>38.350009762933325</v>
      </c>
      <c r="AD66" s="7"/>
      <c r="AG66" s="1">
        <v>9</v>
      </c>
      <c r="AH66" s="1">
        <v>63</v>
      </c>
      <c r="AI66" s="7">
        <v>4.62</v>
      </c>
      <c r="AJ66" s="7">
        <v>5.98</v>
      </c>
      <c r="BI66" s="1">
        <v>9</v>
      </c>
      <c r="BJ66" s="1">
        <v>63</v>
      </c>
      <c r="BK66" s="7">
        <v>4.62</v>
      </c>
      <c r="BL66" s="7">
        <v>5.98</v>
      </c>
      <c r="BN66">
        <v>4.7300000000000004</v>
      </c>
      <c r="BO66">
        <v>6.22</v>
      </c>
      <c r="BP66">
        <v>3.39</v>
      </c>
    </row>
    <row r="67" spans="1:68" x14ac:dyDescent="0.2">
      <c r="A67" s="1">
        <v>10</v>
      </c>
      <c r="B67" s="1">
        <v>64</v>
      </c>
      <c r="C67" s="7">
        <f t="shared" si="27"/>
        <v>5.4624999999999995</v>
      </c>
      <c r="D67" s="7">
        <f t="shared" si="28"/>
        <v>7.0839999999999996</v>
      </c>
      <c r="E67" s="12">
        <v>0.35</v>
      </c>
      <c r="F67" s="12">
        <v>0.35</v>
      </c>
      <c r="G67" s="18">
        <f t="shared" si="4"/>
        <v>5.4624999999999995</v>
      </c>
      <c r="H67" s="18">
        <f t="shared" si="5"/>
        <v>7.0839999999999996</v>
      </c>
      <c r="I67" s="7">
        <f t="shared" si="6"/>
        <v>5.1124999999999998</v>
      </c>
      <c r="J67" s="7">
        <f t="shared" si="7"/>
        <v>6.734</v>
      </c>
      <c r="K67" s="23">
        <f t="shared" si="8"/>
        <v>0</v>
      </c>
      <c r="L67" s="23">
        <f t="shared" si="9"/>
        <v>0</v>
      </c>
      <c r="M67" s="6">
        <f t="shared" si="10"/>
        <v>0.6759365131546079</v>
      </c>
      <c r="N67" s="7">
        <f t="shared" si="11"/>
        <v>32.344576059217715</v>
      </c>
      <c r="O67" s="7">
        <f t="shared" si="12"/>
        <v>41.945808110480236</v>
      </c>
      <c r="P67" s="7">
        <f t="shared" si="13"/>
        <v>31.308365384551703</v>
      </c>
      <c r="Q67" s="7">
        <f t="shared" si="14"/>
        <v>40.909597435814234</v>
      </c>
      <c r="R67" s="7">
        <f t="shared" si="15"/>
        <v>31.101123249618503</v>
      </c>
      <c r="S67" s="7">
        <f t="shared" si="16"/>
        <v>40.702355300881031</v>
      </c>
      <c r="T67" s="7">
        <f t="shared" si="17"/>
        <v>30.8938811146853</v>
      </c>
      <c r="U67" s="7">
        <f t="shared" si="18"/>
        <v>40.495113165947828</v>
      </c>
      <c r="V67" s="23">
        <f t="shared" si="19"/>
        <v>9.7033728177653149</v>
      </c>
      <c r="W67" s="23">
        <f t="shared" si="20"/>
        <v>12.583742433144071</v>
      </c>
      <c r="X67" s="30">
        <f t="shared" si="21"/>
        <v>6.4689152118435436</v>
      </c>
      <c r="Y67" s="30">
        <f t="shared" si="22"/>
        <v>8.3891616220960472</v>
      </c>
      <c r="Z67" s="30">
        <f t="shared" si="23"/>
        <v>0.32344576059217717</v>
      </c>
      <c r="AA67" s="30">
        <f t="shared" si="24"/>
        <v>0.41945808110480237</v>
      </c>
      <c r="AB67" s="7">
        <f t="shared" si="25"/>
        <v>30.686638979752097</v>
      </c>
      <c r="AC67" s="7">
        <f t="shared" si="26"/>
        <v>40.287871031014625</v>
      </c>
      <c r="AD67" s="7"/>
      <c r="AG67" s="1">
        <v>10</v>
      </c>
      <c r="AH67" s="1">
        <v>64</v>
      </c>
      <c r="AI67" s="7">
        <v>4.75</v>
      </c>
      <c r="AJ67" s="7">
        <v>6.16</v>
      </c>
      <c r="BI67" s="1">
        <v>10</v>
      </c>
      <c r="BJ67" s="1">
        <v>64</v>
      </c>
      <c r="BK67" s="7">
        <v>4.75</v>
      </c>
      <c r="BL67" s="7">
        <v>6.16</v>
      </c>
    </row>
    <row r="68" spans="1:68" x14ac:dyDescent="0.2">
      <c r="A68" s="1">
        <v>10</v>
      </c>
      <c r="B68" s="1">
        <v>65</v>
      </c>
      <c r="C68" s="7">
        <f t="shared" ref="C68:C99" si="29">AI68*1.15</f>
        <v>5.6004999999999994</v>
      </c>
      <c r="D68" s="7">
        <f t="shared" ref="D68:D99" si="30">AJ68*1.15</f>
        <v>7.2794999999999996</v>
      </c>
      <c r="E68" s="12">
        <v>0.35</v>
      </c>
      <c r="F68" s="12">
        <v>0.35</v>
      </c>
      <c r="G68" s="18">
        <f t="shared" si="4"/>
        <v>5.6004999999999994</v>
      </c>
      <c r="H68" s="18">
        <f t="shared" si="5"/>
        <v>7.2794999999999996</v>
      </c>
      <c r="I68" s="7">
        <f t="shared" si="6"/>
        <v>5.2504999999999997</v>
      </c>
      <c r="J68" s="7">
        <f t="shared" si="7"/>
        <v>6.9295</v>
      </c>
      <c r="K68" s="23">
        <f t="shared" si="8"/>
        <v>0</v>
      </c>
      <c r="L68" s="23">
        <f t="shared" si="9"/>
        <v>0</v>
      </c>
      <c r="M68" s="6">
        <f t="shared" si="10"/>
        <v>0.68848887256129243</v>
      </c>
      <c r="N68" s="7">
        <f t="shared" si="11"/>
        <v>33.777525713628577</v>
      </c>
      <c r="O68" s="7">
        <f t="shared" si="12"/>
        <v>43.903847590814969</v>
      </c>
      <c r="P68" s="7">
        <f t="shared" si="13"/>
        <v>32.722072271992111</v>
      </c>
      <c r="Q68" s="7">
        <f t="shared" si="14"/>
        <v>42.848394149178503</v>
      </c>
      <c r="R68" s="7">
        <f t="shared" si="15"/>
        <v>32.510981583664822</v>
      </c>
      <c r="S68" s="7">
        <f t="shared" si="16"/>
        <v>42.637303460851214</v>
      </c>
      <c r="T68" s="7">
        <f t="shared" si="17"/>
        <v>32.299890895337526</v>
      </c>
      <c r="U68" s="7">
        <f t="shared" si="18"/>
        <v>42.426212772523918</v>
      </c>
      <c r="V68" s="23">
        <f t="shared" si="19"/>
        <v>10.133257714088574</v>
      </c>
      <c r="W68" s="23">
        <f t="shared" si="20"/>
        <v>13.17115427724449</v>
      </c>
      <c r="X68" s="30">
        <f t="shared" si="21"/>
        <v>6.755505142725716</v>
      </c>
      <c r="Y68" s="30">
        <f t="shared" si="22"/>
        <v>8.7807695181629946</v>
      </c>
      <c r="Z68" s="30">
        <f t="shared" si="23"/>
        <v>0.33777525713628576</v>
      </c>
      <c r="AA68" s="30">
        <f t="shared" si="24"/>
        <v>0.43903847590814971</v>
      </c>
      <c r="AB68" s="7">
        <f t="shared" si="25"/>
        <v>32.088800207010237</v>
      </c>
      <c r="AC68" s="7">
        <f t="shared" si="26"/>
        <v>42.215122084196629</v>
      </c>
      <c r="AD68" s="7"/>
      <c r="AG68" s="1">
        <v>10</v>
      </c>
      <c r="AH68" s="1">
        <v>65</v>
      </c>
      <c r="AI68" s="7">
        <v>4.87</v>
      </c>
      <c r="AJ68" s="7">
        <v>6.33</v>
      </c>
      <c r="BI68" s="1">
        <v>10</v>
      </c>
      <c r="BJ68" s="1">
        <v>65</v>
      </c>
      <c r="BK68" s="7">
        <v>4.87</v>
      </c>
      <c r="BL68" s="7">
        <v>6.33</v>
      </c>
    </row>
    <row r="69" spans="1:68" x14ac:dyDescent="0.2">
      <c r="A69" s="1">
        <v>10</v>
      </c>
      <c r="B69" s="1">
        <v>66</v>
      </c>
      <c r="C69" s="7">
        <f t="shared" si="29"/>
        <v>5.75</v>
      </c>
      <c r="D69" s="7">
        <f t="shared" si="30"/>
        <v>7.4864999999999995</v>
      </c>
      <c r="E69" s="12">
        <v>0.35</v>
      </c>
      <c r="F69" s="12">
        <v>0.35</v>
      </c>
      <c r="G69" s="18">
        <f t="shared" ref="G69:G115" si="31">IF(C69&lt;$H$1,C69,$H$1)</f>
        <v>5.75</v>
      </c>
      <c r="H69" s="18">
        <f t="shared" ref="H69:H132" si="32">IF(D69&lt;$H$1,D69,$H$1)</f>
        <v>7.4864999999999995</v>
      </c>
      <c r="I69" s="7">
        <f t="shared" ref="I69:I115" si="33">C69-E69</f>
        <v>5.4</v>
      </c>
      <c r="J69" s="7">
        <f t="shared" ref="J69:J132" si="34">D69-F69</f>
        <v>7.1364999999999998</v>
      </c>
      <c r="K69" s="23">
        <f t="shared" ref="K69:K115" si="35">C69-G69</f>
        <v>0</v>
      </c>
      <c r="L69" s="23">
        <f t="shared" ref="L69:L132" si="36">D69-H69</f>
        <v>0</v>
      </c>
      <c r="M69" s="6">
        <f t="shared" ref="M69:M130" si="37">0.2082*EXP(0.0184*B69)</f>
        <v>0.70127433333712652</v>
      </c>
      <c r="N69" s="7">
        <f t="shared" ref="N69:N115" si="38">(M69/1000)*C69*24*365</f>
        <v>35.323188170191067</v>
      </c>
      <c r="O69" s="7">
        <f t="shared" ref="O69:O132" si="39">(M69/1000)*D69*24*365</f>
        <v>45.990790997588768</v>
      </c>
      <c r="P69" s="7">
        <f t="shared" ref="P69:P115" si="40">$M69/1000*$I69*24*365+($M69/1000*$E69*24*365)*0.5</f>
        <v>34.248134617185251</v>
      </c>
      <c r="Q69" s="7">
        <f t="shared" ref="Q69:Q132" si="41">$M69/1000*$J69*24*365+($M69/1000*$F69*24*365)*0.5</f>
        <v>44.915737444582952</v>
      </c>
      <c r="R69" s="7">
        <f t="shared" ref="R69:R115" si="42">$M69/1000*$I69*24*365+($M69/1000*$E69*24*365)*0.4</f>
        <v>34.033123906584088</v>
      </c>
      <c r="S69" s="7">
        <f t="shared" ref="S69:S132" si="43">$M69/1000*$J69*24*365+($M69/1000*$F69*24*365)*0.4</f>
        <v>44.700726733981789</v>
      </c>
      <c r="T69" s="7">
        <f t="shared" ref="T69:T115" si="44">$M69/1000*$I69*24*365+($M69/1000*$E69*24*365)*0.3</f>
        <v>33.818113195982924</v>
      </c>
      <c r="U69" s="7">
        <f t="shared" ref="U69:U132" si="45">$M69/1000*$J69*24*365+($M69/1000*$F69*24*365)*0.3</f>
        <v>44.485716023380625</v>
      </c>
      <c r="V69" s="23">
        <f t="shared" ref="V69:V115" si="46">$M69/1000*$K69*24*365+($M69/1000*$G69*24*365)*0.3</f>
        <v>10.59695645105732</v>
      </c>
      <c r="W69" s="23">
        <f t="shared" ref="W69:W132" si="47">$M69/1000*$L69*24*365+($M69/1000*$H69*24*365)*0.3</f>
        <v>13.797237299276629</v>
      </c>
      <c r="X69" s="30">
        <f t="shared" ref="X69:X115" si="48">$M69/1000*$K69*24*365+($M69/1000*$G69*24*365)*0.2</f>
        <v>7.0646376340382133</v>
      </c>
      <c r="Y69" s="30">
        <f t="shared" ref="Y69:Y132" si="49">$M69/1000*$L69*24*365+($M69/1000*$H69*24*365)*0.2</f>
        <v>9.1981581995177546</v>
      </c>
      <c r="Z69" s="30">
        <f t="shared" ref="Z69:Z115" si="50">$M69/1000*$K69*24*365+($M69/1000*$G69*24*365)*0.01</f>
        <v>0.35323188170191067</v>
      </c>
      <c r="AA69" s="30">
        <f t="shared" ref="AA69:AA132" si="51">$M69/1000*$L69*24*365+($M69/1000*$H69*24*365)*0.01</f>
        <v>0.45990790997588771</v>
      </c>
      <c r="AB69" s="7">
        <f t="shared" ref="AB69:AB115" si="52">$M69/1000*$I69*24*365+($M69/1000*$E69*24*365)*0.2</f>
        <v>33.603102485381761</v>
      </c>
      <c r="AC69" s="7">
        <f t="shared" ref="AC69:AC132" si="53">$M69/1000*$J69*24*365+($M69/1000*$F69*24*365)*0.2</f>
        <v>44.270705312779462</v>
      </c>
      <c r="AD69" s="7"/>
      <c r="AG69" s="1">
        <v>10</v>
      </c>
      <c r="AH69" s="1">
        <v>66</v>
      </c>
      <c r="AI69" s="7">
        <v>5</v>
      </c>
      <c r="AJ69" s="7">
        <v>6.51</v>
      </c>
      <c r="BI69" s="1">
        <v>10</v>
      </c>
      <c r="BJ69" s="1">
        <v>66</v>
      </c>
      <c r="BK69" s="7">
        <v>5</v>
      </c>
      <c r="BL69" s="7">
        <v>6.51</v>
      </c>
    </row>
    <row r="70" spans="1:68" x14ac:dyDescent="0.2">
      <c r="A70" s="1">
        <v>10</v>
      </c>
      <c r="B70" s="1">
        <v>67</v>
      </c>
      <c r="C70" s="7">
        <f t="shared" si="29"/>
        <v>5.8994999999999997</v>
      </c>
      <c r="D70" s="7">
        <f t="shared" si="30"/>
        <v>7.6935000000000002</v>
      </c>
      <c r="E70" s="12">
        <v>0.35</v>
      </c>
      <c r="F70" s="12">
        <v>0.35</v>
      </c>
      <c r="G70" s="18">
        <f t="shared" si="31"/>
        <v>5.8994999999999997</v>
      </c>
      <c r="H70" s="18">
        <f t="shared" si="32"/>
        <v>7.6935000000000002</v>
      </c>
      <c r="I70" s="7">
        <f t="shared" si="33"/>
        <v>5.5495000000000001</v>
      </c>
      <c r="J70" s="7">
        <f t="shared" si="34"/>
        <v>7.3435000000000006</v>
      </c>
      <c r="K70" s="23">
        <f t="shared" si="35"/>
        <v>0</v>
      </c>
      <c r="L70" s="23">
        <f t="shared" si="36"/>
        <v>0</v>
      </c>
      <c r="M70" s="6">
        <f t="shared" si="37"/>
        <v>0.71429722424983755</v>
      </c>
      <c r="N70" s="7">
        <f t="shared" si="38"/>
        <v>36.914609116286393</v>
      </c>
      <c r="O70" s="7">
        <f t="shared" si="39"/>
        <v>48.140104286151264</v>
      </c>
      <c r="P70" s="7">
        <f t="shared" si="40"/>
        <v>35.819591471511387</v>
      </c>
      <c r="Q70" s="7">
        <f t="shared" si="41"/>
        <v>47.045086641376258</v>
      </c>
      <c r="R70" s="7">
        <f t="shared" si="42"/>
        <v>35.600587942556388</v>
      </c>
      <c r="S70" s="7">
        <f t="shared" si="43"/>
        <v>46.826083112421259</v>
      </c>
      <c r="T70" s="7">
        <f t="shared" si="44"/>
        <v>35.381584413601388</v>
      </c>
      <c r="U70" s="7">
        <f t="shared" si="45"/>
        <v>46.607079583466259</v>
      </c>
      <c r="V70" s="23">
        <f t="shared" si="46"/>
        <v>11.074382734885917</v>
      </c>
      <c r="W70" s="23">
        <f t="shared" si="47"/>
        <v>14.442031285845378</v>
      </c>
      <c r="X70" s="30">
        <f t="shared" si="48"/>
        <v>7.3829218232572789</v>
      </c>
      <c r="Y70" s="30">
        <f t="shared" si="49"/>
        <v>9.6280208572302541</v>
      </c>
      <c r="Z70" s="30">
        <f t="shared" si="50"/>
        <v>0.36914609116286395</v>
      </c>
      <c r="AA70" s="30">
        <f t="shared" si="51"/>
        <v>0.48140104286151264</v>
      </c>
      <c r="AB70" s="7">
        <f t="shared" si="52"/>
        <v>35.162580884646388</v>
      </c>
      <c r="AC70" s="7">
        <f t="shared" si="53"/>
        <v>46.388076054511259</v>
      </c>
      <c r="AD70" s="7"/>
      <c r="AG70" s="1">
        <v>10</v>
      </c>
      <c r="AH70" s="1">
        <v>67</v>
      </c>
      <c r="AI70" s="7">
        <v>5.13</v>
      </c>
      <c r="AJ70" s="7">
        <v>6.69</v>
      </c>
      <c r="BI70" s="1">
        <v>10</v>
      </c>
      <c r="BJ70" s="1">
        <v>67</v>
      </c>
      <c r="BK70" s="7">
        <v>5.13</v>
      </c>
      <c r="BL70" s="7">
        <v>6.69</v>
      </c>
    </row>
    <row r="71" spans="1:68" x14ac:dyDescent="0.2">
      <c r="A71" s="1">
        <v>10</v>
      </c>
      <c r="B71" s="1">
        <v>68</v>
      </c>
      <c r="C71" s="7">
        <f t="shared" si="29"/>
        <v>6.0374999999999996</v>
      </c>
      <c r="D71" s="7">
        <f t="shared" si="30"/>
        <v>7.9004999999999992</v>
      </c>
      <c r="E71" s="12">
        <v>0.35</v>
      </c>
      <c r="F71" s="12">
        <v>0.35</v>
      </c>
      <c r="G71" s="18">
        <f t="shared" si="31"/>
        <v>6.0374999999999996</v>
      </c>
      <c r="H71" s="18">
        <f t="shared" si="32"/>
        <v>7.9004999999999992</v>
      </c>
      <c r="I71" s="7">
        <f t="shared" si="33"/>
        <v>5.6875</v>
      </c>
      <c r="J71" s="7">
        <f t="shared" si="34"/>
        <v>7.5504999999999995</v>
      </c>
      <c r="K71" s="23">
        <f t="shared" si="35"/>
        <v>0</v>
      </c>
      <c r="L71" s="23">
        <f t="shared" si="36"/>
        <v>0</v>
      </c>
      <c r="M71" s="6">
        <f t="shared" si="37"/>
        <v>0.72756195445376759</v>
      </c>
      <c r="N71" s="7">
        <f t="shared" si="38"/>
        <v>38.479660428128085</v>
      </c>
      <c r="O71" s="7">
        <f t="shared" si="39"/>
        <v>50.35338421737903</v>
      </c>
      <c r="P71" s="7">
        <f t="shared" si="40"/>
        <v>37.364307951950465</v>
      </c>
      <c r="Q71" s="7">
        <f t="shared" si="41"/>
        <v>49.238031741201411</v>
      </c>
      <c r="R71" s="7">
        <f t="shared" si="42"/>
        <v>37.14123745671494</v>
      </c>
      <c r="S71" s="7">
        <f t="shared" si="43"/>
        <v>49.014961245965885</v>
      </c>
      <c r="T71" s="7">
        <f t="shared" si="44"/>
        <v>36.918166961479415</v>
      </c>
      <c r="U71" s="7">
        <f t="shared" si="45"/>
        <v>48.79189075073036</v>
      </c>
      <c r="V71" s="23">
        <f t="shared" si="46"/>
        <v>11.543898128438425</v>
      </c>
      <c r="W71" s="23">
        <f t="shared" si="47"/>
        <v>15.106015265213708</v>
      </c>
      <c r="X71" s="30">
        <f t="shared" si="48"/>
        <v>7.6959320856256177</v>
      </c>
      <c r="Y71" s="30">
        <f t="shared" si="49"/>
        <v>10.070676843475807</v>
      </c>
      <c r="Z71" s="30">
        <f t="shared" si="50"/>
        <v>0.38479660428128087</v>
      </c>
      <c r="AA71" s="30">
        <f t="shared" si="51"/>
        <v>0.50353384217379027</v>
      </c>
      <c r="AB71" s="7">
        <f t="shared" si="52"/>
        <v>36.695096466243889</v>
      </c>
      <c r="AC71" s="7">
        <f t="shared" si="53"/>
        <v>48.568820255494835</v>
      </c>
      <c r="AD71" s="7"/>
      <c r="AG71" s="1">
        <v>10</v>
      </c>
      <c r="AH71" s="1">
        <v>68</v>
      </c>
      <c r="AI71" s="7">
        <v>5.25</v>
      </c>
      <c r="AJ71" s="7">
        <v>6.87</v>
      </c>
      <c r="BI71" s="1">
        <v>10</v>
      </c>
      <c r="BJ71" s="1">
        <v>68</v>
      </c>
      <c r="BK71" s="7">
        <v>5.25</v>
      </c>
      <c r="BL71" s="7">
        <v>6.87</v>
      </c>
    </row>
    <row r="72" spans="1:68" x14ac:dyDescent="0.2">
      <c r="A72" s="1">
        <v>10</v>
      </c>
      <c r="B72" s="1">
        <v>69</v>
      </c>
      <c r="C72" s="7">
        <f t="shared" si="29"/>
        <v>6.1869999999999994</v>
      </c>
      <c r="D72" s="7">
        <f t="shared" si="30"/>
        <v>8.1074999999999999</v>
      </c>
      <c r="E72" s="12">
        <v>0.35</v>
      </c>
      <c r="F72" s="12">
        <v>0.35</v>
      </c>
      <c r="G72" s="18">
        <f t="shared" si="31"/>
        <v>6.1869999999999994</v>
      </c>
      <c r="H72" s="18">
        <f t="shared" si="32"/>
        <v>8.1074999999999999</v>
      </c>
      <c r="I72" s="7">
        <f t="shared" si="33"/>
        <v>5.8369999999999997</v>
      </c>
      <c r="J72" s="7">
        <f t="shared" si="34"/>
        <v>7.7575000000000003</v>
      </c>
      <c r="K72" s="23">
        <f t="shared" si="35"/>
        <v>0</v>
      </c>
      <c r="L72" s="23">
        <f t="shared" si="36"/>
        <v>0</v>
      </c>
      <c r="M72" s="6">
        <f t="shared" si="37"/>
        <v>0.74107301498267952</v>
      </c>
      <c r="N72" s="7">
        <f t="shared" si="38"/>
        <v>40.164764194793058</v>
      </c>
      <c r="O72" s="7">
        <f t="shared" si="39"/>
        <v>52.632265348195368</v>
      </c>
      <c r="P72" s="7">
        <f t="shared" si="40"/>
        <v>39.028699262824617</v>
      </c>
      <c r="Q72" s="7">
        <f t="shared" si="41"/>
        <v>51.496200416226934</v>
      </c>
      <c r="R72" s="7">
        <f t="shared" si="42"/>
        <v>38.801486276430929</v>
      </c>
      <c r="S72" s="7">
        <f t="shared" si="43"/>
        <v>51.268987429833246</v>
      </c>
      <c r="T72" s="7">
        <f t="shared" si="44"/>
        <v>38.57427329003724</v>
      </c>
      <c r="U72" s="7">
        <f t="shared" si="45"/>
        <v>51.041774443439557</v>
      </c>
      <c r="V72" s="23">
        <f t="shared" si="46"/>
        <v>12.049429258437916</v>
      </c>
      <c r="W72" s="23">
        <f t="shared" si="47"/>
        <v>15.789679604458609</v>
      </c>
      <c r="X72" s="30">
        <f t="shared" si="48"/>
        <v>8.0329528389586127</v>
      </c>
      <c r="Y72" s="30">
        <f t="shared" si="49"/>
        <v>10.526453069639075</v>
      </c>
      <c r="Z72" s="30">
        <f t="shared" si="50"/>
        <v>0.40164764194793057</v>
      </c>
      <c r="AA72" s="30">
        <f t="shared" si="51"/>
        <v>0.52632265348195373</v>
      </c>
      <c r="AB72" s="7">
        <f t="shared" si="52"/>
        <v>38.347060303643545</v>
      </c>
      <c r="AC72" s="7">
        <f t="shared" si="53"/>
        <v>50.814561457045862</v>
      </c>
      <c r="AD72" s="7"/>
      <c r="AG72" s="1">
        <v>10</v>
      </c>
      <c r="AH72" s="1">
        <v>69</v>
      </c>
      <c r="AI72" s="7">
        <v>5.38</v>
      </c>
      <c r="AJ72" s="7">
        <v>7.05</v>
      </c>
      <c r="BI72" s="1">
        <v>10</v>
      </c>
      <c r="BJ72" s="1">
        <v>69</v>
      </c>
      <c r="BK72" s="7">
        <v>5.38</v>
      </c>
      <c r="BL72" s="7">
        <v>7.05</v>
      </c>
    </row>
    <row r="73" spans="1:68" x14ac:dyDescent="0.2">
      <c r="A73" s="1">
        <v>10</v>
      </c>
      <c r="B73" s="1">
        <v>70</v>
      </c>
      <c r="C73" s="7">
        <f t="shared" si="29"/>
        <v>6.3364999999999991</v>
      </c>
      <c r="D73" s="7">
        <f t="shared" si="30"/>
        <v>8.3145000000000007</v>
      </c>
      <c r="E73" s="12">
        <v>0.35</v>
      </c>
      <c r="F73" s="12">
        <v>0.35</v>
      </c>
      <c r="G73" s="18">
        <f t="shared" si="31"/>
        <v>6.3364999999999991</v>
      </c>
      <c r="H73" s="18">
        <f t="shared" si="32"/>
        <v>8.3145000000000007</v>
      </c>
      <c r="I73" s="7">
        <f t="shared" si="33"/>
        <v>5.9864999999999995</v>
      </c>
      <c r="J73" s="7">
        <f t="shared" si="34"/>
        <v>7.964500000000001</v>
      </c>
      <c r="K73" s="23">
        <f t="shared" si="35"/>
        <v>0</v>
      </c>
      <c r="L73" s="23">
        <f t="shared" si="36"/>
        <v>0</v>
      </c>
      <c r="M73" s="6">
        <f t="shared" si="37"/>
        <v>0.75483498027028362</v>
      </c>
      <c r="N73" s="7">
        <f t="shared" si="38"/>
        <v>41.899183827748033</v>
      </c>
      <c r="O73" s="7">
        <f t="shared" si="39"/>
        <v>54.978420884685718</v>
      </c>
      <c r="P73" s="7">
        <f t="shared" si="40"/>
        <v>40.742021802993683</v>
      </c>
      <c r="Q73" s="7">
        <f t="shared" si="41"/>
        <v>53.821258859931369</v>
      </c>
      <c r="R73" s="7">
        <f t="shared" si="42"/>
        <v>40.510589398042818</v>
      </c>
      <c r="S73" s="7">
        <f t="shared" si="43"/>
        <v>53.589826454980503</v>
      </c>
      <c r="T73" s="7">
        <f t="shared" si="44"/>
        <v>40.279156993091945</v>
      </c>
      <c r="U73" s="7">
        <f t="shared" si="45"/>
        <v>53.358394050029631</v>
      </c>
      <c r="V73" s="23">
        <f t="shared" si="46"/>
        <v>12.569755148324409</v>
      </c>
      <c r="W73" s="23">
        <f t="shared" si="47"/>
        <v>16.493526265405716</v>
      </c>
      <c r="X73" s="30">
        <f t="shared" si="48"/>
        <v>8.3798367655496069</v>
      </c>
      <c r="Y73" s="30">
        <f t="shared" si="49"/>
        <v>10.995684176937145</v>
      </c>
      <c r="Z73" s="30">
        <f t="shared" si="50"/>
        <v>0.41899183827748032</v>
      </c>
      <c r="AA73" s="30">
        <f t="shared" si="51"/>
        <v>0.54978420884685719</v>
      </c>
      <c r="AB73" s="7">
        <f t="shared" si="52"/>
        <v>40.047724588141079</v>
      </c>
      <c r="AC73" s="7">
        <f t="shared" si="53"/>
        <v>53.126961645078765</v>
      </c>
      <c r="AD73" s="7"/>
      <c r="AG73" s="1">
        <v>10</v>
      </c>
      <c r="AH73" s="1">
        <v>70</v>
      </c>
      <c r="AI73" s="7">
        <v>5.51</v>
      </c>
      <c r="AJ73" s="7">
        <v>7.23</v>
      </c>
      <c r="BI73" s="1">
        <v>10</v>
      </c>
      <c r="BJ73" s="1">
        <v>70</v>
      </c>
      <c r="BK73" s="7">
        <v>5.51</v>
      </c>
      <c r="BL73" s="7">
        <v>7.23</v>
      </c>
      <c r="BN73">
        <v>5.68</v>
      </c>
      <c r="BO73">
        <v>7.57</v>
      </c>
      <c r="BP73">
        <v>3.99</v>
      </c>
    </row>
    <row r="74" spans="1:68" x14ac:dyDescent="0.2">
      <c r="A74" s="1">
        <v>11</v>
      </c>
      <c r="B74" s="1">
        <v>71</v>
      </c>
      <c r="C74" s="7">
        <f t="shared" si="29"/>
        <v>6.4859999999999989</v>
      </c>
      <c r="D74" s="7">
        <f t="shared" si="30"/>
        <v>8.5329999999999995</v>
      </c>
      <c r="E74" s="12">
        <v>0.35</v>
      </c>
      <c r="F74" s="12">
        <v>0.35</v>
      </c>
      <c r="G74" s="18">
        <f t="shared" si="31"/>
        <v>6.4859999999999989</v>
      </c>
      <c r="H74" s="18">
        <f t="shared" si="32"/>
        <v>8.5329999999999995</v>
      </c>
      <c r="I74" s="7">
        <f t="shared" si="33"/>
        <v>6.1359999999999992</v>
      </c>
      <c r="J74" s="7">
        <f t="shared" si="34"/>
        <v>8.1829999999999998</v>
      </c>
      <c r="K74" s="23">
        <f t="shared" si="35"/>
        <v>0</v>
      </c>
      <c r="L74" s="23">
        <f t="shared" si="36"/>
        <v>0</v>
      </c>
      <c r="M74" s="6">
        <f t="shared" si="37"/>
        <v>0.76885250969900243</v>
      </c>
      <c r="N74" s="7">
        <f t="shared" si="38"/>
        <v>43.684169830471703</v>
      </c>
      <c r="O74" s="7">
        <f t="shared" si="39"/>
        <v>57.471017755691499</v>
      </c>
      <c r="P74" s="7">
        <f t="shared" si="40"/>
        <v>42.505518933103133</v>
      </c>
      <c r="Q74" s="7">
        <f t="shared" si="41"/>
        <v>56.292366858322936</v>
      </c>
      <c r="R74" s="7">
        <f t="shared" si="42"/>
        <v>42.26978875362942</v>
      </c>
      <c r="S74" s="7">
        <f t="shared" si="43"/>
        <v>56.056636678849223</v>
      </c>
      <c r="T74" s="7">
        <f t="shared" si="44"/>
        <v>42.034058574155708</v>
      </c>
      <c r="U74" s="7">
        <f t="shared" si="45"/>
        <v>55.820906499375511</v>
      </c>
      <c r="V74" s="23">
        <f t="shared" si="46"/>
        <v>13.10525094914151</v>
      </c>
      <c r="W74" s="23">
        <f t="shared" si="47"/>
        <v>17.241305326707447</v>
      </c>
      <c r="X74" s="30">
        <f t="shared" si="48"/>
        <v>8.7368339660943413</v>
      </c>
      <c r="Y74" s="30">
        <f t="shared" si="49"/>
        <v>11.4942035511383</v>
      </c>
      <c r="Z74" s="30">
        <f t="shared" si="50"/>
        <v>0.43684169830471703</v>
      </c>
      <c r="AA74" s="30">
        <f t="shared" si="51"/>
        <v>0.574710177556915</v>
      </c>
      <c r="AB74" s="7">
        <f t="shared" si="52"/>
        <v>41.798328394681988</v>
      </c>
      <c r="AC74" s="7">
        <f t="shared" si="53"/>
        <v>55.585176319901791</v>
      </c>
      <c r="AD74" s="7"/>
      <c r="AG74" s="1">
        <v>11</v>
      </c>
      <c r="AH74" s="1">
        <v>71</v>
      </c>
      <c r="AI74" s="7">
        <v>5.64</v>
      </c>
      <c r="AJ74" s="7">
        <v>7.42</v>
      </c>
      <c r="BI74" s="1">
        <v>11</v>
      </c>
      <c r="BJ74" s="1">
        <v>71</v>
      </c>
      <c r="BK74" s="7">
        <v>5.64</v>
      </c>
      <c r="BL74" s="7">
        <v>7.42</v>
      </c>
    </row>
    <row r="75" spans="1:68" x14ac:dyDescent="0.2">
      <c r="A75" s="1">
        <v>11</v>
      </c>
      <c r="B75" s="1">
        <v>72</v>
      </c>
      <c r="C75" s="7">
        <f t="shared" si="29"/>
        <v>6.6354999999999986</v>
      </c>
      <c r="D75" s="7">
        <f t="shared" si="30"/>
        <v>8.7399999999999984</v>
      </c>
      <c r="E75" s="12">
        <v>0.35</v>
      </c>
      <c r="F75" s="12">
        <v>0.35</v>
      </c>
      <c r="G75" s="18">
        <f t="shared" si="31"/>
        <v>6.6354999999999986</v>
      </c>
      <c r="H75" s="18">
        <f t="shared" si="32"/>
        <v>8.7399999999999984</v>
      </c>
      <c r="I75" s="7">
        <f t="shared" si="33"/>
        <v>6.285499999999999</v>
      </c>
      <c r="J75" s="7">
        <f t="shared" si="34"/>
        <v>8.3899999999999988</v>
      </c>
      <c r="K75" s="23">
        <f t="shared" si="35"/>
        <v>0</v>
      </c>
      <c r="L75" s="23">
        <f t="shared" si="36"/>
        <v>0</v>
      </c>
      <c r="M75" s="6">
        <f t="shared" si="37"/>
        <v>0.78313034917749469</v>
      </c>
      <c r="N75" s="7">
        <f t="shared" si="38"/>
        <v>45.521002144033247</v>
      </c>
      <c r="O75" s="7">
        <f t="shared" si="39"/>
        <v>59.958339045867021</v>
      </c>
      <c r="P75" s="7">
        <f t="shared" si="40"/>
        <v>44.320463318744146</v>
      </c>
      <c r="Q75" s="7">
        <f t="shared" si="41"/>
        <v>58.757800220577913</v>
      </c>
      <c r="R75" s="7">
        <f t="shared" si="42"/>
        <v>44.080355553686324</v>
      </c>
      <c r="S75" s="7">
        <f t="shared" si="43"/>
        <v>58.517692455520091</v>
      </c>
      <c r="T75" s="7">
        <f t="shared" si="44"/>
        <v>43.840247788628503</v>
      </c>
      <c r="U75" s="7">
        <f t="shared" si="45"/>
        <v>58.27758469046227</v>
      </c>
      <c r="V75" s="23">
        <f t="shared" si="46"/>
        <v>13.656300643209974</v>
      </c>
      <c r="W75" s="23">
        <f t="shared" si="47"/>
        <v>17.987501713760107</v>
      </c>
      <c r="X75" s="30">
        <f t="shared" si="48"/>
        <v>9.1042004288066494</v>
      </c>
      <c r="Y75" s="30">
        <f t="shared" si="49"/>
        <v>11.991667809173405</v>
      </c>
      <c r="Z75" s="30">
        <f t="shared" si="50"/>
        <v>0.45521002144033246</v>
      </c>
      <c r="AA75" s="30">
        <f t="shared" si="51"/>
        <v>0.59958339045867026</v>
      </c>
      <c r="AB75" s="7">
        <f t="shared" si="52"/>
        <v>43.600140023570688</v>
      </c>
      <c r="AC75" s="7">
        <f t="shared" si="53"/>
        <v>58.037476925404448</v>
      </c>
      <c r="AD75" s="7"/>
      <c r="AG75" s="1">
        <v>11</v>
      </c>
      <c r="AH75" s="1">
        <v>72</v>
      </c>
      <c r="AI75" s="7">
        <v>5.77</v>
      </c>
      <c r="AJ75" s="7">
        <v>7.6</v>
      </c>
      <c r="BI75" s="1">
        <v>11</v>
      </c>
      <c r="BJ75" s="1">
        <v>72</v>
      </c>
      <c r="BK75" s="7">
        <v>5.77</v>
      </c>
      <c r="BL75" s="7">
        <v>7.6</v>
      </c>
    </row>
    <row r="76" spans="1:68" x14ac:dyDescent="0.2">
      <c r="A76" s="1">
        <v>11</v>
      </c>
      <c r="B76" s="1">
        <v>73</v>
      </c>
      <c r="C76" s="7">
        <f t="shared" si="29"/>
        <v>6.7850000000000001</v>
      </c>
      <c r="D76" s="7">
        <f t="shared" si="30"/>
        <v>8.958499999999999</v>
      </c>
      <c r="E76" s="12">
        <v>0.35</v>
      </c>
      <c r="F76" s="12">
        <v>0.35</v>
      </c>
      <c r="G76" s="18">
        <f t="shared" si="31"/>
        <v>6.7850000000000001</v>
      </c>
      <c r="H76" s="18">
        <f t="shared" si="32"/>
        <v>8.958499999999999</v>
      </c>
      <c r="I76" s="7">
        <f t="shared" si="33"/>
        <v>6.4350000000000005</v>
      </c>
      <c r="J76" s="7">
        <f t="shared" si="34"/>
        <v>8.6084999999999994</v>
      </c>
      <c r="K76" s="23">
        <f t="shared" si="35"/>
        <v>0</v>
      </c>
      <c r="L76" s="23">
        <f t="shared" si="36"/>
        <v>0</v>
      </c>
      <c r="M76" s="6">
        <f t="shared" si="37"/>
        <v>0.79767333274747643</v>
      </c>
      <c r="N76" s="7">
        <f t="shared" si="38"/>
        <v>47.410990809178656</v>
      </c>
      <c r="O76" s="7">
        <f t="shared" si="39"/>
        <v>62.598579390424021</v>
      </c>
      <c r="P76" s="7">
        <f t="shared" si="40"/>
        <v>46.188157590076777</v>
      </c>
      <c r="Q76" s="7">
        <f t="shared" si="41"/>
        <v>61.375746171322128</v>
      </c>
      <c r="R76" s="7">
        <f t="shared" si="42"/>
        <v>45.9435909462564</v>
      </c>
      <c r="S76" s="7">
        <f t="shared" si="43"/>
        <v>61.13117952750175</v>
      </c>
      <c r="T76" s="7">
        <f t="shared" si="44"/>
        <v>45.69902430243603</v>
      </c>
      <c r="U76" s="7">
        <f t="shared" si="45"/>
        <v>60.88661288368138</v>
      </c>
      <c r="V76" s="23">
        <f t="shared" si="46"/>
        <v>14.223297242753597</v>
      </c>
      <c r="W76" s="23">
        <f t="shared" si="47"/>
        <v>18.779573817127204</v>
      </c>
      <c r="X76" s="30">
        <f t="shared" si="48"/>
        <v>9.4821981618357309</v>
      </c>
      <c r="Y76" s="30">
        <f t="shared" si="49"/>
        <v>12.519715878084805</v>
      </c>
      <c r="Z76" s="30">
        <f t="shared" si="50"/>
        <v>0.47410990809178655</v>
      </c>
      <c r="AA76" s="30">
        <f t="shared" si="51"/>
        <v>0.62598579390424025</v>
      </c>
      <c r="AB76" s="7">
        <f t="shared" si="52"/>
        <v>45.454457658615652</v>
      </c>
      <c r="AC76" s="7">
        <f t="shared" si="53"/>
        <v>60.642046239861003</v>
      </c>
      <c r="AD76" s="7"/>
      <c r="AG76" s="1">
        <v>11</v>
      </c>
      <c r="AH76" s="1">
        <v>73</v>
      </c>
      <c r="AI76" s="7">
        <v>5.9</v>
      </c>
      <c r="AJ76" s="7">
        <v>7.79</v>
      </c>
      <c r="BI76" s="1">
        <v>11</v>
      </c>
      <c r="BJ76" s="1">
        <v>73</v>
      </c>
      <c r="BK76" s="7">
        <v>5.9</v>
      </c>
      <c r="BL76" s="7">
        <v>7.79</v>
      </c>
    </row>
    <row r="77" spans="1:68" x14ac:dyDescent="0.2">
      <c r="A77" s="1">
        <v>11</v>
      </c>
      <c r="B77" s="1">
        <v>74</v>
      </c>
      <c r="C77" s="7">
        <f t="shared" si="29"/>
        <v>6.9344999999999999</v>
      </c>
      <c r="D77" s="7">
        <f t="shared" si="30"/>
        <v>9.1654999999999998</v>
      </c>
      <c r="E77" s="12">
        <v>0.35</v>
      </c>
      <c r="F77" s="12">
        <v>0.35</v>
      </c>
      <c r="G77" s="18">
        <f t="shared" si="31"/>
        <v>6.9344999999999999</v>
      </c>
      <c r="H77" s="18">
        <f t="shared" si="32"/>
        <v>9.1654999999999998</v>
      </c>
      <c r="I77" s="7">
        <f t="shared" si="33"/>
        <v>6.5845000000000002</v>
      </c>
      <c r="J77" s="7">
        <f t="shared" si="34"/>
        <v>8.8155000000000001</v>
      </c>
      <c r="K77" s="23">
        <f t="shared" si="35"/>
        <v>0</v>
      </c>
      <c r="L77" s="23">
        <f t="shared" si="36"/>
        <v>0</v>
      </c>
      <c r="M77" s="6">
        <f t="shared" si="37"/>
        <v>0.81248638422038</v>
      </c>
      <c r="N77" s="7">
        <f t="shared" si="38"/>
        <v>49.355476642855734</v>
      </c>
      <c r="O77" s="7">
        <f t="shared" si="39"/>
        <v>65.23435304204979</v>
      </c>
      <c r="P77" s="7">
        <f t="shared" si="40"/>
        <v>48.109935015845885</v>
      </c>
      <c r="Q77" s="7">
        <f t="shared" si="41"/>
        <v>63.988811415039933</v>
      </c>
      <c r="R77" s="7">
        <f t="shared" si="42"/>
        <v>47.860826690443915</v>
      </c>
      <c r="S77" s="7">
        <f t="shared" si="43"/>
        <v>63.739703089637963</v>
      </c>
      <c r="T77" s="7">
        <f t="shared" si="44"/>
        <v>47.611718365041945</v>
      </c>
      <c r="U77" s="7">
        <f t="shared" si="45"/>
        <v>63.490594764235993</v>
      </c>
      <c r="V77" s="23">
        <f t="shared" si="46"/>
        <v>14.80664299285672</v>
      </c>
      <c r="W77" s="23">
        <f t="shared" si="47"/>
        <v>19.570305912614938</v>
      </c>
      <c r="X77" s="30">
        <f t="shared" si="48"/>
        <v>9.8710953285711476</v>
      </c>
      <c r="Y77" s="30">
        <f t="shared" si="49"/>
        <v>13.046870608409959</v>
      </c>
      <c r="Z77" s="30">
        <f t="shared" si="50"/>
        <v>0.49355476642855733</v>
      </c>
      <c r="AA77" s="30">
        <f t="shared" si="51"/>
        <v>0.65234353042049786</v>
      </c>
      <c r="AB77" s="7">
        <f t="shared" si="52"/>
        <v>47.362610039639982</v>
      </c>
      <c r="AC77" s="7">
        <f t="shared" si="53"/>
        <v>63.241486438834031</v>
      </c>
      <c r="AD77" s="7"/>
      <c r="AG77" s="1">
        <v>11</v>
      </c>
      <c r="AH77" s="1">
        <v>74</v>
      </c>
      <c r="AI77" s="7">
        <v>6.03</v>
      </c>
      <c r="AJ77" s="7">
        <v>7.97</v>
      </c>
      <c r="BI77" s="1">
        <v>11</v>
      </c>
      <c r="BJ77" s="1">
        <v>74</v>
      </c>
      <c r="BK77" s="7">
        <v>6.03</v>
      </c>
      <c r="BL77" s="7">
        <v>7.97</v>
      </c>
    </row>
    <row r="78" spans="1:68" x14ac:dyDescent="0.2">
      <c r="A78" s="1">
        <v>11</v>
      </c>
      <c r="B78" s="1">
        <v>75</v>
      </c>
      <c r="C78" s="7">
        <f t="shared" si="29"/>
        <v>7.0839999999999996</v>
      </c>
      <c r="D78" s="7">
        <f t="shared" si="30"/>
        <v>9.3839999999999986</v>
      </c>
      <c r="E78" s="12">
        <v>0.35</v>
      </c>
      <c r="F78" s="12">
        <v>0.35</v>
      </c>
      <c r="G78" s="18">
        <f t="shared" si="31"/>
        <v>7.0839999999999996</v>
      </c>
      <c r="H78" s="18">
        <f t="shared" si="32"/>
        <v>9.3839999999999986</v>
      </c>
      <c r="I78" s="7">
        <f t="shared" si="33"/>
        <v>6.734</v>
      </c>
      <c r="J78" s="7">
        <f t="shared" si="34"/>
        <v>9.0339999999999989</v>
      </c>
      <c r="K78" s="23">
        <f t="shared" si="35"/>
        <v>0</v>
      </c>
      <c r="L78" s="23">
        <f t="shared" si="36"/>
        <v>0</v>
      </c>
      <c r="M78" s="6">
        <f t="shared" si="37"/>
        <v>0.82757451884440647</v>
      </c>
      <c r="N78" s="7">
        <f t="shared" si="38"/>
        <v>51.355831929485461</v>
      </c>
      <c r="O78" s="7">
        <f t="shared" si="39"/>
        <v>68.029803335162555</v>
      </c>
      <c r="P78" s="7">
        <f t="shared" si="40"/>
        <v>50.087160192096995</v>
      </c>
      <c r="Q78" s="7">
        <f t="shared" si="41"/>
        <v>66.761131597774082</v>
      </c>
      <c r="R78" s="7">
        <f t="shared" si="42"/>
        <v>49.833425844619299</v>
      </c>
      <c r="S78" s="7">
        <f t="shared" si="43"/>
        <v>66.507397250296393</v>
      </c>
      <c r="T78" s="7">
        <f t="shared" si="44"/>
        <v>49.57969149714161</v>
      </c>
      <c r="U78" s="7">
        <f t="shared" si="45"/>
        <v>66.253662902818689</v>
      </c>
      <c r="V78" s="23">
        <f t="shared" si="46"/>
        <v>15.406749578845638</v>
      </c>
      <c r="W78" s="23">
        <f t="shared" si="47"/>
        <v>20.408941000548765</v>
      </c>
      <c r="X78" s="30">
        <f t="shared" si="48"/>
        <v>10.271166385897093</v>
      </c>
      <c r="Y78" s="30">
        <f t="shared" si="49"/>
        <v>13.605960667032512</v>
      </c>
      <c r="Z78" s="30">
        <f t="shared" si="50"/>
        <v>0.51355831929485463</v>
      </c>
      <c r="AA78" s="30">
        <f t="shared" si="51"/>
        <v>0.68029803335162553</v>
      </c>
      <c r="AB78" s="7">
        <f t="shared" si="52"/>
        <v>49.325957149663914</v>
      </c>
      <c r="AC78" s="7">
        <f t="shared" si="53"/>
        <v>65.999928555341</v>
      </c>
      <c r="AD78" s="7"/>
      <c r="AG78" s="1">
        <v>11</v>
      </c>
      <c r="AH78" s="1">
        <v>75</v>
      </c>
      <c r="AI78" s="7">
        <v>6.16</v>
      </c>
      <c r="AJ78" s="7">
        <v>8.16</v>
      </c>
      <c r="BI78" s="1">
        <v>11</v>
      </c>
      <c r="BJ78" s="1">
        <v>75</v>
      </c>
      <c r="BK78" s="7">
        <v>6.16</v>
      </c>
      <c r="BL78" s="7">
        <v>8.16</v>
      </c>
    </row>
    <row r="79" spans="1:68" x14ac:dyDescent="0.2">
      <c r="A79" s="1">
        <v>11</v>
      </c>
      <c r="B79" s="1">
        <v>76</v>
      </c>
      <c r="C79" s="7">
        <f t="shared" si="29"/>
        <v>7.2334999999999994</v>
      </c>
      <c r="D79" s="7">
        <f t="shared" si="30"/>
        <v>9.6024999999999991</v>
      </c>
      <c r="E79" s="12">
        <v>0.35</v>
      </c>
      <c r="F79" s="12">
        <v>0.35</v>
      </c>
      <c r="G79" s="18">
        <f t="shared" si="31"/>
        <v>7.2334999999999994</v>
      </c>
      <c r="H79" s="18">
        <f t="shared" si="32"/>
        <v>9.6024999999999991</v>
      </c>
      <c r="I79" s="7">
        <f t="shared" si="33"/>
        <v>6.8834999999999997</v>
      </c>
      <c r="J79" s="7">
        <f t="shared" si="34"/>
        <v>9.2524999999999995</v>
      </c>
      <c r="K79" s="23">
        <f t="shared" si="35"/>
        <v>0</v>
      </c>
      <c r="L79" s="23">
        <f t="shared" si="36"/>
        <v>0</v>
      </c>
      <c r="M79" s="6">
        <f t="shared" si="37"/>
        <v>0.84294284500253636</v>
      </c>
      <c r="N79" s="7">
        <f t="shared" si="38"/>
        <v>53.413461127294411</v>
      </c>
      <c r="O79" s="7">
        <f t="shared" si="39"/>
        <v>70.906581941638848</v>
      </c>
      <c r="P79" s="7">
        <f t="shared" si="40"/>
        <v>52.121229745905524</v>
      </c>
      <c r="Q79" s="7">
        <f t="shared" si="41"/>
        <v>69.61435056024996</v>
      </c>
      <c r="R79" s="7">
        <f t="shared" si="42"/>
        <v>51.862783469627743</v>
      </c>
      <c r="S79" s="7">
        <f t="shared" si="43"/>
        <v>69.35590428397218</v>
      </c>
      <c r="T79" s="7">
        <f t="shared" si="44"/>
        <v>51.60433719334997</v>
      </c>
      <c r="U79" s="7">
        <f t="shared" si="45"/>
        <v>69.097458007694399</v>
      </c>
      <c r="V79" s="23">
        <f t="shared" si="46"/>
        <v>16.024038338188323</v>
      </c>
      <c r="W79" s="23">
        <f t="shared" si="47"/>
        <v>21.271974582491655</v>
      </c>
      <c r="X79" s="30">
        <f t="shared" si="48"/>
        <v>10.682692225458883</v>
      </c>
      <c r="Y79" s="30">
        <f t="shared" si="49"/>
        <v>14.181316388327771</v>
      </c>
      <c r="Z79" s="30">
        <f t="shared" si="50"/>
        <v>0.53413461127294415</v>
      </c>
      <c r="AA79" s="30">
        <f t="shared" si="51"/>
        <v>0.70906581941638847</v>
      </c>
      <c r="AB79" s="7">
        <f t="shared" si="52"/>
        <v>51.34589091707219</v>
      </c>
      <c r="AC79" s="7">
        <f t="shared" si="53"/>
        <v>68.839011731416633</v>
      </c>
      <c r="AD79" s="7"/>
      <c r="AG79" s="1">
        <v>11</v>
      </c>
      <c r="AH79" s="1">
        <v>76</v>
      </c>
      <c r="AI79" s="7">
        <v>6.29</v>
      </c>
      <c r="AJ79" s="7">
        <v>8.35</v>
      </c>
      <c r="BI79" s="1">
        <v>11</v>
      </c>
      <c r="BJ79" s="1">
        <v>76</v>
      </c>
      <c r="BK79" s="7">
        <v>6.29</v>
      </c>
      <c r="BL79" s="7">
        <v>8.35</v>
      </c>
    </row>
    <row r="80" spans="1:68" x14ac:dyDescent="0.2">
      <c r="A80" s="1">
        <v>11</v>
      </c>
      <c r="B80" s="1">
        <v>77</v>
      </c>
      <c r="C80" s="7">
        <f t="shared" si="29"/>
        <v>7.3829999999999991</v>
      </c>
      <c r="D80" s="7">
        <f t="shared" si="30"/>
        <v>9.820999999999998</v>
      </c>
      <c r="E80" s="12">
        <v>0.35</v>
      </c>
      <c r="F80" s="12">
        <v>0.35</v>
      </c>
      <c r="G80" s="18">
        <f t="shared" si="31"/>
        <v>7.3829999999999991</v>
      </c>
      <c r="H80" s="18">
        <f t="shared" si="32"/>
        <v>9.820999999999998</v>
      </c>
      <c r="I80" s="7">
        <f t="shared" si="33"/>
        <v>7.0329999999999995</v>
      </c>
      <c r="J80" s="7">
        <f t="shared" si="34"/>
        <v>9.4709999999999983</v>
      </c>
      <c r="K80" s="23">
        <f t="shared" si="35"/>
        <v>0</v>
      </c>
      <c r="L80" s="23">
        <f t="shared" si="36"/>
        <v>0</v>
      </c>
      <c r="M80" s="6">
        <f t="shared" si="37"/>
        <v>0.8585965659420719</v>
      </c>
      <c r="N80" s="7">
        <f t="shared" si="38"/>
        <v>55.529801590028768</v>
      </c>
      <c r="O80" s="7">
        <f t="shared" si="39"/>
        <v>73.866745417265676</v>
      </c>
      <c r="P80" s="7">
        <f t="shared" si="40"/>
        <v>54.213573054439586</v>
      </c>
      <c r="Q80" s="7">
        <f t="shared" si="41"/>
        <v>72.550516881676472</v>
      </c>
      <c r="R80" s="7">
        <f t="shared" si="42"/>
        <v>53.950327347321746</v>
      </c>
      <c r="S80" s="7">
        <f t="shared" si="43"/>
        <v>72.28727117455864</v>
      </c>
      <c r="T80" s="7">
        <f t="shared" si="44"/>
        <v>53.687081640203907</v>
      </c>
      <c r="U80" s="7">
        <f t="shared" si="45"/>
        <v>72.024025467440794</v>
      </c>
      <c r="V80" s="23">
        <f t="shared" si="46"/>
        <v>16.658940477008631</v>
      </c>
      <c r="W80" s="23">
        <f t="shared" si="47"/>
        <v>22.160023625179701</v>
      </c>
      <c r="X80" s="30">
        <f t="shared" si="48"/>
        <v>11.105960318005755</v>
      </c>
      <c r="Y80" s="30">
        <f t="shared" si="49"/>
        <v>14.773349083453136</v>
      </c>
      <c r="Z80" s="30">
        <f t="shared" si="50"/>
        <v>0.55529801590028771</v>
      </c>
      <c r="AA80" s="30">
        <f t="shared" si="51"/>
        <v>0.73866745417265678</v>
      </c>
      <c r="AB80" s="7">
        <f t="shared" si="52"/>
        <v>53.423835933086067</v>
      </c>
      <c r="AC80" s="7">
        <f t="shared" si="53"/>
        <v>71.760779760322961</v>
      </c>
      <c r="AD80" s="7"/>
      <c r="AG80" s="1">
        <v>11</v>
      </c>
      <c r="AH80" s="1">
        <v>77</v>
      </c>
      <c r="AI80" s="7">
        <v>6.42</v>
      </c>
      <c r="AJ80" s="7">
        <v>8.5399999999999991</v>
      </c>
      <c r="BI80" s="1">
        <v>11</v>
      </c>
      <c r="BJ80" s="1">
        <v>77</v>
      </c>
      <c r="BK80" s="7">
        <v>6.42</v>
      </c>
      <c r="BL80" s="7">
        <v>8.5399999999999991</v>
      </c>
      <c r="BN80">
        <v>6.64</v>
      </c>
      <c r="BO80">
        <v>8.9600000000000009</v>
      </c>
      <c r="BP80">
        <v>4.5999999999999996</v>
      </c>
    </row>
    <row r="81" spans="1:68" x14ac:dyDescent="0.2">
      <c r="A81" s="1">
        <v>12</v>
      </c>
      <c r="B81" s="1">
        <v>78</v>
      </c>
      <c r="C81" s="7">
        <f t="shared" si="29"/>
        <v>7.5324999999999989</v>
      </c>
      <c r="D81" s="7">
        <f t="shared" si="30"/>
        <v>10.0395</v>
      </c>
      <c r="E81" s="12">
        <v>0.35</v>
      </c>
      <c r="F81" s="12">
        <v>0.35</v>
      </c>
      <c r="G81" s="18">
        <f t="shared" si="31"/>
        <v>7.5324999999999989</v>
      </c>
      <c r="H81" s="18">
        <f t="shared" si="32"/>
        <v>10.0395</v>
      </c>
      <c r="I81" s="7">
        <f t="shared" si="33"/>
        <v>7.1824999999999992</v>
      </c>
      <c r="J81" s="7">
        <f t="shared" si="34"/>
        <v>9.6895000000000007</v>
      </c>
      <c r="K81" s="23">
        <f t="shared" si="35"/>
        <v>0</v>
      </c>
      <c r="L81" s="23">
        <f t="shared" si="36"/>
        <v>0</v>
      </c>
      <c r="M81" s="6">
        <f t="shared" si="37"/>
        <v>0.87454098153629933</v>
      </c>
      <c r="N81" s="7">
        <f t="shared" si="38"/>
        <v>57.706324304378242</v>
      </c>
      <c r="O81" s="7">
        <f t="shared" si="39"/>
        <v>76.91239865301101</v>
      </c>
      <c r="P81" s="7">
        <f t="shared" si="40"/>
        <v>56.365652979683091</v>
      </c>
      <c r="Q81" s="7">
        <f t="shared" si="41"/>
        <v>75.571727328315873</v>
      </c>
      <c r="R81" s="7">
        <f t="shared" si="42"/>
        <v>56.097518714744062</v>
      </c>
      <c r="S81" s="7">
        <f t="shared" si="43"/>
        <v>75.303593063376837</v>
      </c>
      <c r="T81" s="7">
        <f t="shared" si="44"/>
        <v>55.829384449805033</v>
      </c>
      <c r="U81" s="7">
        <f t="shared" si="45"/>
        <v>75.035458798437816</v>
      </c>
      <c r="V81" s="23">
        <f t="shared" si="46"/>
        <v>17.311897291313471</v>
      </c>
      <c r="W81" s="23">
        <f t="shared" si="47"/>
        <v>23.073719595903302</v>
      </c>
      <c r="X81" s="30">
        <f t="shared" si="48"/>
        <v>11.54126486087565</v>
      </c>
      <c r="Y81" s="30">
        <f t="shared" si="49"/>
        <v>15.382479730602203</v>
      </c>
      <c r="Z81" s="30">
        <f t="shared" si="50"/>
        <v>0.57706324304378243</v>
      </c>
      <c r="AA81" s="30">
        <f t="shared" si="51"/>
        <v>0.76912398653011016</v>
      </c>
      <c r="AB81" s="7">
        <f t="shared" si="52"/>
        <v>55.561250184866005</v>
      </c>
      <c r="AC81" s="7">
        <f t="shared" si="53"/>
        <v>74.76732453349878</v>
      </c>
      <c r="AD81" s="7"/>
      <c r="AG81" s="1">
        <v>12</v>
      </c>
      <c r="AH81" s="1">
        <v>78</v>
      </c>
      <c r="AI81" s="7">
        <v>6.55</v>
      </c>
      <c r="AJ81" s="7">
        <v>8.73</v>
      </c>
      <c r="BI81" s="1">
        <v>12</v>
      </c>
      <c r="BJ81" s="1">
        <v>78</v>
      </c>
      <c r="BK81" s="7">
        <v>6.55</v>
      </c>
      <c r="BL81" s="7">
        <v>8.73</v>
      </c>
    </row>
    <row r="82" spans="1:68" x14ac:dyDescent="0.2">
      <c r="A82" s="1">
        <v>12</v>
      </c>
      <c r="B82" s="1">
        <v>79</v>
      </c>
      <c r="C82" s="7">
        <f t="shared" si="29"/>
        <v>7.6819999999999995</v>
      </c>
      <c r="D82" s="7">
        <f t="shared" si="30"/>
        <v>10.257999999999999</v>
      </c>
      <c r="E82" s="12">
        <v>0.35</v>
      </c>
      <c r="F82" s="12">
        <v>0.35</v>
      </c>
      <c r="G82" s="18">
        <f t="shared" si="31"/>
        <v>7.6819999999999995</v>
      </c>
      <c r="H82" s="18">
        <f t="shared" si="32"/>
        <v>10.257999999999999</v>
      </c>
      <c r="I82" s="7">
        <f t="shared" si="33"/>
        <v>7.3319999999999999</v>
      </c>
      <c r="J82" s="7">
        <f t="shared" si="34"/>
        <v>9.9079999999999995</v>
      </c>
      <c r="K82" s="23">
        <f t="shared" si="35"/>
        <v>0</v>
      </c>
      <c r="L82" s="23">
        <f t="shared" si="36"/>
        <v>0</v>
      </c>
      <c r="M82" s="6">
        <f t="shared" si="37"/>
        <v>0.89078149007886331</v>
      </c>
      <c r="N82" s="7">
        <f t="shared" si="38"/>
        <v>59.944534643443852</v>
      </c>
      <c r="O82" s="7">
        <f t="shared" si="39"/>
        <v>80.045695961005862</v>
      </c>
      <c r="P82" s="7">
        <f t="shared" si="40"/>
        <v>58.578966619152958</v>
      </c>
      <c r="Q82" s="7">
        <f t="shared" si="41"/>
        <v>78.680127936714968</v>
      </c>
      <c r="R82" s="7">
        <f t="shared" si="42"/>
        <v>58.305853014294783</v>
      </c>
      <c r="S82" s="7">
        <f t="shared" si="43"/>
        <v>78.407014331856786</v>
      </c>
      <c r="T82" s="7">
        <f t="shared" si="44"/>
        <v>58.032739409436601</v>
      </c>
      <c r="U82" s="7">
        <f t="shared" si="45"/>
        <v>78.133900726998618</v>
      </c>
      <c r="V82" s="23">
        <f t="shared" si="46"/>
        <v>17.983360393033156</v>
      </c>
      <c r="W82" s="23">
        <f t="shared" si="47"/>
        <v>24.013708788301759</v>
      </c>
      <c r="X82" s="30">
        <f t="shared" si="48"/>
        <v>11.98890692868877</v>
      </c>
      <c r="Y82" s="30">
        <f t="shared" si="49"/>
        <v>16.009139192201172</v>
      </c>
      <c r="Z82" s="30">
        <f t="shared" si="50"/>
        <v>0.59944534643443859</v>
      </c>
      <c r="AA82" s="30">
        <f t="shared" si="51"/>
        <v>0.80045695961005858</v>
      </c>
      <c r="AB82" s="7">
        <f t="shared" si="52"/>
        <v>57.75962580457842</v>
      </c>
      <c r="AC82" s="7">
        <f t="shared" si="53"/>
        <v>77.860787122140437</v>
      </c>
      <c r="AD82" s="7"/>
      <c r="AG82" s="1">
        <v>12</v>
      </c>
      <c r="AH82" s="1">
        <v>79</v>
      </c>
      <c r="AI82" s="7">
        <v>6.68</v>
      </c>
      <c r="AJ82" s="7">
        <v>8.92</v>
      </c>
      <c r="BI82" s="1">
        <v>12</v>
      </c>
      <c r="BJ82" s="1">
        <v>79</v>
      </c>
      <c r="BK82" s="7">
        <v>6.68</v>
      </c>
      <c r="BL82" s="7">
        <v>8.92</v>
      </c>
    </row>
    <row r="83" spans="1:68" x14ac:dyDescent="0.2">
      <c r="A83" s="1">
        <v>12</v>
      </c>
      <c r="B83" s="1">
        <v>80</v>
      </c>
      <c r="C83" s="7">
        <f t="shared" si="29"/>
        <v>7.8314999999999992</v>
      </c>
      <c r="D83" s="7">
        <f t="shared" si="30"/>
        <v>10.476499999999998</v>
      </c>
      <c r="E83" s="12">
        <v>0.35</v>
      </c>
      <c r="F83" s="12">
        <v>0.35</v>
      </c>
      <c r="G83" s="18">
        <f t="shared" si="31"/>
        <v>7.8314999999999992</v>
      </c>
      <c r="H83" s="18">
        <f t="shared" si="32"/>
        <v>10.476499999999998</v>
      </c>
      <c r="I83" s="7">
        <f t="shared" si="33"/>
        <v>7.4814999999999996</v>
      </c>
      <c r="J83" s="7">
        <f t="shared" si="34"/>
        <v>10.126499999999998</v>
      </c>
      <c r="K83" s="23">
        <f t="shared" si="35"/>
        <v>0</v>
      </c>
      <c r="L83" s="23">
        <f t="shared" si="36"/>
        <v>0</v>
      </c>
      <c r="M83" s="6">
        <f t="shared" si="37"/>
        <v>0.90732359011146546</v>
      </c>
      <c r="N83" s="7">
        <f t="shared" si="38"/>
        <v>62.245973136591566</v>
      </c>
      <c r="O83" s="7">
        <f t="shared" si="39"/>
        <v>83.268842184192223</v>
      </c>
      <c r="P83" s="7">
        <f t="shared" si="40"/>
        <v>60.855046072950685</v>
      </c>
      <c r="Q83" s="7">
        <f t="shared" si="41"/>
        <v>81.87791512055135</v>
      </c>
      <c r="R83" s="7">
        <f t="shared" si="42"/>
        <v>60.576860660222515</v>
      </c>
      <c r="S83" s="7">
        <f t="shared" si="43"/>
        <v>81.599729707823172</v>
      </c>
      <c r="T83" s="7">
        <f t="shared" si="44"/>
        <v>60.298675247494337</v>
      </c>
      <c r="U83" s="7">
        <f t="shared" si="45"/>
        <v>81.321544295095009</v>
      </c>
      <c r="V83" s="23">
        <f t="shared" si="46"/>
        <v>18.67379194097747</v>
      </c>
      <c r="W83" s="23">
        <f t="shared" si="47"/>
        <v>24.980652655257668</v>
      </c>
      <c r="X83" s="30">
        <f t="shared" si="48"/>
        <v>12.449194627318313</v>
      </c>
      <c r="Y83" s="30">
        <f t="shared" si="49"/>
        <v>16.653768436838444</v>
      </c>
      <c r="Z83" s="30">
        <f t="shared" si="50"/>
        <v>0.6224597313659157</v>
      </c>
      <c r="AA83" s="30">
        <f t="shared" si="51"/>
        <v>0.83268842184192227</v>
      </c>
      <c r="AB83" s="7">
        <f t="shared" si="52"/>
        <v>60.02048983476616</v>
      </c>
      <c r="AC83" s="7">
        <f t="shared" si="53"/>
        <v>81.043358882366832</v>
      </c>
      <c r="AD83" s="7"/>
      <c r="AG83" s="1">
        <v>12</v>
      </c>
      <c r="AH83" s="1">
        <v>80</v>
      </c>
      <c r="AI83" s="7">
        <v>6.81</v>
      </c>
      <c r="AJ83" s="7">
        <v>9.11</v>
      </c>
      <c r="BI83" s="1">
        <v>12</v>
      </c>
      <c r="BJ83" s="1">
        <v>80</v>
      </c>
      <c r="BK83" s="7">
        <v>6.81</v>
      </c>
      <c r="BL83" s="7">
        <v>9.11</v>
      </c>
    </row>
    <row r="84" spans="1:68" x14ac:dyDescent="0.2">
      <c r="A84" s="1">
        <v>12</v>
      </c>
      <c r="B84" s="1">
        <v>81</v>
      </c>
      <c r="C84" s="7">
        <f t="shared" si="29"/>
        <v>7.9809999999999999</v>
      </c>
      <c r="D84" s="7">
        <f t="shared" si="30"/>
        <v>10.695</v>
      </c>
      <c r="E84" s="12">
        <v>0.35</v>
      </c>
      <c r="F84" s="12">
        <v>0.35</v>
      </c>
      <c r="G84" s="18">
        <f t="shared" si="31"/>
        <v>7.9809999999999999</v>
      </c>
      <c r="H84" s="18">
        <f t="shared" si="32"/>
        <v>10.695</v>
      </c>
      <c r="I84" s="7">
        <f t="shared" si="33"/>
        <v>7.6310000000000002</v>
      </c>
      <c r="J84" s="7">
        <f t="shared" si="34"/>
        <v>10.345000000000001</v>
      </c>
      <c r="K84" s="23">
        <f t="shared" si="35"/>
        <v>0</v>
      </c>
      <c r="L84" s="23">
        <f t="shared" si="36"/>
        <v>0</v>
      </c>
      <c r="M84" s="6">
        <f t="shared" si="37"/>
        <v>0.92417288228550343</v>
      </c>
      <c r="N84" s="7">
        <f t="shared" si="38"/>
        <v>64.612216256040483</v>
      </c>
      <c r="O84" s="7">
        <f t="shared" si="39"/>
        <v>86.584093830140702</v>
      </c>
      <c r="P84" s="7">
        <f t="shared" si="40"/>
        <v>63.195459227496812</v>
      </c>
      <c r="Q84" s="7">
        <f t="shared" si="41"/>
        <v>85.167336801597031</v>
      </c>
      <c r="R84" s="7">
        <f t="shared" si="42"/>
        <v>62.912107821788076</v>
      </c>
      <c r="S84" s="7">
        <f t="shared" si="43"/>
        <v>84.883985395888303</v>
      </c>
      <c r="T84" s="7">
        <f t="shared" si="44"/>
        <v>62.628756416079341</v>
      </c>
      <c r="U84" s="7">
        <f t="shared" si="45"/>
        <v>84.60063399017956</v>
      </c>
      <c r="V84" s="23">
        <f t="shared" si="46"/>
        <v>19.383664876812144</v>
      </c>
      <c r="W84" s="23">
        <f t="shared" si="47"/>
        <v>25.975228149042209</v>
      </c>
      <c r="X84" s="30">
        <f t="shared" si="48"/>
        <v>12.922443251208097</v>
      </c>
      <c r="Y84" s="30">
        <f t="shared" si="49"/>
        <v>17.316818766028142</v>
      </c>
      <c r="Z84" s="30">
        <f t="shared" si="50"/>
        <v>0.64612216256040489</v>
      </c>
      <c r="AA84" s="30">
        <f t="shared" si="51"/>
        <v>0.86584093830140707</v>
      </c>
      <c r="AB84" s="7">
        <f t="shared" si="52"/>
        <v>62.345405010370605</v>
      </c>
      <c r="AC84" s="7">
        <f t="shared" si="53"/>
        <v>84.317282584470831</v>
      </c>
      <c r="AD84" s="7"/>
      <c r="AG84" s="1">
        <v>12</v>
      </c>
      <c r="AH84" s="1">
        <v>81</v>
      </c>
      <c r="AI84" s="7">
        <v>6.94</v>
      </c>
      <c r="AJ84" s="7">
        <v>9.3000000000000007</v>
      </c>
      <c r="BI84" s="1">
        <v>12</v>
      </c>
      <c r="BJ84" s="1">
        <v>81</v>
      </c>
      <c r="BK84" s="7">
        <v>6.94</v>
      </c>
      <c r="BL84" s="7">
        <v>9.3000000000000007</v>
      </c>
    </row>
    <row r="85" spans="1:68" x14ac:dyDescent="0.2">
      <c r="A85" s="1">
        <v>12</v>
      </c>
      <c r="B85" s="1">
        <v>82</v>
      </c>
      <c r="C85" s="7">
        <f t="shared" si="29"/>
        <v>8.1304999999999996</v>
      </c>
      <c r="D85" s="7">
        <f t="shared" si="30"/>
        <v>10.924999999999999</v>
      </c>
      <c r="E85" s="12">
        <v>0.35</v>
      </c>
      <c r="F85" s="12">
        <v>0.35</v>
      </c>
      <c r="G85" s="18">
        <f t="shared" si="31"/>
        <v>8.1304999999999996</v>
      </c>
      <c r="H85" s="18">
        <f t="shared" si="32"/>
        <v>10.924999999999999</v>
      </c>
      <c r="I85" s="7">
        <f t="shared" si="33"/>
        <v>7.7805</v>
      </c>
      <c r="J85" s="7">
        <f t="shared" si="34"/>
        <v>10.574999999999999</v>
      </c>
      <c r="K85" s="23">
        <f t="shared" si="35"/>
        <v>0</v>
      </c>
      <c r="L85" s="23">
        <f t="shared" si="36"/>
        <v>0</v>
      </c>
      <c r="M85" s="6">
        <f t="shared" si="37"/>
        <v>0.94133507125828009</v>
      </c>
      <c r="N85" s="7">
        <f t="shared" si="38"/>
        <v>67.044877220541309</v>
      </c>
      <c r="O85" s="7">
        <f t="shared" si="39"/>
        <v>90.08859032463117</v>
      </c>
      <c r="P85" s="7">
        <f t="shared" si="40"/>
        <v>65.601810556302354</v>
      </c>
      <c r="Q85" s="7">
        <f t="shared" si="41"/>
        <v>88.645523660392229</v>
      </c>
      <c r="R85" s="7">
        <f t="shared" si="42"/>
        <v>65.313197223454566</v>
      </c>
      <c r="S85" s="7">
        <f t="shared" si="43"/>
        <v>88.356910327544441</v>
      </c>
      <c r="T85" s="7">
        <f t="shared" si="44"/>
        <v>65.024583890606777</v>
      </c>
      <c r="U85" s="7">
        <f t="shared" si="45"/>
        <v>88.068296994696652</v>
      </c>
      <c r="V85" s="23">
        <f t="shared" si="46"/>
        <v>20.113463166162393</v>
      </c>
      <c r="W85" s="23">
        <f t="shared" si="47"/>
        <v>27.02657709738935</v>
      </c>
      <c r="X85" s="30">
        <f t="shared" si="48"/>
        <v>13.408975444108263</v>
      </c>
      <c r="Y85" s="30">
        <f t="shared" si="49"/>
        <v>18.017718064926235</v>
      </c>
      <c r="Z85" s="30">
        <f t="shared" si="50"/>
        <v>0.6704487722054131</v>
      </c>
      <c r="AA85" s="30">
        <f t="shared" si="51"/>
        <v>0.90088590324631168</v>
      </c>
      <c r="AB85" s="7">
        <f t="shared" si="52"/>
        <v>64.735970557758989</v>
      </c>
      <c r="AC85" s="7">
        <f t="shared" si="53"/>
        <v>87.779683661848864</v>
      </c>
      <c r="AD85" s="7"/>
      <c r="AG85" s="1">
        <v>12</v>
      </c>
      <c r="AH85" s="1">
        <v>82</v>
      </c>
      <c r="AI85" s="7">
        <v>7.07</v>
      </c>
      <c r="AJ85" s="7">
        <v>9.5</v>
      </c>
      <c r="BI85" s="1">
        <v>12</v>
      </c>
      <c r="BJ85" s="1">
        <v>82</v>
      </c>
      <c r="BK85" s="7">
        <v>7.07</v>
      </c>
      <c r="BL85" s="7">
        <v>9.5</v>
      </c>
    </row>
    <row r="86" spans="1:68" x14ac:dyDescent="0.2">
      <c r="A86" s="1">
        <v>12</v>
      </c>
      <c r="B86" s="1">
        <v>83</v>
      </c>
      <c r="C86" s="7">
        <f t="shared" si="29"/>
        <v>8.2799999999999994</v>
      </c>
      <c r="D86" s="7">
        <f t="shared" si="30"/>
        <v>11.143499999999998</v>
      </c>
      <c r="E86" s="12">
        <v>0.35</v>
      </c>
      <c r="F86" s="12">
        <v>0.35</v>
      </c>
      <c r="G86" s="18">
        <f t="shared" si="31"/>
        <v>8.2799999999999994</v>
      </c>
      <c r="H86" s="18">
        <f t="shared" si="32"/>
        <v>11.143499999999998</v>
      </c>
      <c r="I86" s="7">
        <f t="shared" si="33"/>
        <v>7.93</v>
      </c>
      <c r="J86" s="7">
        <f t="shared" si="34"/>
        <v>10.793499999999998</v>
      </c>
      <c r="K86" s="23">
        <f t="shared" si="35"/>
        <v>0</v>
      </c>
      <c r="L86" s="23">
        <f t="shared" si="36"/>
        <v>0</v>
      </c>
      <c r="M86" s="6">
        <f t="shared" si="37"/>
        <v>0.95881596762442789</v>
      </c>
      <c r="N86" s="7">
        <f t="shared" si="38"/>
        <v>69.545606816509093</v>
      </c>
      <c r="O86" s="7">
        <f t="shared" si="39"/>
        <v>93.59679584055182</v>
      </c>
      <c r="P86" s="7">
        <f t="shared" si="40"/>
        <v>68.075741938140851</v>
      </c>
      <c r="Q86" s="7">
        <f t="shared" si="41"/>
        <v>92.126930962183565</v>
      </c>
      <c r="R86" s="7">
        <f t="shared" si="42"/>
        <v>67.781768962467211</v>
      </c>
      <c r="S86" s="7">
        <f t="shared" si="43"/>
        <v>91.832957986509925</v>
      </c>
      <c r="T86" s="7">
        <f t="shared" si="44"/>
        <v>67.487795986793557</v>
      </c>
      <c r="U86" s="7">
        <f t="shared" si="45"/>
        <v>91.538985010836271</v>
      </c>
      <c r="V86" s="23">
        <f t="shared" si="46"/>
        <v>20.863682044952728</v>
      </c>
      <c r="W86" s="23">
        <f t="shared" si="47"/>
        <v>28.079038752165545</v>
      </c>
      <c r="X86" s="30">
        <f t="shared" si="48"/>
        <v>13.90912136330182</v>
      </c>
      <c r="Y86" s="30">
        <f t="shared" si="49"/>
        <v>18.719359168110365</v>
      </c>
      <c r="Z86" s="30">
        <f t="shared" si="50"/>
        <v>0.69545606816509098</v>
      </c>
      <c r="AA86" s="30">
        <f t="shared" si="51"/>
        <v>0.93596795840551827</v>
      </c>
      <c r="AB86" s="7">
        <f t="shared" si="52"/>
        <v>67.193823011119903</v>
      </c>
      <c r="AC86" s="7">
        <f t="shared" si="53"/>
        <v>91.245012035162617</v>
      </c>
      <c r="AD86" s="7"/>
      <c r="AG86" s="1">
        <v>12</v>
      </c>
      <c r="AH86" s="1">
        <v>83</v>
      </c>
      <c r="AI86" s="7">
        <v>7.2</v>
      </c>
      <c r="AJ86" s="7">
        <v>9.69</v>
      </c>
      <c r="BI86" s="1">
        <v>12</v>
      </c>
      <c r="BJ86" s="1">
        <v>83</v>
      </c>
      <c r="BK86" s="7">
        <v>7.2</v>
      </c>
      <c r="BL86" s="7">
        <v>9.69</v>
      </c>
    </row>
    <row r="87" spans="1:68" x14ac:dyDescent="0.2">
      <c r="A87" s="1">
        <v>12</v>
      </c>
      <c r="B87" s="1">
        <v>84</v>
      </c>
      <c r="C87" s="7">
        <f t="shared" si="29"/>
        <v>8.4179999999999993</v>
      </c>
      <c r="D87" s="7">
        <f t="shared" si="30"/>
        <v>11.362</v>
      </c>
      <c r="E87" s="12">
        <v>0.35</v>
      </c>
      <c r="F87" s="12">
        <v>0.35</v>
      </c>
      <c r="G87" s="18">
        <f t="shared" si="31"/>
        <v>8.4179999999999993</v>
      </c>
      <c r="H87" s="18">
        <f t="shared" si="32"/>
        <v>11.362</v>
      </c>
      <c r="I87" s="7">
        <f t="shared" si="33"/>
        <v>8.0679999999999996</v>
      </c>
      <c r="J87" s="7">
        <f t="shared" si="34"/>
        <v>11.012</v>
      </c>
      <c r="K87" s="23">
        <f t="shared" si="35"/>
        <v>0</v>
      </c>
      <c r="L87" s="23">
        <f t="shared" si="36"/>
        <v>0</v>
      </c>
      <c r="M87" s="6">
        <f t="shared" si="37"/>
        <v>0.97662148988319786</v>
      </c>
      <c r="N87" s="7">
        <f t="shared" si="38"/>
        <v>72.017709388089997</v>
      </c>
      <c r="O87" s="7">
        <f t="shared" si="39"/>
        <v>97.204230704143342</v>
      </c>
      <c r="P87" s="7">
        <f t="shared" si="40"/>
        <v>70.520548644099051</v>
      </c>
      <c r="Q87" s="7">
        <f t="shared" si="41"/>
        <v>95.707069960152424</v>
      </c>
      <c r="R87" s="7">
        <f t="shared" si="42"/>
        <v>70.221116495300862</v>
      </c>
      <c r="S87" s="7">
        <f t="shared" si="43"/>
        <v>95.407637811354235</v>
      </c>
      <c r="T87" s="7">
        <f t="shared" si="44"/>
        <v>69.921684346502673</v>
      </c>
      <c r="U87" s="7">
        <f t="shared" si="45"/>
        <v>95.108205662556045</v>
      </c>
      <c r="V87" s="23">
        <f t="shared" si="46"/>
        <v>21.605312816426999</v>
      </c>
      <c r="W87" s="23">
        <f t="shared" si="47"/>
        <v>29.161269211243003</v>
      </c>
      <c r="X87" s="30">
        <f t="shared" si="48"/>
        <v>14.403541877618</v>
      </c>
      <c r="Y87" s="30">
        <f t="shared" si="49"/>
        <v>19.440846140828668</v>
      </c>
      <c r="Z87" s="30">
        <f t="shared" si="50"/>
        <v>0.72017709388090001</v>
      </c>
      <c r="AA87" s="30">
        <f t="shared" si="51"/>
        <v>0.97204230704143346</v>
      </c>
      <c r="AB87" s="7">
        <f t="shared" si="52"/>
        <v>69.622252197704483</v>
      </c>
      <c r="AC87" s="7">
        <f t="shared" si="53"/>
        <v>94.808773513757856</v>
      </c>
      <c r="AD87" s="7"/>
      <c r="AG87" s="1">
        <v>12</v>
      </c>
      <c r="AH87" s="1">
        <v>84</v>
      </c>
      <c r="AI87" s="7">
        <v>7.32</v>
      </c>
      <c r="AJ87" s="7">
        <v>9.8800000000000008</v>
      </c>
      <c r="BI87" s="1">
        <v>12</v>
      </c>
      <c r="BJ87" s="1">
        <v>84</v>
      </c>
      <c r="BK87" s="7">
        <v>7.32</v>
      </c>
      <c r="BL87" s="7">
        <v>9.8800000000000008</v>
      </c>
      <c r="BN87">
        <v>7.6</v>
      </c>
      <c r="BO87">
        <v>10.36</v>
      </c>
      <c r="BP87">
        <v>5.23</v>
      </c>
    </row>
    <row r="88" spans="1:68" x14ac:dyDescent="0.2">
      <c r="A88" s="1">
        <v>13</v>
      </c>
      <c r="B88" s="1">
        <v>85</v>
      </c>
      <c r="C88" s="7">
        <f t="shared" si="29"/>
        <v>8.567499999999999</v>
      </c>
      <c r="D88" s="7">
        <f t="shared" si="30"/>
        <v>11.591999999999999</v>
      </c>
      <c r="E88" s="12">
        <v>0.35</v>
      </c>
      <c r="F88" s="12">
        <v>0.35</v>
      </c>
      <c r="G88" s="18">
        <f t="shared" si="31"/>
        <v>8.567499999999999</v>
      </c>
      <c r="H88" s="18">
        <f t="shared" si="32"/>
        <v>11.591999999999999</v>
      </c>
      <c r="I88" s="7">
        <f t="shared" si="33"/>
        <v>8.2174999999999994</v>
      </c>
      <c r="J88" s="7">
        <f t="shared" si="34"/>
        <v>11.241999999999999</v>
      </c>
      <c r="K88" s="23">
        <f t="shared" si="35"/>
        <v>0</v>
      </c>
      <c r="L88" s="23">
        <f t="shared" si="36"/>
        <v>0</v>
      </c>
      <c r="M88" s="6">
        <f t="shared" si="37"/>
        <v>0.99475766644228514</v>
      </c>
      <c r="N88" s="7">
        <f t="shared" si="38"/>
        <v>74.657856051459873</v>
      </c>
      <c r="O88" s="7">
        <f t="shared" si="39"/>
        <v>101.01358241593496</v>
      </c>
      <c r="P88" s="7">
        <f t="shared" si="40"/>
        <v>73.132892548803838</v>
      </c>
      <c r="Q88" s="7">
        <f t="shared" si="41"/>
        <v>99.488618913278955</v>
      </c>
      <c r="R88" s="7">
        <f t="shared" si="42"/>
        <v>72.827899848272637</v>
      </c>
      <c r="S88" s="7">
        <f t="shared" si="43"/>
        <v>99.183626212747754</v>
      </c>
      <c r="T88" s="7">
        <f t="shared" si="44"/>
        <v>72.522907147741435</v>
      </c>
      <c r="U88" s="7">
        <f t="shared" si="45"/>
        <v>98.878633512216553</v>
      </c>
      <c r="V88" s="23">
        <f t="shared" si="46"/>
        <v>22.397356815437963</v>
      </c>
      <c r="W88" s="23">
        <f t="shared" si="47"/>
        <v>30.304074724780488</v>
      </c>
      <c r="X88" s="30">
        <f t="shared" si="48"/>
        <v>14.931571210291976</v>
      </c>
      <c r="Y88" s="30">
        <f t="shared" si="49"/>
        <v>20.202716483186993</v>
      </c>
      <c r="Z88" s="30">
        <f t="shared" si="50"/>
        <v>0.7465785605145987</v>
      </c>
      <c r="AA88" s="30">
        <f t="shared" si="51"/>
        <v>1.0101358241593497</v>
      </c>
      <c r="AB88" s="7">
        <f t="shared" si="52"/>
        <v>72.217914447210219</v>
      </c>
      <c r="AC88" s="7">
        <f t="shared" si="53"/>
        <v>98.573640811685337</v>
      </c>
      <c r="AD88" s="7"/>
      <c r="AG88" s="1">
        <v>13</v>
      </c>
      <c r="AH88" s="1">
        <v>85</v>
      </c>
      <c r="AI88" s="7">
        <v>7.45</v>
      </c>
      <c r="AJ88" s="7">
        <v>10.08</v>
      </c>
      <c r="BI88" s="1">
        <v>13</v>
      </c>
      <c r="BJ88" s="1">
        <v>85</v>
      </c>
      <c r="BK88" s="7">
        <v>7.45</v>
      </c>
      <c r="BL88" s="7">
        <v>10.08</v>
      </c>
    </row>
    <row r="89" spans="1:68" x14ac:dyDescent="0.2">
      <c r="A89" s="1">
        <v>13</v>
      </c>
      <c r="B89" s="1">
        <v>86</v>
      </c>
      <c r="C89" s="7">
        <f t="shared" si="29"/>
        <v>8.7169999999999987</v>
      </c>
      <c r="D89" s="7">
        <f t="shared" si="30"/>
        <v>11.810499999999999</v>
      </c>
      <c r="E89" s="12">
        <v>0.35</v>
      </c>
      <c r="F89" s="12">
        <v>0.35</v>
      </c>
      <c r="G89" s="18">
        <f t="shared" si="31"/>
        <v>8.7169999999999987</v>
      </c>
      <c r="H89" s="18">
        <f t="shared" si="32"/>
        <v>11.7</v>
      </c>
      <c r="I89" s="7">
        <f t="shared" si="33"/>
        <v>8.3669999999999991</v>
      </c>
      <c r="J89" s="7">
        <f t="shared" si="34"/>
        <v>11.4605</v>
      </c>
      <c r="K89" s="23">
        <f t="shared" si="35"/>
        <v>0</v>
      </c>
      <c r="L89" s="23">
        <f t="shared" si="36"/>
        <v>0.11050000000000004</v>
      </c>
      <c r="M89" s="6">
        <f t="shared" si="37"/>
        <v>1.0132306376588618</v>
      </c>
      <c r="N89" s="7">
        <f t="shared" si="38"/>
        <v>77.371223663817332</v>
      </c>
      <c r="O89" s="7">
        <f t="shared" si="39"/>
        <v>104.8288215075731</v>
      </c>
      <c r="P89" s="7">
        <f t="shared" si="40"/>
        <v>75.817941096286305</v>
      </c>
      <c r="Q89" s="7">
        <f t="shared" si="41"/>
        <v>103.27553894004207</v>
      </c>
      <c r="R89" s="7">
        <f t="shared" si="42"/>
        <v>75.507284582780088</v>
      </c>
      <c r="S89" s="7">
        <f t="shared" si="43"/>
        <v>102.96488242653585</v>
      </c>
      <c r="T89" s="7">
        <f t="shared" si="44"/>
        <v>75.196628069273885</v>
      </c>
      <c r="U89" s="7">
        <f t="shared" si="45"/>
        <v>102.65422591302965</v>
      </c>
      <c r="V89" s="23">
        <f t="shared" si="46"/>
        <v>23.2113670991452</v>
      </c>
      <c r="W89" s="23">
        <f t="shared" si="47"/>
        <v>32.135197347120645</v>
      </c>
      <c r="X89" s="30">
        <f t="shared" si="48"/>
        <v>15.474244732763466</v>
      </c>
      <c r="Y89" s="30">
        <f t="shared" si="49"/>
        <v>21.75039389562744</v>
      </c>
      <c r="Z89" s="30">
        <f t="shared" si="50"/>
        <v>0.77371223663817335</v>
      </c>
      <c r="AA89" s="30">
        <f t="shared" si="51"/>
        <v>2.0192673377903461</v>
      </c>
      <c r="AB89" s="7">
        <f t="shared" si="52"/>
        <v>74.885971555767682</v>
      </c>
      <c r="AC89" s="7">
        <f t="shared" si="53"/>
        <v>102.34356939952345</v>
      </c>
      <c r="AD89" s="7"/>
      <c r="AG89" s="1">
        <v>13</v>
      </c>
      <c r="AH89" s="1">
        <v>86</v>
      </c>
      <c r="AI89" s="7">
        <v>7.58</v>
      </c>
      <c r="AJ89" s="7">
        <v>10.27</v>
      </c>
      <c r="BI89" s="1">
        <v>13</v>
      </c>
      <c r="BJ89" s="1">
        <v>86</v>
      </c>
      <c r="BK89" s="7">
        <v>7.58</v>
      </c>
      <c r="BL89" s="7">
        <v>10.27</v>
      </c>
    </row>
    <row r="90" spans="1:68" x14ac:dyDescent="0.2">
      <c r="A90" s="1">
        <v>13</v>
      </c>
      <c r="B90" s="1">
        <v>87</v>
      </c>
      <c r="C90" s="7">
        <f t="shared" si="29"/>
        <v>8.8664999999999985</v>
      </c>
      <c r="D90" s="7">
        <f t="shared" si="30"/>
        <v>12.0405</v>
      </c>
      <c r="E90" s="12">
        <v>0.35</v>
      </c>
      <c r="F90" s="12">
        <v>0.35</v>
      </c>
      <c r="G90" s="18">
        <f t="shared" si="31"/>
        <v>8.8664999999999985</v>
      </c>
      <c r="H90" s="18">
        <f t="shared" si="32"/>
        <v>11.7</v>
      </c>
      <c r="I90" s="7">
        <f t="shared" si="33"/>
        <v>8.5164999999999988</v>
      </c>
      <c r="J90" s="7">
        <f t="shared" si="34"/>
        <v>11.6905</v>
      </c>
      <c r="K90" s="23">
        <f t="shared" si="35"/>
        <v>0</v>
      </c>
      <c r="L90" s="23">
        <f t="shared" si="36"/>
        <v>0.34050000000000047</v>
      </c>
      <c r="M90" s="6">
        <f t="shared" si="37"/>
        <v>1.0320466579185175</v>
      </c>
      <c r="N90" s="7">
        <f t="shared" si="38"/>
        <v>80.159621225726497</v>
      </c>
      <c r="O90" s="7">
        <f t="shared" si="39"/>
        <v>108.85489419369088</v>
      </c>
      <c r="P90" s="7">
        <f t="shared" si="40"/>
        <v>78.577493699137435</v>
      </c>
      <c r="Q90" s="7">
        <f t="shared" si="41"/>
        <v>107.27276666710181</v>
      </c>
      <c r="R90" s="7">
        <f t="shared" si="42"/>
        <v>78.261068193819611</v>
      </c>
      <c r="S90" s="7">
        <f t="shared" si="43"/>
        <v>106.95634116178398</v>
      </c>
      <c r="T90" s="7">
        <f t="shared" si="44"/>
        <v>77.944642688501801</v>
      </c>
      <c r="U90" s="7">
        <f t="shared" si="45"/>
        <v>106.63991565646617</v>
      </c>
      <c r="V90" s="23">
        <f t="shared" si="46"/>
        <v>24.047886367717947</v>
      </c>
      <c r="W90" s="23">
        <f t="shared" si="47"/>
        <v>34.811325949321599</v>
      </c>
      <c r="X90" s="30">
        <f t="shared" si="48"/>
        <v>16.031924245145301</v>
      </c>
      <c r="Y90" s="30">
        <f t="shared" si="49"/>
        <v>24.233673342983135</v>
      </c>
      <c r="Z90" s="30">
        <f t="shared" si="50"/>
        <v>0.80159621225726496</v>
      </c>
      <c r="AA90" s="30">
        <f t="shared" si="51"/>
        <v>4.1361333909400457</v>
      </c>
      <c r="AB90" s="7">
        <f t="shared" si="52"/>
        <v>77.628217183183978</v>
      </c>
      <c r="AC90" s="7">
        <f t="shared" si="53"/>
        <v>106.32349015114835</v>
      </c>
      <c r="AD90" s="7"/>
      <c r="AG90" s="1">
        <v>13</v>
      </c>
      <c r="AH90" s="1">
        <v>87</v>
      </c>
      <c r="AI90" s="7">
        <v>7.71</v>
      </c>
      <c r="AJ90" s="7">
        <v>10.47</v>
      </c>
      <c r="BI90" s="1">
        <v>13</v>
      </c>
      <c r="BJ90" s="1">
        <v>87</v>
      </c>
      <c r="BK90" s="7">
        <v>7.71</v>
      </c>
      <c r="BL90" s="7">
        <v>10.47</v>
      </c>
    </row>
    <row r="91" spans="1:68" x14ac:dyDescent="0.2">
      <c r="A91" s="1">
        <v>13</v>
      </c>
      <c r="B91" s="1">
        <v>88</v>
      </c>
      <c r="C91" s="7">
        <f t="shared" si="29"/>
        <v>9.016</v>
      </c>
      <c r="D91" s="7">
        <f t="shared" si="30"/>
        <v>12.258999999999999</v>
      </c>
      <c r="E91" s="12">
        <v>0.35</v>
      </c>
      <c r="F91" s="12">
        <v>0.35</v>
      </c>
      <c r="G91" s="18">
        <f t="shared" si="31"/>
        <v>9.016</v>
      </c>
      <c r="H91" s="18">
        <f t="shared" si="32"/>
        <v>11.7</v>
      </c>
      <c r="I91" s="7">
        <f t="shared" si="33"/>
        <v>8.6660000000000004</v>
      </c>
      <c r="J91" s="7">
        <f t="shared" si="34"/>
        <v>11.908999999999999</v>
      </c>
      <c r="K91" s="23">
        <f t="shared" si="35"/>
        <v>0</v>
      </c>
      <c r="L91" s="23">
        <f t="shared" si="36"/>
        <v>0.55899999999999928</v>
      </c>
      <c r="M91" s="6">
        <f t="shared" si="37"/>
        <v>1.0512120977528023</v>
      </c>
      <c r="N91" s="7">
        <f t="shared" si="38"/>
        <v>83.024899674451973</v>
      </c>
      <c r="O91" s="7">
        <f t="shared" si="39"/>
        <v>112.88844777164003</v>
      </c>
      <c r="P91" s="7">
        <f t="shared" si="40"/>
        <v>81.413391528596918</v>
      </c>
      <c r="Q91" s="7">
        <f t="shared" si="41"/>
        <v>111.27693962578499</v>
      </c>
      <c r="R91" s="7">
        <f t="shared" si="42"/>
        <v>81.09108989942591</v>
      </c>
      <c r="S91" s="7">
        <f t="shared" si="43"/>
        <v>110.95463799661398</v>
      </c>
      <c r="T91" s="7">
        <f t="shared" si="44"/>
        <v>80.768788270254902</v>
      </c>
      <c r="U91" s="7">
        <f t="shared" si="45"/>
        <v>110.63233636744297</v>
      </c>
      <c r="V91" s="23">
        <f t="shared" si="46"/>
        <v>24.907469902335592</v>
      </c>
      <c r="W91" s="23">
        <f t="shared" si="47"/>
        <v>37.469866545623887</v>
      </c>
      <c r="X91" s="30">
        <f t="shared" si="48"/>
        <v>16.604979934890395</v>
      </c>
      <c r="Y91" s="30">
        <f t="shared" si="49"/>
        <v>26.695783513335869</v>
      </c>
      <c r="Z91" s="30">
        <f t="shared" si="50"/>
        <v>0.8302489967445198</v>
      </c>
      <c r="AA91" s="30">
        <f t="shared" si="51"/>
        <v>6.2250257519886283</v>
      </c>
      <c r="AB91" s="7">
        <f t="shared" si="52"/>
        <v>80.446486641083894</v>
      </c>
      <c r="AC91" s="7">
        <f t="shared" si="53"/>
        <v>110.31003473827197</v>
      </c>
      <c r="AD91" s="7"/>
      <c r="AG91" s="1">
        <v>13</v>
      </c>
      <c r="AH91" s="1">
        <v>88</v>
      </c>
      <c r="AI91" s="7">
        <v>7.84</v>
      </c>
      <c r="AJ91" s="7">
        <v>10.66</v>
      </c>
      <c r="BI91" s="1">
        <v>13</v>
      </c>
      <c r="BJ91" s="1">
        <v>88</v>
      </c>
      <c r="BK91" s="7">
        <v>7.84</v>
      </c>
      <c r="BL91" s="7">
        <v>10.66</v>
      </c>
    </row>
    <row r="92" spans="1:68" x14ac:dyDescent="0.2">
      <c r="A92" s="1">
        <v>13</v>
      </c>
      <c r="B92" s="1">
        <v>89</v>
      </c>
      <c r="C92" s="7">
        <f t="shared" si="29"/>
        <v>9.1654999999999998</v>
      </c>
      <c r="D92" s="7">
        <f t="shared" si="30"/>
        <v>12.477499999999999</v>
      </c>
      <c r="E92" s="12">
        <v>0.35</v>
      </c>
      <c r="F92" s="12">
        <v>0.35</v>
      </c>
      <c r="G92" s="18">
        <f t="shared" si="31"/>
        <v>9.1654999999999998</v>
      </c>
      <c r="H92" s="18">
        <f t="shared" si="32"/>
        <v>11.7</v>
      </c>
      <c r="I92" s="7">
        <f t="shared" si="33"/>
        <v>8.8155000000000001</v>
      </c>
      <c r="J92" s="7">
        <f t="shared" si="34"/>
        <v>12.1275</v>
      </c>
      <c r="K92" s="23">
        <f t="shared" si="35"/>
        <v>0</v>
      </c>
      <c r="L92" s="23">
        <f t="shared" si="36"/>
        <v>0.77749999999999986</v>
      </c>
      <c r="M92" s="6">
        <f t="shared" si="37"/>
        <v>1.0707334459960947</v>
      </c>
      <c r="N92" s="7">
        <f t="shared" si="38"/>
        <v>85.96895281766831</v>
      </c>
      <c r="O92" s="7">
        <f t="shared" si="39"/>
        <v>117.03427077436653</v>
      </c>
      <c r="P92" s="7">
        <f t="shared" si="40"/>
        <v>84.327518444956311</v>
      </c>
      <c r="Q92" s="7">
        <f t="shared" si="41"/>
        <v>115.39283640165451</v>
      </c>
      <c r="R92" s="7">
        <f t="shared" si="42"/>
        <v>83.999231570413912</v>
      </c>
      <c r="S92" s="7">
        <f t="shared" si="43"/>
        <v>115.06454952711211</v>
      </c>
      <c r="T92" s="7">
        <f t="shared" si="44"/>
        <v>83.670944695871512</v>
      </c>
      <c r="U92" s="7">
        <f t="shared" si="45"/>
        <v>114.73626265256971</v>
      </c>
      <c r="V92" s="23">
        <f t="shared" si="46"/>
        <v>25.790685845300491</v>
      </c>
      <c r="W92" s="23">
        <f t="shared" si="47"/>
        <v>40.215142131444317</v>
      </c>
      <c r="X92" s="30">
        <f t="shared" si="48"/>
        <v>17.193790563533664</v>
      </c>
      <c r="Y92" s="30">
        <f t="shared" si="49"/>
        <v>29.240980896741149</v>
      </c>
      <c r="Z92" s="30">
        <f t="shared" si="50"/>
        <v>0.85968952817668309</v>
      </c>
      <c r="AA92" s="30">
        <f t="shared" si="51"/>
        <v>8.3900745508051173</v>
      </c>
      <c r="AB92" s="7">
        <f t="shared" si="52"/>
        <v>83.342657821329098</v>
      </c>
      <c r="AC92" s="7">
        <f t="shared" si="53"/>
        <v>114.40797577802729</v>
      </c>
      <c r="AD92" s="7"/>
      <c r="AG92" s="1">
        <v>13</v>
      </c>
      <c r="AH92" s="1">
        <v>89</v>
      </c>
      <c r="AI92" s="7">
        <v>7.97</v>
      </c>
      <c r="AJ92" s="7">
        <v>10.85</v>
      </c>
      <c r="BI92" s="1">
        <v>13</v>
      </c>
      <c r="BJ92" s="1">
        <v>89</v>
      </c>
      <c r="BK92" s="7">
        <v>7.97</v>
      </c>
      <c r="BL92" s="7">
        <v>10.85</v>
      </c>
    </row>
    <row r="93" spans="1:68" x14ac:dyDescent="0.2">
      <c r="A93" s="1">
        <v>13</v>
      </c>
      <c r="B93" s="1">
        <v>90</v>
      </c>
      <c r="C93" s="7">
        <f t="shared" si="29"/>
        <v>9.3034999999999997</v>
      </c>
      <c r="D93" s="7">
        <f t="shared" si="30"/>
        <v>12.7075</v>
      </c>
      <c r="E93" s="12">
        <v>0.35</v>
      </c>
      <c r="F93" s="12">
        <v>0.35</v>
      </c>
      <c r="G93" s="18">
        <f t="shared" si="31"/>
        <v>9.3034999999999997</v>
      </c>
      <c r="H93" s="18">
        <f t="shared" si="32"/>
        <v>11.7</v>
      </c>
      <c r="I93" s="7">
        <f t="shared" si="33"/>
        <v>8.9535</v>
      </c>
      <c r="J93" s="7">
        <f t="shared" si="34"/>
        <v>12.3575</v>
      </c>
      <c r="K93" s="23">
        <f t="shared" si="35"/>
        <v>0</v>
      </c>
      <c r="L93" s="23">
        <f t="shared" si="36"/>
        <v>1.0075000000000003</v>
      </c>
      <c r="M93" s="6">
        <f t="shared" si="37"/>
        <v>1.0906173119825242</v>
      </c>
      <c r="N93" s="7">
        <f t="shared" si="38"/>
        <v>88.883849499377661</v>
      </c>
      <c r="O93" s="7">
        <f t="shared" si="39"/>
        <v>121.40501075007701</v>
      </c>
      <c r="P93" s="7">
        <f t="shared" si="40"/>
        <v>87.211933160108444</v>
      </c>
      <c r="Q93" s="7">
        <f t="shared" si="41"/>
        <v>119.73309441080781</v>
      </c>
      <c r="R93" s="7">
        <f t="shared" si="42"/>
        <v>86.877549892254606</v>
      </c>
      <c r="S93" s="7">
        <f t="shared" si="43"/>
        <v>119.39871114295397</v>
      </c>
      <c r="T93" s="7">
        <f t="shared" si="44"/>
        <v>86.543166624400769</v>
      </c>
      <c r="U93" s="7">
        <f t="shared" si="45"/>
        <v>119.06432787510013</v>
      </c>
      <c r="V93" s="23">
        <f t="shared" si="46"/>
        <v>26.665154849813298</v>
      </c>
      <c r="W93" s="23">
        <f t="shared" si="47"/>
        <v>43.15932607227802</v>
      </c>
      <c r="X93" s="30">
        <f t="shared" si="48"/>
        <v>17.776769899875532</v>
      </c>
      <c r="Y93" s="30">
        <f t="shared" si="49"/>
        <v>31.98137111830674</v>
      </c>
      <c r="Z93" s="30">
        <f t="shared" si="50"/>
        <v>0.88883849499377665</v>
      </c>
      <c r="AA93" s="30">
        <f t="shared" si="51"/>
        <v>10.743256705761294</v>
      </c>
      <c r="AB93" s="7">
        <f t="shared" si="52"/>
        <v>86.208783356546931</v>
      </c>
      <c r="AC93" s="7">
        <f t="shared" si="53"/>
        <v>118.7299446072463</v>
      </c>
      <c r="AD93" s="7"/>
      <c r="AG93" s="1">
        <v>13</v>
      </c>
      <c r="AH93" s="1">
        <v>90</v>
      </c>
      <c r="AI93" s="7">
        <v>8.09</v>
      </c>
      <c r="AJ93" s="7">
        <v>11.05</v>
      </c>
      <c r="BI93" s="1">
        <v>13</v>
      </c>
      <c r="BJ93" s="1">
        <v>90</v>
      </c>
      <c r="BK93" s="7">
        <v>8.09</v>
      </c>
      <c r="BL93" s="7">
        <v>11.05</v>
      </c>
    </row>
    <row r="94" spans="1:68" x14ac:dyDescent="0.2">
      <c r="A94" s="1">
        <v>13</v>
      </c>
      <c r="B94" s="1">
        <v>91</v>
      </c>
      <c r="C94" s="7">
        <f t="shared" si="29"/>
        <v>9.4529999999999994</v>
      </c>
      <c r="D94" s="7">
        <f t="shared" si="30"/>
        <v>12.925999999999998</v>
      </c>
      <c r="E94" s="12">
        <v>0.35</v>
      </c>
      <c r="F94" s="12">
        <v>0.35</v>
      </c>
      <c r="G94" s="18">
        <f t="shared" si="31"/>
        <v>9.4529999999999994</v>
      </c>
      <c r="H94" s="18">
        <f t="shared" si="32"/>
        <v>11.7</v>
      </c>
      <c r="I94" s="7">
        <f t="shared" si="33"/>
        <v>9.1029999999999998</v>
      </c>
      <c r="J94" s="7">
        <f t="shared" si="34"/>
        <v>12.575999999999999</v>
      </c>
      <c r="K94" s="23">
        <f t="shared" si="35"/>
        <v>0</v>
      </c>
      <c r="L94" s="23">
        <f t="shared" si="36"/>
        <v>1.2259999999999991</v>
      </c>
      <c r="M94" s="6">
        <f t="shared" si="37"/>
        <v>1.1108704277836907</v>
      </c>
      <c r="N94" s="7">
        <f t="shared" si="38"/>
        <v>91.98926942763164</v>
      </c>
      <c r="O94" s="7">
        <f t="shared" si="39"/>
        <v>125.78581366990019</v>
      </c>
      <c r="P94" s="7">
        <f t="shared" si="40"/>
        <v>90.286305061839244</v>
      </c>
      <c r="Q94" s="7">
        <f t="shared" si="41"/>
        <v>124.08284930410778</v>
      </c>
      <c r="R94" s="7">
        <f t="shared" si="42"/>
        <v>89.945712188680758</v>
      </c>
      <c r="S94" s="7">
        <f t="shared" si="43"/>
        <v>123.7422564309493</v>
      </c>
      <c r="T94" s="7">
        <f t="shared" si="44"/>
        <v>89.605119315522288</v>
      </c>
      <c r="U94" s="7">
        <f t="shared" si="45"/>
        <v>123.40166355779083</v>
      </c>
      <c r="V94" s="23">
        <f t="shared" si="46"/>
        <v>27.596780828289493</v>
      </c>
      <c r="W94" s="23">
        <f t="shared" si="47"/>
        <v>46.087081350815964</v>
      </c>
      <c r="X94" s="30">
        <f t="shared" si="48"/>
        <v>18.397853885526327</v>
      </c>
      <c r="Y94" s="30">
        <f t="shared" si="49"/>
        <v>34.701548162375374</v>
      </c>
      <c r="Z94" s="30">
        <f t="shared" si="50"/>
        <v>0.91989269427631637</v>
      </c>
      <c r="AA94" s="30">
        <f t="shared" si="51"/>
        <v>13.069035104338223</v>
      </c>
      <c r="AB94" s="7">
        <f t="shared" si="52"/>
        <v>89.264526442363803</v>
      </c>
      <c r="AC94" s="7">
        <f t="shared" si="53"/>
        <v>123.06107068463234</v>
      </c>
      <c r="AD94" s="7"/>
      <c r="AG94" s="1">
        <v>13</v>
      </c>
      <c r="AH94" s="1">
        <v>91</v>
      </c>
      <c r="AI94" s="7">
        <v>8.2200000000000006</v>
      </c>
      <c r="AJ94" s="7">
        <v>11.24</v>
      </c>
      <c r="BI94" s="1">
        <v>13</v>
      </c>
      <c r="BJ94" s="1">
        <v>91</v>
      </c>
      <c r="BK94" s="7">
        <v>8.2200000000000006</v>
      </c>
      <c r="BL94" s="7">
        <v>11.24</v>
      </c>
      <c r="BN94">
        <v>8.5399999999999991</v>
      </c>
      <c r="BO94">
        <v>11.76</v>
      </c>
      <c r="BP94">
        <v>5.85</v>
      </c>
    </row>
    <row r="95" spans="1:68" x14ac:dyDescent="0.2">
      <c r="A95" s="1">
        <v>14</v>
      </c>
      <c r="B95" s="1">
        <v>92</v>
      </c>
      <c r="C95" s="7">
        <f t="shared" si="29"/>
        <v>9.6024999999999991</v>
      </c>
      <c r="D95" s="7">
        <f t="shared" si="30"/>
        <v>13.155999999999999</v>
      </c>
      <c r="E95" s="12">
        <v>0.35</v>
      </c>
      <c r="F95" s="12">
        <v>0.35</v>
      </c>
      <c r="G95" s="18">
        <f t="shared" si="31"/>
        <v>9.6024999999999991</v>
      </c>
      <c r="H95" s="18">
        <f t="shared" si="32"/>
        <v>11.7</v>
      </c>
      <c r="I95" s="7">
        <f t="shared" si="33"/>
        <v>9.2524999999999995</v>
      </c>
      <c r="J95" s="7">
        <f t="shared" si="34"/>
        <v>12.805999999999999</v>
      </c>
      <c r="K95" s="23">
        <f t="shared" si="35"/>
        <v>0</v>
      </c>
      <c r="L95" s="23">
        <f t="shared" si="36"/>
        <v>1.4559999999999995</v>
      </c>
      <c r="M95" s="6">
        <f t="shared" si="37"/>
        <v>1.1314996504879373</v>
      </c>
      <c r="N95" s="7">
        <f t="shared" si="38"/>
        <v>95.179374449779246</v>
      </c>
      <c r="O95" s="7">
        <f t="shared" si="39"/>
        <v>130.40144235993708</v>
      </c>
      <c r="P95" s="7">
        <f t="shared" si="40"/>
        <v>93.444785485581235</v>
      </c>
      <c r="Q95" s="7">
        <f t="shared" si="41"/>
        <v>128.66685339573908</v>
      </c>
      <c r="R95" s="7">
        <f t="shared" si="42"/>
        <v>93.09786769274163</v>
      </c>
      <c r="S95" s="7">
        <f t="shared" si="43"/>
        <v>128.31993560289951</v>
      </c>
      <c r="T95" s="7">
        <f t="shared" si="44"/>
        <v>92.750949899902025</v>
      </c>
      <c r="U95" s="7">
        <f t="shared" si="45"/>
        <v>127.97301781005989</v>
      </c>
      <c r="V95" s="23">
        <f t="shared" si="46"/>
        <v>28.553812334933774</v>
      </c>
      <c r="W95" s="23">
        <f t="shared" si="47"/>
        <v>49.222678835470319</v>
      </c>
      <c r="X95" s="30">
        <f t="shared" si="48"/>
        <v>19.035874889955849</v>
      </c>
      <c r="Y95" s="30">
        <f t="shared" si="49"/>
        <v>37.625712617689352</v>
      </c>
      <c r="Z95" s="30">
        <f t="shared" si="50"/>
        <v>0.95179374449779253</v>
      </c>
      <c r="AA95" s="30">
        <f t="shared" si="51"/>
        <v>15.591476803905516</v>
      </c>
      <c r="AB95" s="7">
        <f t="shared" si="52"/>
        <v>92.404032107062434</v>
      </c>
      <c r="AC95" s="7">
        <f t="shared" si="53"/>
        <v>127.6261000172203</v>
      </c>
      <c r="AD95" s="7"/>
      <c r="AG95" s="1">
        <v>14</v>
      </c>
      <c r="AH95" s="1">
        <v>92</v>
      </c>
      <c r="AI95" s="7">
        <v>8.35</v>
      </c>
      <c r="AJ95" s="7">
        <v>11.44</v>
      </c>
      <c r="BI95" s="1">
        <v>14</v>
      </c>
      <c r="BJ95" s="1">
        <v>92</v>
      </c>
      <c r="BK95" s="7">
        <v>8.35</v>
      </c>
      <c r="BL95" s="7">
        <v>11.44</v>
      </c>
    </row>
    <row r="96" spans="1:68" x14ac:dyDescent="0.2">
      <c r="A96" s="1">
        <v>14</v>
      </c>
      <c r="B96" s="1">
        <v>93</v>
      </c>
      <c r="C96" s="7">
        <f t="shared" si="29"/>
        <v>9.7405000000000008</v>
      </c>
      <c r="D96" s="7">
        <f t="shared" si="30"/>
        <v>13.374499999999999</v>
      </c>
      <c r="E96" s="12">
        <v>0.35</v>
      </c>
      <c r="F96" s="12">
        <v>0.35</v>
      </c>
      <c r="G96" s="18">
        <f t="shared" si="31"/>
        <v>9.7405000000000008</v>
      </c>
      <c r="H96" s="18">
        <f t="shared" si="32"/>
        <v>11.7</v>
      </c>
      <c r="I96" s="7">
        <f t="shared" si="33"/>
        <v>9.3905000000000012</v>
      </c>
      <c r="J96" s="7">
        <f t="shared" si="34"/>
        <v>13.0245</v>
      </c>
      <c r="K96" s="23">
        <f t="shared" si="35"/>
        <v>0</v>
      </c>
      <c r="L96" s="23">
        <f t="shared" si="36"/>
        <v>1.6745000000000001</v>
      </c>
      <c r="M96" s="6">
        <f t="shared" si="37"/>
        <v>1.1525119645219535</v>
      </c>
      <c r="N96" s="7">
        <f t="shared" si="38"/>
        <v>98.340134844132535</v>
      </c>
      <c r="O96" s="7">
        <f t="shared" si="39"/>
        <v>135.02901632081009</v>
      </c>
      <c r="P96" s="7">
        <f t="shared" si="40"/>
        <v>96.573334002520383</v>
      </c>
      <c r="Q96" s="7">
        <f t="shared" si="41"/>
        <v>133.26221547919795</v>
      </c>
      <c r="R96" s="7">
        <f t="shared" si="42"/>
        <v>96.219973834197958</v>
      </c>
      <c r="S96" s="7">
        <f t="shared" si="43"/>
        <v>132.90885531087551</v>
      </c>
      <c r="T96" s="7">
        <f t="shared" si="44"/>
        <v>95.866613665875519</v>
      </c>
      <c r="U96" s="7">
        <f t="shared" si="45"/>
        <v>132.55549514255307</v>
      </c>
      <c r="V96" s="23">
        <f t="shared" si="46"/>
        <v>29.502040453239758</v>
      </c>
      <c r="W96" s="23">
        <f t="shared" si="47"/>
        <v>52.34273693336123</v>
      </c>
      <c r="X96" s="30">
        <f t="shared" si="48"/>
        <v>19.66802696882651</v>
      </c>
      <c r="Y96" s="30">
        <f t="shared" si="49"/>
        <v>40.530411306582835</v>
      </c>
      <c r="Z96" s="30">
        <f t="shared" si="50"/>
        <v>0.98340134844132543</v>
      </c>
      <c r="AA96" s="30">
        <f t="shared" si="51"/>
        <v>18.086992615703863</v>
      </c>
      <c r="AB96" s="7">
        <f t="shared" si="52"/>
        <v>95.513253497553094</v>
      </c>
      <c r="AC96" s="7">
        <f t="shared" si="53"/>
        <v>132.20213497423063</v>
      </c>
      <c r="AD96" s="7"/>
      <c r="AG96" s="1">
        <v>14</v>
      </c>
      <c r="AH96" s="1">
        <v>93</v>
      </c>
      <c r="AI96" s="7">
        <v>8.4700000000000006</v>
      </c>
      <c r="AJ96" s="7">
        <v>11.63</v>
      </c>
      <c r="BI96" s="1">
        <v>14</v>
      </c>
      <c r="BJ96" s="1">
        <v>93</v>
      </c>
      <c r="BK96" s="7">
        <v>8.4700000000000006</v>
      </c>
      <c r="BL96" s="7">
        <v>11.63</v>
      </c>
    </row>
    <row r="97" spans="1:68" x14ac:dyDescent="0.2">
      <c r="A97" s="1">
        <v>14</v>
      </c>
      <c r="B97" s="1">
        <v>94</v>
      </c>
      <c r="C97" s="7">
        <f t="shared" si="29"/>
        <v>9.8899999999999988</v>
      </c>
      <c r="D97" s="7">
        <f t="shared" si="30"/>
        <v>13.6045</v>
      </c>
      <c r="E97" s="12">
        <v>0.35</v>
      </c>
      <c r="F97" s="12">
        <v>0.35</v>
      </c>
      <c r="G97" s="18">
        <f t="shared" si="31"/>
        <v>9.8899999999999988</v>
      </c>
      <c r="H97" s="18">
        <f t="shared" si="32"/>
        <v>11.7</v>
      </c>
      <c r="I97" s="7">
        <f t="shared" si="33"/>
        <v>9.5399999999999991</v>
      </c>
      <c r="J97" s="7">
        <f t="shared" si="34"/>
        <v>13.2545</v>
      </c>
      <c r="K97" s="23">
        <f t="shared" si="35"/>
        <v>0</v>
      </c>
      <c r="L97" s="23">
        <f t="shared" si="36"/>
        <v>1.9045000000000005</v>
      </c>
      <c r="M97" s="6">
        <f t="shared" si="37"/>
        <v>1.1739144840154885</v>
      </c>
      <c r="N97" s="7">
        <f t="shared" si="38"/>
        <v>101.70372480295947</v>
      </c>
      <c r="O97" s="7">
        <f t="shared" si="39"/>
        <v>139.90175167662915</v>
      </c>
      <c r="P97" s="7">
        <f t="shared" si="40"/>
        <v>99.904113898963715</v>
      </c>
      <c r="Q97" s="7">
        <f t="shared" si="41"/>
        <v>138.10214077263342</v>
      </c>
      <c r="R97" s="7">
        <f t="shared" si="42"/>
        <v>99.544191718164569</v>
      </c>
      <c r="S97" s="7">
        <f t="shared" si="43"/>
        <v>137.74221859183424</v>
      </c>
      <c r="T97" s="7">
        <f t="shared" si="44"/>
        <v>99.184269537365424</v>
      </c>
      <c r="U97" s="7">
        <f t="shared" si="45"/>
        <v>137.3822964110351</v>
      </c>
      <c r="V97" s="23">
        <f t="shared" si="46"/>
        <v>30.511117440887841</v>
      </c>
      <c r="W97" s="23">
        <f t="shared" si="47"/>
        <v>55.679961369628323</v>
      </c>
      <c r="X97" s="30">
        <f t="shared" si="48"/>
        <v>20.340744960591895</v>
      </c>
      <c r="Y97" s="30">
        <f t="shared" si="49"/>
        <v>43.648277040056783</v>
      </c>
      <c r="Z97" s="30">
        <f t="shared" si="50"/>
        <v>1.0170372480295948</v>
      </c>
      <c r="AA97" s="30">
        <f t="shared" si="51"/>
        <v>20.788076813870845</v>
      </c>
      <c r="AB97" s="7">
        <f t="shared" si="52"/>
        <v>98.824347356566264</v>
      </c>
      <c r="AC97" s="7">
        <f t="shared" si="53"/>
        <v>137.02237423023595</v>
      </c>
      <c r="AD97" s="7"/>
      <c r="AG97" s="1">
        <v>14</v>
      </c>
      <c r="AH97" s="1">
        <v>94</v>
      </c>
      <c r="AI97" s="7">
        <v>8.6</v>
      </c>
      <c r="AJ97" s="7">
        <v>11.83</v>
      </c>
      <c r="BI97" s="1">
        <v>14</v>
      </c>
      <c r="BJ97" s="1">
        <v>94</v>
      </c>
      <c r="BK97" s="7">
        <v>8.6</v>
      </c>
      <c r="BL97" s="7">
        <v>11.83</v>
      </c>
    </row>
    <row r="98" spans="1:68" x14ac:dyDescent="0.2">
      <c r="A98" s="1">
        <v>14</v>
      </c>
      <c r="B98" s="1">
        <v>95</v>
      </c>
      <c r="C98" s="7">
        <f t="shared" si="29"/>
        <v>10.028</v>
      </c>
      <c r="D98" s="7">
        <f t="shared" si="30"/>
        <v>13.822999999999999</v>
      </c>
      <c r="E98" s="12">
        <v>0.35</v>
      </c>
      <c r="F98" s="12">
        <v>0.35</v>
      </c>
      <c r="G98" s="18">
        <f t="shared" si="31"/>
        <v>10.028</v>
      </c>
      <c r="H98" s="18">
        <f t="shared" si="32"/>
        <v>11.7</v>
      </c>
      <c r="I98" s="7">
        <f t="shared" si="33"/>
        <v>9.6780000000000008</v>
      </c>
      <c r="J98" s="7">
        <f t="shared" si="34"/>
        <v>13.472999999999999</v>
      </c>
      <c r="K98" s="23">
        <f t="shared" si="35"/>
        <v>0</v>
      </c>
      <c r="L98" s="23">
        <f t="shared" si="36"/>
        <v>2.1229999999999993</v>
      </c>
      <c r="M98" s="6">
        <f t="shared" si="37"/>
        <v>1.1957144552099792</v>
      </c>
      <c r="N98" s="7">
        <f t="shared" si="38"/>
        <v>105.03787111796808</v>
      </c>
      <c r="O98" s="7">
        <f t="shared" si="39"/>
        <v>144.78844160985963</v>
      </c>
      <c r="P98" s="7">
        <f t="shared" si="40"/>
        <v>103.20484085813119</v>
      </c>
      <c r="Q98" s="7">
        <f t="shared" si="41"/>
        <v>142.95541135002276</v>
      </c>
      <c r="R98" s="7">
        <f t="shared" si="42"/>
        <v>102.83823480616381</v>
      </c>
      <c r="S98" s="7">
        <f t="shared" si="43"/>
        <v>142.58880529805538</v>
      </c>
      <c r="T98" s="7">
        <f t="shared" si="44"/>
        <v>102.47162875419643</v>
      </c>
      <c r="U98" s="7">
        <f t="shared" si="45"/>
        <v>142.222199246088</v>
      </c>
      <c r="V98" s="23">
        <f t="shared" si="46"/>
        <v>31.511361335390422</v>
      </c>
      <c r="W98" s="23">
        <f t="shared" si="47"/>
        <v>59.002625449492832</v>
      </c>
      <c r="X98" s="30">
        <f t="shared" si="48"/>
        <v>21.007574223593618</v>
      </c>
      <c r="Y98" s="30">
        <f t="shared" si="49"/>
        <v>46.747508855154713</v>
      </c>
      <c r="Z98" s="30">
        <f t="shared" si="50"/>
        <v>1.0503787111796807</v>
      </c>
      <c r="AA98" s="30">
        <f t="shared" si="51"/>
        <v>23.462787325912288</v>
      </c>
      <c r="AB98" s="7">
        <f t="shared" si="52"/>
        <v>102.10502270222905</v>
      </c>
      <c r="AC98" s="7">
        <f t="shared" si="53"/>
        <v>141.85559319412062</v>
      </c>
      <c r="AD98" s="7"/>
      <c r="AG98" s="1">
        <v>14</v>
      </c>
      <c r="AH98" s="1">
        <v>95</v>
      </c>
      <c r="AI98" s="7">
        <v>8.7200000000000006</v>
      </c>
      <c r="AJ98" s="7">
        <v>12.02</v>
      </c>
      <c r="BI98" s="1">
        <v>14</v>
      </c>
      <c r="BJ98" s="1">
        <v>95</v>
      </c>
      <c r="BK98" s="7">
        <v>8.7200000000000006</v>
      </c>
      <c r="BL98" s="7">
        <v>12.02</v>
      </c>
    </row>
    <row r="99" spans="1:68" x14ac:dyDescent="0.2">
      <c r="A99" s="1">
        <v>14</v>
      </c>
      <c r="B99" s="1">
        <v>96</v>
      </c>
      <c r="C99" s="7">
        <f t="shared" si="29"/>
        <v>10.177499999999998</v>
      </c>
      <c r="D99" s="7">
        <f t="shared" si="30"/>
        <v>14.052999999999999</v>
      </c>
      <c r="E99" s="12">
        <v>0.35</v>
      </c>
      <c r="F99" s="12">
        <v>0.35</v>
      </c>
      <c r="G99" s="18">
        <f t="shared" si="31"/>
        <v>10.177499999999998</v>
      </c>
      <c r="H99" s="18">
        <f t="shared" si="32"/>
        <v>11.7</v>
      </c>
      <c r="I99" s="7">
        <f t="shared" si="33"/>
        <v>9.8274999999999988</v>
      </c>
      <c r="J99" s="7">
        <f t="shared" si="34"/>
        <v>13.702999999999999</v>
      </c>
      <c r="K99" s="23">
        <f t="shared" si="35"/>
        <v>0</v>
      </c>
      <c r="L99" s="23">
        <f t="shared" si="36"/>
        <v>2.3529999999999998</v>
      </c>
      <c r="M99" s="6">
        <f t="shared" si="37"/>
        <v>1.2179192589119072</v>
      </c>
      <c r="N99" s="7">
        <f t="shared" si="38"/>
        <v>108.58346973636516</v>
      </c>
      <c r="O99" s="7">
        <f t="shared" si="39"/>
        <v>149.93107346648389</v>
      </c>
      <c r="P99" s="7">
        <f t="shared" si="40"/>
        <v>106.71639951245324</v>
      </c>
      <c r="Q99" s="7">
        <f t="shared" si="41"/>
        <v>148.06400324257197</v>
      </c>
      <c r="R99" s="7">
        <f t="shared" si="42"/>
        <v>106.34298546767084</v>
      </c>
      <c r="S99" s="7">
        <f t="shared" si="43"/>
        <v>147.69058919778959</v>
      </c>
      <c r="T99" s="7">
        <f t="shared" si="44"/>
        <v>105.96957142288845</v>
      </c>
      <c r="U99" s="7">
        <f t="shared" si="45"/>
        <v>147.31717515300718</v>
      </c>
      <c r="V99" s="23">
        <f t="shared" si="46"/>
        <v>32.575040920909544</v>
      </c>
      <c r="W99" s="23">
        <f t="shared" si="47"/>
        <v>62.552186987404482</v>
      </c>
      <c r="X99" s="30">
        <f t="shared" si="48"/>
        <v>21.716693947273033</v>
      </c>
      <c r="Y99" s="30">
        <f t="shared" si="49"/>
        <v>50.069488918964566</v>
      </c>
      <c r="Z99" s="30">
        <f t="shared" si="50"/>
        <v>1.0858346973636517</v>
      </c>
      <c r="AA99" s="30">
        <f t="shared" si="51"/>
        <v>26.352362588928717</v>
      </c>
      <c r="AB99" s="7">
        <f t="shared" si="52"/>
        <v>105.59615737810607</v>
      </c>
      <c r="AC99" s="7">
        <f t="shared" si="53"/>
        <v>146.94376110822481</v>
      </c>
      <c r="AD99" s="7"/>
      <c r="AG99" s="1">
        <v>14</v>
      </c>
      <c r="AH99" s="1">
        <v>96</v>
      </c>
      <c r="AI99" s="7">
        <v>8.85</v>
      </c>
      <c r="AJ99" s="7">
        <v>12.22</v>
      </c>
      <c r="BI99" s="1">
        <v>14</v>
      </c>
      <c r="BJ99" s="1">
        <v>96</v>
      </c>
      <c r="BK99" s="7">
        <v>8.85</v>
      </c>
      <c r="BL99" s="7">
        <v>12.22</v>
      </c>
    </row>
    <row r="100" spans="1:68" x14ac:dyDescent="0.2">
      <c r="A100" s="1">
        <v>14</v>
      </c>
      <c r="B100" s="1">
        <v>97</v>
      </c>
      <c r="C100" s="7">
        <f t="shared" ref="C100:C115" si="54">AI100*1.15</f>
        <v>10.3155</v>
      </c>
      <c r="D100" s="7">
        <f t="shared" ref="D100:D115" si="55">AJ100*1.15</f>
        <v>14.2715</v>
      </c>
      <c r="E100" s="12">
        <v>0.35</v>
      </c>
      <c r="F100" s="12">
        <v>0.35</v>
      </c>
      <c r="G100" s="18">
        <f t="shared" si="31"/>
        <v>10.3155</v>
      </c>
      <c r="H100" s="18">
        <f t="shared" si="32"/>
        <v>11.7</v>
      </c>
      <c r="I100" s="7">
        <f t="shared" si="33"/>
        <v>9.9655000000000005</v>
      </c>
      <c r="J100" s="7">
        <f t="shared" si="34"/>
        <v>13.9215</v>
      </c>
      <c r="K100" s="23">
        <f t="shared" si="35"/>
        <v>0</v>
      </c>
      <c r="L100" s="23">
        <f t="shared" si="36"/>
        <v>2.5715000000000003</v>
      </c>
      <c r="M100" s="6">
        <f t="shared" si="37"/>
        <v>1.2405364129917138</v>
      </c>
      <c r="N100" s="7">
        <f t="shared" si="38"/>
        <v>112.09955950557237</v>
      </c>
      <c r="O100" s="7">
        <f t="shared" si="39"/>
        <v>155.08980306177847</v>
      </c>
      <c r="P100" s="7">
        <f t="shared" si="40"/>
        <v>110.19781718445607</v>
      </c>
      <c r="Q100" s="7">
        <f t="shared" si="41"/>
        <v>153.18806074066219</v>
      </c>
      <c r="R100" s="7">
        <f t="shared" si="42"/>
        <v>109.81746872023281</v>
      </c>
      <c r="S100" s="7">
        <f t="shared" si="43"/>
        <v>152.80771227643893</v>
      </c>
      <c r="T100" s="7">
        <f t="shared" si="44"/>
        <v>109.43712025600955</v>
      </c>
      <c r="U100" s="7">
        <f t="shared" si="45"/>
        <v>152.42736381221567</v>
      </c>
      <c r="V100" s="23">
        <f t="shared" si="46"/>
        <v>33.629867851671712</v>
      </c>
      <c r="W100" s="23">
        <f t="shared" si="47"/>
        <v>66.088262433535789</v>
      </c>
      <c r="X100" s="30">
        <f t="shared" si="48"/>
        <v>22.419911901114475</v>
      </c>
      <c r="Y100" s="30">
        <f t="shared" si="49"/>
        <v>53.373756629501109</v>
      </c>
      <c r="Z100" s="30">
        <f t="shared" si="50"/>
        <v>1.1209955950557238</v>
      </c>
      <c r="AA100" s="30">
        <f t="shared" si="51"/>
        <v>29.216195601835231</v>
      </c>
      <c r="AB100" s="7">
        <f t="shared" si="52"/>
        <v>109.05677179178629</v>
      </c>
      <c r="AC100" s="7">
        <f t="shared" si="53"/>
        <v>152.04701534799241</v>
      </c>
      <c r="AD100" s="7"/>
      <c r="AG100" s="1">
        <v>14</v>
      </c>
      <c r="AH100" s="1">
        <v>97</v>
      </c>
      <c r="AI100" s="7">
        <v>8.9700000000000006</v>
      </c>
      <c r="AJ100" s="7">
        <v>12.41</v>
      </c>
      <c r="BI100" s="1">
        <v>14</v>
      </c>
      <c r="BJ100" s="1">
        <v>97</v>
      </c>
      <c r="BK100" s="7">
        <v>8.9700000000000006</v>
      </c>
      <c r="BL100" s="7">
        <v>12.41</v>
      </c>
    </row>
    <row r="101" spans="1:68" x14ac:dyDescent="0.2">
      <c r="A101" s="1">
        <v>14</v>
      </c>
      <c r="B101" s="1">
        <v>98</v>
      </c>
      <c r="C101" s="7">
        <f t="shared" si="54"/>
        <v>10.453499999999998</v>
      </c>
      <c r="D101" s="7">
        <f t="shared" si="55"/>
        <v>14.501499999999998</v>
      </c>
      <c r="E101" s="12">
        <v>0.35</v>
      </c>
      <c r="F101" s="12">
        <v>0.35</v>
      </c>
      <c r="G101" s="18">
        <f t="shared" si="31"/>
        <v>10.453499999999998</v>
      </c>
      <c r="H101" s="18">
        <f t="shared" si="32"/>
        <v>11.7</v>
      </c>
      <c r="I101" s="7">
        <f t="shared" si="33"/>
        <v>10.103499999999999</v>
      </c>
      <c r="J101" s="7">
        <f t="shared" si="34"/>
        <v>14.151499999999999</v>
      </c>
      <c r="K101" s="23">
        <f t="shared" si="35"/>
        <v>0</v>
      </c>
      <c r="L101" s="23">
        <f t="shared" si="36"/>
        <v>2.801499999999999</v>
      </c>
      <c r="M101" s="6">
        <f t="shared" si="37"/>
        <v>1.2635735749291241</v>
      </c>
      <c r="N101" s="7">
        <f t="shared" si="38"/>
        <v>115.70879336196919</v>
      </c>
      <c r="O101" s="7">
        <f t="shared" si="39"/>
        <v>160.51571884427187</v>
      </c>
      <c r="P101" s="7">
        <f t="shared" si="40"/>
        <v>113.77173507160283</v>
      </c>
      <c r="Q101" s="7">
        <f t="shared" si="41"/>
        <v>158.57866055390556</v>
      </c>
      <c r="R101" s="7">
        <f t="shared" si="42"/>
        <v>113.38432341352956</v>
      </c>
      <c r="S101" s="7">
        <f t="shared" si="43"/>
        <v>158.1912488958323</v>
      </c>
      <c r="T101" s="7">
        <f t="shared" si="44"/>
        <v>112.9969117554563</v>
      </c>
      <c r="U101" s="7">
        <f t="shared" si="45"/>
        <v>157.80383723775904</v>
      </c>
      <c r="V101" s="23">
        <f t="shared" si="46"/>
        <v>34.712638008590751</v>
      </c>
      <c r="W101" s="23">
        <f t="shared" si="47"/>
        <v>69.861390855126842</v>
      </c>
      <c r="X101" s="30">
        <f t="shared" si="48"/>
        <v>23.141758672393838</v>
      </c>
      <c r="Y101" s="30">
        <f t="shared" si="49"/>
        <v>56.910772570963267</v>
      </c>
      <c r="Z101" s="30">
        <f t="shared" si="50"/>
        <v>1.157087933619692</v>
      </c>
      <c r="AA101" s="30">
        <f t="shared" si="51"/>
        <v>32.304597831052469</v>
      </c>
      <c r="AB101" s="7">
        <f t="shared" si="52"/>
        <v>112.60950009738302</v>
      </c>
      <c r="AC101" s="7">
        <f t="shared" si="53"/>
        <v>157.41642557968578</v>
      </c>
      <c r="AD101" s="7"/>
      <c r="AG101" s="1">
        <v>14</v>
      </c>
      <c r="AH101" s="1">
        <v>98</v>
      </c>
      <c r="AI101" s="7">
        <v>9.09</v>
      </c>
      <c r="AJ101" s="7">
        <v>12.61</v>
      </c>
      <c r="BI101" s="1">
        <v>14</v>
      </c>
      <c r="BJ101" s="1">
        <v>98</v>
      </c>
      <c r="BK101" s="7">
        <v>9.09</v>
      </c>
      <c r="BL101" s="7">
        <v>12.61</v>
      </c>
      <c r="BN101">
        <v>9.4499999999999993</v>
      </c>
      <c r="BO101">
        <v>13.16</v>
      </c>
      <c r="BP101">
        <v>6.47</v>
      </c>
    </row>
    <row r="102" spans="1:68" x14ac:dyDescent="0.2">
      <c r="A102" s="1">
        <v>15</v>
      </c>
      <c r="B102" s="1">
        <v>99</v>
      </c>
      <c r="C102" s="7">
        <f t="shared" si="54"/>
        <v>10.603</v>
      </c>
      <c r="D102" s="7">
        <f t="shared" si="55"/>
        <v>14.719999999999999</v>
      </c>
      <c r="E102" s="12">
        <v>0.35</v>
      </c>
      <c r="F102" s="12">
        <v>0.35</v>
      </c>
      <c r="G102" s="18">
        <f t="shared" si="31"/>
        <v>10.603</v>
      </c>
      <c r="H102" s="18">
        <f t="shared" si="32"/>
        <v>11.7</v>
      </c>
      <c r="I102" s="7">
        <f t="shared" si="33"/>
        <v>10.253</v>
      </c>
      <c r="J102" s="7">
        <f t="shared" si="34"/>
        <v>14.37</v>
      </c>
      <c r="K102" s="23">
        <f t="shared" si="35"/>
        <v>0</v>
      </c>
      <c r="L102" s="23">
        <f t="shared" si="36"/>
        <v>3.0199999999999996</v>
      </c>
      <c r="M102" s="6">
        <f t="shared" si="37"/>
        <v>1.2870385444057348</v>
      </c>
      <c r="N102" s="7">
        <f t="shared" si="38"/>
        <v>119.54307445228591</v>
      </c>
      <c r="O102" s="7">
        <f t="shared" si="39"/>
        <v>165.96001659319515</v>
      </c>
      <c r="P102" s="7">
        <f t="shared" si="40"/>
        <v>117.5700443637119</v>
      </c>
      <c r="Q102" s="7">
        <f t="shared" si="41"/>
        <v>163.98698650462114</v>
      </c>
      <c r="R102" s="7">
        <f t="shared" si="42"/>
        <v>117.17543834599711</v>
      </c>
      <c r="S102" s="7">
        <f t="shared" si="43"/>
        <v>163.59238048690636</v>
      </c>
      <c r="T102" s="7">
        <f t="shared" si="44"/>
        <v>116.7808323282823</v>
      </c>
      <c r="U102" s="7">
        <f t="shared" si="45"/>
        <v>163.19777446919156</v>
      </c>
      <c r="V102" s="23">
        <f t="shared" si="46"/>
        <v>35.862922335685774</v>
      </c>
      <c r="W102" s="23">
        <f t="shared" si="47"/>
        <v>73.622208447932366</v>
      </c>
      <c r="X102" s="30">
        <f t="shared" si="48"/>
        <v>23.908614890457184</v>
      </c>
      <c r="Y102" s="30">
        <f t="shared" si="49"/>
        <v>60.431092998609103</v>
      </c>
      <c r="Z102" s="30">
        <f t="shared" si="50"/>
        <v>1.1954307445228591</v>
      </c>
      <c r="AA102" s="30">
        <f t="shared" si="51"/>
        <v>35.367973644894917</v>
      </c>
      <c r="AB102" s="7">
        <f t="shared" si="52"/>
        <v>116.38622631056751</v>
      </c>
      <c r="AC102" s="7">
        <f t="shared" si="53"/>
        <v>162.80316845147675</v>
      </c>
      <c r="AD102" s="7"/>
      <c r="AG102" s="1">
        <v>15</v>
      </c>
      <c r="AH102" s="1">
        <v>99</v>
      </c>
      <c r="AI102" s="7">
        <v>9.2200000000000006</v>
      </c>
      <c r="AJ102" s="7">
        <v>12.8</v>
      </c>
      <c r="BI102" s="1">
        <v>15</v>
      </c>
      <c r="BJ102" s="1">
        <v>99</v>
      </c>
      <c r="BK102" s="7">
        <v>9.2200000000000006</v>
      </c>
      <c r="BL102" s="7">
        <v>12.8</v>
      </c>
    </row>
    <row r="103" spans="1:68" x14ac:dyDescent="0.2">
      <c r="A103" s="1">
        <v>15</v>
      </c>
      <c r="B103" s="1">
        <v>100</v>
      </c>
      <c r="C103" s="7">
        <f t="shared" si="54"/>
        <v>10.741</v>
      </c>
      <c r="D103" s="7">
        <f t="shared" si="55"/>
        <v>14.95</v>
      </c>
      <c r="E103" s="12">
        <v>0.35</v>
      </c>
      <c r="F103" s="12">
        <v>0.35</v>
      </c>
      <c r="G103" s="18">
        <f t="shared" si="31"/>
        <v>10.741</v>
      </c>
      <c r="H103" s="18">
        <f t="shared" si="32"/>
        <v>11.7</v>
      </c>
      <c r="I103" s="7">
        <f t="shared" si="33"/>
        <v>10.391</v>
      </c>
      <c r="J103" s="7">
        <f t="shared" si="34"/>
        <v>14.6</v>
      </c>
      <c r="K103" s="23">
        <f t="shared" si="35"/>
        <v>0</v>
      </c>
      <c r="L103" s="23">
        <f t="shared" si="36"/>
        <v>3.25</v>
      </c>
      <c r="M103" s="6">
        <f t="shared" si="37"/>
        <v>1.3109392659457497</v>
      </c>
      <c r="N103" s="7">
        <f t="shared" si="38"/>
        <v>123.34779622238409</v>
      </c>
      <c r="O103" s="7">
        <f t="shared" si="39"/>
        <v>171.68322814678729</v>
      </c>
      <c r="P103" s="7">
        <f t="shared" si="40"/>
        <v>121.33812632768924</v>
      </c>
      <c r="Q103" s="7">
        <f t="shared" si="41"/>
        <v>169.67355825209245</v>
      </c>
      <c r="R103" s="7">
        <f t="shared" si="42"/>
        <v>120.93619234875027</v>
      </c>
      <c r="S103" s="7">
        <f t="shared" si="43"/>
        <v>169.27162427315346</v>
      </c>
      <c r="T103" s="7">
        <f t="shared" si="44"/>
        <v>120.5342583698113</v>
      </c>
      <c r="U103" s="7">
        <f t="shared" si="45"/>
        <v>168.86969029421451</v>
      </c>
      <c r="V103" s="23">
        <f t="shared" si="46"/>
        <v>37.004338866715223</v>
      </c>
      <c r="W103" s="23">
        <f t="shared" si="47"/>
        <v>77.63067707506903</v>
      </c>
      <c r="X103" s="30">
        <f t="shared" si="48"/>
        <v>24.669559244476819</v>
      </c>
      <c r="Y103" s="30">
        <f t="shared" si="49"/>
        <v>64.194598350537859</v>
      </c>
      <c r="Z103" s="30">
        <f t="shared" si="50"/>
        <v>1.233477962223841</v>
      </c>
      <c r="AA103" s="30">
        <f t="shared" si="51"/>
        <v>38.666048773928615</v>
      </c>
      <c r="AB103" s="7">
        <f t="shared" si="52"/>
        <v>120.13232439087233</v>
      </c>
      <c r="AC103" s="7">
        <f t="shared" si="53"/>
        <v>168.46775631527555</v>
      </c>
      <c r="AD103" s="7"/>
      <c r="AG103" s="1">
        <v>15</v>
      </c>
      <c r="AH103" s="1">
        <v>100</v>
      </c>
      <c r="AI103" s="7">
        <v>9.34</v>
      </c>
      <c r="AJ103" s="7">
        <v>13</v>
      </c>
      <c r="BI103" s="1">
        <v>15</v>
      </c>
      <c r="BJ103" s="1">
        <v>100</v>
      </c>
      <c r="BK103" s="7">
        <v>9.34</v>
      </c>
      <c r="BL103" s="7">
        <v>13</v>
      </c>
    </row>
    <row r="104" spans="1:68" x14ac:dyDescent="0.2">
      <c r="A104" s="1">
        <v>15</v>
      </c>
      <c r="B104" s="1">
        <v>101</v>
      </c>
      <c r="C104" s="7">
        <f t="shared" si="54"/>
        <v>10.879</v>
      </c>
      <c r="D104" s="7">
        <f t="shared" si="55"/>
        <v>15.168499999999998</v>
      </c>
      <c r="E104" s="12">
        <v>0.35</v>
      </c>
      <c r="F104" s="12">
        <v>0.35</v>
      </c>
      <c r="G104" s="18">
        <f t="shared" si="31"/>
        <v>10.879</v>
      </c>
      <c r="H104" s="18">
        <f t="shared" si="32"/>
        <v>11.7</v>
      </c>
      <c r="I104" s="7">
        <f t="shared" si="33"/>
        <v>10.529</v>
      </c>
      <c r="J104" s="7">
        <f t="shared" si="34"/>
        <v>14.818499999999998</v>
      </c>
      <c r="K104" s="23">
        <f t="shared" si="35"/>
        <v>0</v>
      </c>
      <c r="L104" s="23">
        <f t="shared" si="36"/>
        <v>3.4684999999999988</v>
      </c>
      <c r="M104" s="6">
        <f t="shared" si="37"/>
        <v>1.3352838316057536</v>
      </c>
      <c r="N104" s="7">
        <f t="shared" si="38"/>
        <v>127.25260256338156</v>
      </c>
      <c r="O104" s="7">
        <f t="shared" si="39"/>
        <v>177.427254525476</v>
      </c>
      <c r="P104" s="7">
        <f t="shared" si="40"/>
        <v>125.20561244952995</v>
      </c>
      <c r="Q104" s="7">
        <f t="shared" si="41"/>
        <v>175.38026441162435</v>
      </c>
      <c r="R104" s="7">
        <f t="shared" si="42"/>
        <v>124.79621442675963</v>
      </c>
      <c r="S104" s="7">
        <f t="shared" si="43"/>
        <v>174.97086638885403</v>
      </c>
      <c r="T104" s="7">
        <f t="shared" si="44"/>
        <v>124.3868164039893</v>
      </c>
      <c r="U104" s="7">
        <f t="shared" si="45"/>
        <v>174.56146836608372</v>
      </c>
      <c r="V104" s="23">
        <f t="shared" si="46"/>
        <v>38.175780769014466</v>
      </c>
      <c r="W104" s="23">
        <f t="shared" si="47"/>
        <v>81.628117197220149</v>
      </c>
      <c r="X104" s="30">
        <f t="shared" si="48"/>
        <v>25.450520512676313</v>
      </c>
      <c r="Y104" s="30">
        <f t="shared" si="49"/>
        <v>67.942526150326458</v>
      </c>
      <c r="Z104" s="30">
        <f t="shared" si="50"/>
        <v>1.2725260256338156</v>
      </c>
      <c r="AA104" s="30">
        <f t="shared" si="51"/>
        <v>41.939903161228457</v>
      </c>
      <c r="AB104" s="7">
        <f t="shared" si="52"/>
        <v>123.97741838121898</v>
      </c>
      <c r="AC104" s="7">
        <f t="shared" si="53"/>
        <v>174.15207034331337</v>
      </c>
      <c r="AD104" s="7"/>
      <c r="AG104" s="1">
        <v>15</v>
      </c>
      <c r="AH104" s="1">
        <v>101</v>
      </c>
      <c r="AI104" s="7">
        <v>9.4600000000000009</v>
      </c>
      <c r="AJ104" s="7">
        <v>13.19</v>
      </c>
      <c r="BI104" s="1">
        <v>15</v>
      </c>
      <c r="BJ104" s="1">
        <v>101</v>
      </c>
      <c r="BK104" s="7">
        <v>9.4600000000000009</v>
      </c>
      <c r="BL104" s="7">
        <v>13.19</v>
      </c>
    </row>
    <row r="105" spans="1:68" x14ac:dyDescent="0.2">
      <c r="A105" s="1">
        <v>15</v>
      </c>
      <c r="B105" s="1">
        <v>102</v>
      </c>
      <c r="C105" s="7">
        <f t="shared" si="54"/>
        <v>11.016999999999999</v>
      </c>
      <c r="D105" s="7">
        <f t="shared" si="55"/>
        <v>15.387</v>
      </c>
      <c r="E105" s="12">
        <v>0.35</v>
      </c>
      <c r="F105" s="12">
        <v>0.35</v>
      </c>
      <c r="G105" s="18">
        <f t="shared" si="31"/>
        <v>11.016999999999999</v>
      </c>
      <c r="H105" s="18">
        <f t="shared" si="32"/>
        <v>11.7</v>
      </c>
      <c r="I105" s="7">
        <f t="shared" si="33"/>
        <v>10.667</v>
      </c>
      <c r="J105" s="7">
        <f t="shared" si="34"/>
        <v>15.037000000000001</v>
      </c>
      <c r="K105" s="23">
        <f t="shared" si="35"/>
        <v>0</v>
      </c>
      <c r="L105" s="23">
        <f t="shared" si="36"/>
        <v>3.6870000000000012</v>
      </c>
      <c r="M105" s="6">
        <f t="shared" si="37"/>
        <v>1.3600804837144354</v>
      </c>
      <c r="N105" s="7">
        <f t="shared" si="38"/>
        <v>131.25989859635774</v>
      </c>
      <c r="O105" s="7">
        <f t="shared" si="39"/>
        <v>183.32541160952678</v>
      </c>
      <c r="P105" s="7">
        <f t="shared" si="40"/>
        <v>129.17489521482352</v>
      </c>
      <c r="Q105" s="7">
        <f t="shared" si="41"/>
        <v>181.24040822799253</v>
      </c>
      <c r="R105" s="7">
        <f t="shared" si="42"/>
        <v>128.75789453851667</v>
      </c>
      <c r="S105" s="7">
        <f t="shared" si="43"/>
        <v>180.8234075516857</v>
      </c>
      <c r="T105" s="7">
        <f t="shared" si="44"/>
        <v>128.34089386220981</v>
      </c>
      <c r="U105" s="7">
        <f t="shared" si="45"/>
        <v>180.40640687537885</v>
      </c>
      <c r="V105" s="23">
        <f t="shared" si="46"/>
        <v>39.377969578907319</v>
      </c>
      <c r="W105" s="23">
        <f t="shared" si="47"/>
        <v>85.747253353724858</v>
      </c>
      <c r="X105" s="30">
        <f t="shared" si="48"/>
        <v>26.251979719271549</v>
      </c>
      <c r="Y105" s="30">
        <f t="shared" si="49"/>
        <v>71.807516460038869</v>
      </c>
      <c r="Z105" s="30">
        <f t="shared" si="50"/>
        <v>1.3125989859635774</v>
      </c>
      <c r="AA105" s="30">
        <f t="shared" si="51"/>
        <v>45.322016362035491</v>
      </c>
      <c r="AB105" s="7">
        <f t="shared" si="52"/>
        <v>127.92389318590298</v>
      </c>
      <c r="AC105" s="7">
        <f t="shared" si="53"/>
        <v>179.98940619907199</v>
      </c>
      <c r="AD105" s="7"/>
      <c r="AG105" s="1">
        <v>15</v>
      </c>
      <c r="AH105" s="1">
        <v>102</v>
      </c>
      <c r="AI105" s="7">
        <v>9.58</v>
      </c>
      <c r="AJ105" s="7">
        <v>13.38</v>
      </c>
      <c r="BI105" s="1">
        <v>15</v>
      </c>
      <c r="BJ105" s="1">
        <v>102</v>
      </c>
      <c r="BK105" s="7">
        <v>9.58</v>
      </c>
      <c r="BL105" s="7">
        <v>13.38</v>
      </c>
    </row>
    <row r="106" spans="1:68" x14ac:dyDescent="0.2">
      <c r="A106" s="1">
        <v>15</v>
      </c>
      <c r="B106" s="1">
        <v>103</v>
      </c>
      <c r="C106" s="7">
        <f t="shared" si="54"/>
        <v>11.154999999999998</v>
      </c>
      <c r="D106" s="7">
        <f t="shared" si="55"/>
        <v>15.616999999999999</v>
      </c>
      <c r="E106" s="12">
        <v>0.35</v>
      </c>
      <c r="F106" s="12">
        <v>0.35</v>
      </c>
      <c r="G106" s="18">
        <f t="shared" si="31"/>
        <v>11.154999999999998</v>
      </c>
      <c r="H106" s="18">
        <f t="shared" si="32"/>
        <v>11.7</v>
      </c>
      <c r="I106" s="7">
        <f t="shared" si="33"/>
        <v>10.804999999999998</v>
      </c>
      <c r="J106" s="7">
        <f t="shared" si="34"/>
        <v>15.266999999999999</v>
      </c>
      <c r="K106" s="23">
        <f t="shared" si="35"/>
        <v>0</v>
      </c>
      <c r="L106" s="23">
        <f t="shared" si="36"/>
        <v>3.9169999999999998</v>
      </c>
      <c r="M106" s="6">
        <f t="shared" si="37"/>
        <v>1.3853376176631913</v>
      </c>
      <c r="N106" s="7">
        <f t="shared" si="38"/>
        <v>135.37214425528816</v>
      </c>
      <c r="O106" s="7">
        <f t="shared" si="39"/>
        <v>189.52100195740346</v>
      </c>
      <c r="P106" s="7">
        <f t="shared" si="40"/>
        <v>133.24842168741051</v>
      </c>
      <c r="Q106" s="7">
        <f t="shared" si="41"/>
        <v>187.39727938952578</v>
      </c>
      <c r="R106" s="7">
        <f t="shared" si="42"/>
        <v>132.82367717383497</v>
      </c>
      <c r="S106" s="7">
        <f t="shared" si="43"/>
        <v>186.97253487595023</v>
      </c>
      <c r="T106" s="7">
        <f t="shared" si="44"/>
        <v>132.39893266025945</v>
      </c>
      <c r="U106" s="7">
        <f t="shared" si="45"/>
        <v>186.54779036237471</v>
      </c>
      <c r="V106" s="23">
        <f t="shared" si="46"/>
        <v>40.611643276586449</v>
      </c>
      <c r="W106" s="23">
        <f t="shared" si="47"/>
        <v>90.130785780728417</v>
      </c>
      <c r="X106" s="30">
        <f t="shared" si="48"/>
        <v>27.074428851057633</v>
      </c>
      <c r="Y106" s="30">
        <f t="shared" si="49"/>
        <v>75.932183469774827</v>
      </c>
      <c r="Z106" s="30">
        <f t="shared" si="50"/>
        <v>1.3537214425528816</v>
      </c>
      <c r="AA106" s="30">
        <f t="shared" si="51"/>
        <v>48.954839078963026</v>
      </c>
      <c r="AB106" s="7">
        <f t="shared" si="52"/>
        <v>131.9741881466839</v>
      </c>
      <c r="AC106" s="7">
        <f t="shared" si="53"/>
        <v>186.12304584879917</v>
      </c>
      <c r="AD106" s="7"/>
      <c r="AG106" s="1">
        <v>15</v>
      </c>
      <c r="AH106" s="1">
        <v>103</v>
      </c>
      <c r="AI106" s="7">
        <v>9.6999999999999993</v>
      </c>
      <c r="AJ106" s="7">
        <v>13.58</v>
      </c>
      <c r="BI106" s="1">
        <v>15</v>
      </c>
      <c r="BJ106" s="1">
        <v>103</v>
      </c>
      <c r="BK106" s="7">
        <v>9.6999999999999993</v>
      </c>
      <c r="BL106" s="7">
        <v>13.58</v>
      </c>
    </row>
    <row r="107" spans="1:68" x14ac:dyDescent="0.2">
      <c r="A107" s="1">
        <v>15</v>
      </c>
      <c r="B107" s="1">
        <v>104</v>
      </c>
      <c r="C107" s="7">
        <f t="shared" si="54"/>
        <v>11.292999999999999</v>
      </c>
      <c r="D107" s="7">
        <f t="shared" si="55"/>
        <v>15.835499999999998</v>
      </c>
      <c r="E107" s="12">
        <v>0.35</v>
      </c>
      <c r="F107" s="12">
        <v>0.35</v>
      </c>
      <c r="G107" s="18">
        <f t="shared" si="31"/>
        <v>11.292999999999999</v>
      </c>
      <c r="H107" s="18">
        <f t="shared" si="32"/>
        <v>11.7</v>
      </c>
      <c r="I107" s="7">
        <f t="shared" si="33"/>
        <v>10.943</v>
      </c>
      <c r="J107" s="7">
        <f t="shared" si="34"/>
        <v>15.485499999999998</v>
      </c>
      <c r="K107" s="23">
        <f t="shared" si="35"/>
        <v>0</v>
      </c>
      <c r="L107" s="23">
        <f t="shared" si="36"/>
        <v>4.1354999999999986</v>
      </c>
      <c r="M107" s="6">
        <f t="shared" si="37"/>
        <v>1.4110637847485474</v>
      </c>
      <c r="N107" s="7">
        <f t="shared" si="38"/>
        <v>139.59185549340842</v>
      </c>
      <c r="O107" s="7">
        <f t="shared" si="39"/>
        <v>195.741328935258</v>
      </c>
      <c r="P107" s="7">
        <f t="shared" si="40"/>
        <v>137.42869471138891</v>
      </c>
      <c r="Q107" s="7">
        <f t="shared" si="41"/>
        <v>193.57816815323852</v>
      </c>
      <c r="R107" s="7">
        <f t="shared" si="42"/>
        <v>136.996062554985</v>
      </c>
      <c r="S107" s="7">
        <f t="shared" si="43"/>
        <v>193.14553599683461</v>
      </c>
      <c r="T107" s="7">
        <f t="shared" si="44"/>
        <v>136.56343039858109</v>
      </c>
      <c r="U107" s="7">
        <f t="shared" si="45"/>
        <v>192.7129038404307</v>
      </c>
      <c r="V107" s="23">
        <f t="shared" si="46"/>
        <v>41.877556648022527</v>
      </c>
      <c r="W107" s="23">
        <f t="shared" si="47"/>
        <v>94.505404336744348</v>
      </c>
      <c r="X107" s="30">
        <f t="shared" si="48"/>
        <v>27.918371098681686</v>
      </c>
      <c r="Y107" s="30">
        <f t="shared" si="49"/>
        <v>80.043129394099537</v>
      </c>
      <c r="Z107" s="30">
        <f t="shared" si="50"/>
        <v>1.3959185549340842</v>
      </c>
      <c r="AA107" s="30">
        <f t="shared" si="51"/>
        <v>52.564807003074399</v>
      </c>
      <c r="AB107" s="7">
        <f t="shared" si="52"/>
        <v>136.13079824217718</v>
      </c>
      <c r="AC107" s="7">
        <f t="shared" si="53"/>
        <v>192.28027168402679</v>
      </c>
      <c r="AD107" s="7"/>
      <c r="AG107" s="1">
        <v>15</v>
      </c>
      <c r="AH107" s="1">
        <v>104</v>
      </c>
      <c r="AI107" s="7">
        <v>9.82</v>
      </c>
      <c r="AJ107" s="7">
        <v>13.77</v>
      </c>
      <c r="BI107" s="1">
        <v>15</v>
      </c>
      <c r="BJ107" s="1">
        <v>104</v>
      </c>
      <c r="BK107" s="7">
        <v>9.82</v>
      </c>
      <c r="BL107" s="7">
        <v>13.77</v>
      </c>
    </row>
    <row r="108" spans="1:68" x14ac:dyDescent="0.2">
      <c r="A108" s="1">
        <v>15</v>
      </c>
      <c r="B108" s="1">
        <v>105</v>
      </c>
      <c r="C108" s="7">
        <f t="shared" si="54"/>
        <v>11.430999999999999</v>
      </c>
      <c r="D108" s="7">
        <f t="shared" si="55"/>
        <v>16.053999999999998</v>
      </c>
      <c r="E108" s="12">
        <v>0.35</v>
      </c>
      <c r="F108" s="12">
        <v>0.35</v>
      </c>
      <c r="G108" s="18">
        <f t="shared" si="31"/>
        <v>11.430999999999999</v>
      </c>
      <c r="H108" s="18">
        <f t="shared" si="32"/>
        <v>11.7</v>
      </c>
      <c r="I108" s="7">
        <f t="shared" si="33"/>
        <v>11.081</v>
      </c>
      <c r="J108" s="7">
        <f t="shared" si="34"/>
        <v>15.703999999999999</v>
      </c>
      <c r="K108" s="23">
        <f t="shared" si="35"/>
        <v>0</v>
      </c>
      <c r="L108" s="23">
        <f t="shared" si="36"/>
        <v>4.3539999999999992</v>
      </c>
      <c r="M108" s="6">
        <f t="shared" si="37"/>
        <v>1.4372676950673688</v>
      </c>
      <c r="N108" s="7">
        <f t="shared" si="38"/>
        <v>143.92160551548019</v>
      </c>
      <c r="O108" s="7">
        <f t="shared" si="39"/>
        <v>202.12732525111707</v>
      </c>
      <c r="P108" s="7">
        <f t="shared" si="40"/>
        <v>141.71827413894189</v>
      </c>
      <c r="Q108" s="7">
        <f t="shared" si="41"/>
        <v>199.92399387457877</v>
      </c>
      <c r="R108" s="7">
        <f t="shared" si="42"/>
        <v>141.27760786363424</v>
      </c>
      <c r="S108" s="7">
        <f t="shared" si="43"/>
        <v>199.48332759927112</v>
      </c>
      <c r="T108" s="7">
        <f t="shared" si="44"/>
        <v>140.8369415883266</v>
      </c>
      <c r="U108" s="7">
        <f t="shared" si="45"/>
        <v>199.04266132396347</v>
      </c>
      <c r="V108" s="23">
        <f t="shared" si="46"/>
        <v>43.176481654644057</v>
      </c>
      <c r="W108" s="23">
        <f t="shared" si="47"/>
        <v>99.011416829125736</v>
      </c>
      <c r="X108" s="30">
        <f t="shared" si="48"/>
        <v>28.78432110309604</v>
      </c>
      <c r="Y108" s="30">
        <f t="shared" si="49"/>
        <v>84.280572768841267</v>
      </c>
      <c r="Z108" s="30">
        <f t="shared" si="50"/>
        <v>1.4392160551548019</v>
      </c>
      <c r="AA108" s="30">
        <f t="shared" si="51"/>
        <v>56.291969054300758</v>
      </c>
      <c r="AB108" s="7">
        <f t="shared" si="52"/>
        <v>140.39627531301892</v>
      </c>
      <c r="AC108" s="7">
        <f t="shared" si="53"/>
        <v>198.60199504865579</v>
      </c>
      <c r="AD108" s="7"/>
      <c r="AG108" s="1">
        <v>15</v>
      </c>
      <c r="AH108" s="1">
        <v>105</v>
      </c>
      <c r="AI108" s="7">
        <v>9.94</v>
      </c>
      <c r="AJ108" s="7">
        <v>13.96</v>
      </c>
      <c r="BI108" s="1">
        <v>15</v>
      </c>
      <c r="BJ108" s="1">
        <v>105</v>
      </c>
      <c r="BK108" s="7">
        <v>9.94</v>
      </c>
      <c r="BL108" s="7">
        <v>13.96</v>
      </c>
      <c r="BN108">
        <v>10.32</v>
      </c>
      <c r="BO108">
        <v>14.55</v>
      </c>
      <c r="BP108">
        <v>7.08</v>
      </c>
    </row>
    <row r="109" spans="1:68" x14ac:dyDescent="0.2">
      <c r="A109" s="1">
        <v>16</v>
      </c>
      <c r="B109" s="1">
        <v>106</v>
      </c>
      <c r="C109" s="7">
        <f t="shared" si="54"/>
        <v>11.557499999999999</v>
      </c>
      <c r="D109" s="7">
        <f t="shared" si="55"/>
        <v>16.272500000000001</v>
      </c>
      <c r="E109" s="12">
        <v>0.35</v>
      </c>
      <c r="F109" s="12">
        <v>0.35</v>
      </c>
      <c r="G109" s="18">
        <f t="shared" si="31"/>
        <v>11.557499999999999</v>
      </c>
      <c r="H109" s="18">
        <f t="shared" si="32"/>
        <v>11.7</v>
      </c>
      <c r="I109" s="7">
        <f t="shared" si="33"/>
        <v>11.2075</v>
      </c>
      <c r="J109" s="7">
        <f t="shared" si="34"/>
        <v>15.922500000000001</v>
      </c>
      <c r="K109" s="23">
        <f t="shared" si="35"/>
        <v>0</v>
      </c>
      <c r="L109" s="23">
        <f t="shared" si="36"/>
        <v>4.5725000000000016</v>
      </c>
      <c r="M109" s="6">
        <f t="shared" si="37"/>
        <v>1.4639582204658335</v>
      </c>
      <c r="N109" s="7">
        <f t="shared" si="38"/>
        <v>148.21654688537669</v>
      </c>
      <c r="O109" s="7">
        <f t="shared" si="39"/>
        <v>208.68299884856523</v>
      </c>
      <c r="P109" s="7">
        <f t="shared" si="40"/>
        <v>145.97229893340258</v>
      </c>
      <c r="Q109" s="7">
        <f t="shared" si="41"/>
        <v>206.43875089659113</v>
      </c>
      <c r="R109" s="7">
        <f t="shared" si="42"/>
        <v>145.52344934300774</v>
      </c>
      <c r="S109" s="7">
        <f t="shared" si="43"/>
        <v>205.98990130619629</v>
      </c>
      <c r="T109" s="7">
        <f t="shared" si="44"/>
        <v>145.07459975261293</v>
      </c>
      <c r="U109" s="7">
        <f t="shared" si="45"/>
        <v>205.54105171580147</v>
      </c>
      <c r="V109" s="23">
        <f t="shared" si="46"/>
        <v>44.464964065613003</v>
      </c>
      <c r="W109" s="23">
        <f t="shared" si="47"/>
        <v>103.65219469617628</v>
      </c>
      <c r="X109" s="30">
        <f t="shared" si="48"/>
        <v>29.64330937707534</v>
      </c>
      <c r="Y109" s="30">
        <f t="shared" si="49"/>
        <v>88.647794102977855</v>
      </c>
      <c r="Z109" s="30">
        <f t="shared" si="50"/>
        <v>1.4821654688537669</v>
      </c>
      <c r="AA109" s="30">
        <f t="shared" si="51"/>
        <v>60.139432975900867</v>
      </c>
      <c r="AB109" s="7">
        <f t="shared" si="52"/>
        <v>144.62575016221811</v>
      </c>
      <c r="AC109" s="7">
        <f t="shared" si="53"/>
        <v>205.09220212540666</v>
      </c>
      <c r="AD109" s="7"/>
      <c r="AG109" s="1">
        <v>16</v>
      </c>
      <c r="AH109" s="1">
        <v>106</v>
      </c>
      <c r="AI109" s="7">
        <v>10.050000000000001</v>
      </c>
      <c r="AJ109" s="7">
        <v>14.15</v>
      </c>
      <c r="BI109" s="1">
        <v>16</v>
      </c>
      <c r="BJ109" s="1">
        <v>106</v>
      </c>
      <c r="BK109" s="7">
        <v>10.050000000000001</v>
      </c>
      <c r="BL109" s="7">
        <v>14.15</v>
      </c>
    </row>
    <row r="110" spans="1:68" x14ac:dyDescent="0.2">
      <c r="A110" s="1">
        <v>16</v>
      </c>
      <c r="B110" s="1">
        <v>107</v>
      </c>
      <c r="C110" s="7">
        <f t="shared" si="54"/>
        <v>11.695499999999999</v>
      </c>
      <c r="D110" s="7">
        <f t="shared" si="55"/>
        <v>16.502499999999998</v>
      </c>
      <c r="E110" s="12">
        <v>0.35</v>
      </c>
      <c r="F110" s="12">
        <v>0.35</v>
      </c>
      <c r="G110" s="18">
        <f t="shared" si="31"/>
        <v>11.695499999999999</v>
      </c>
      <c r="H110" s="18">
        <f t="shared" si="32"/>
        <v>11.7</v>
      </c>
      <c r="I110" s="7">
        <f t="shared" si="33"/>
        <v>11.345499999999999</v>
      </c>
      <c r="J110" s="7">
        <f t="shared" si="34"/>
        <v>16.152499999999996</v>
      </c>
      <c r="K110" s="23">
        <f t="shared" si="35"/>
        <v>0</v>
      </c>
      <c r="L110" s="23">
        <f t="shared" si="36"/>
        <v>4.8024999999999984</v>
      </c>
      <c r="M110" s="6">
        <f t="shared" si="37"/>
        <v>1.4911443975431682</v>
      </c>
      <c r="N110" s="7">
        <f t="shared" si="38"/>
        <v>152.77159068084325</v>
      </c>
      <c r="O110" s="7">
        <f t="shared" si="39"/>
        <v>215.56266728319565</v>
      </c>
      <c r="P110" s="7">
        <f t="shared" si="40"/>
        <v>150.48566631940955</v>
      </c>
      <c r="Q110" s="7">
        <f t="shared" si="41"/>
        <v>213.27674292176198</v>
      </c>
      <c r="R110" s="7">
        <f t="shared" si="42"/>
        <v>150.02848144712283</v>
      </c>
      <c r="S110" s="7">
        <f t="shared" si="43"/>
        <v>212.81955804947526</v>
      </c>
      <c r="T110" s="7">
        <f t="shared" si="44"/>
        <v>149.57129657483608</v>
      </c>
      <c r="U110" s="7">
        <f t="shared" si="45"/>
        <v>212.36237317718852</v>
      </c>
      <c r="V110" s="23">
        <f t="shared" si="46"/>
        <v>45.83147720425297</v>
      </c>
      <c r="W110" s="23">
        <f t="shared" si="47"/>
        <v>108.5814071680996</v>
      </c>
      <c r="X110" s="30">
        <f t="shared" si="48"/>
        <v>30.55431813616865</v>
      </c>
      <c r="Y110" s="30">
        <f t="shared" si="49"/>
        <v>93.298370008800177</v>
      </c>
      <c r="Z110" s="30">
        <f t="shared" si="50"/>
        <v>1.5277159068084325</v>
      </c>
      <c r="AA110" s="30">
        <f t="shared" si="51"/>
        <v>64.260599406131249</v>
      </c>
      <c r="AB110" s="7">
        <f t="shared" si="52"/>
        <v>149.11411170254934</v>
      </c>
      <c r="AC110" s="7">
        <f t="shared" si="53"/>
        <v>211.90518830490177</v>
      </c>
      <c r="AD110" s="7"/>
      <c r="AG110" s="1">
        <v>16</v>
      </c>
      <c r="AH110" s="1">
        <v>107</v>
      </c>
      <c r="AI110" s="7">
        <v>10.17</v>
      </c>
      <c r="AJ110" s="7">
        <v>14.35</v>
      </c>
      <c r="BI110" s="1">
        <v>16</v>
      </c>
      <c r="BJ110" s="1">
        <v>107</v>
      </c>
      <c r="BK110" s="7">
        <v>10.17</v>
      </c>
      <c r="BL110" s="7">
        <v>14.35</v>
      </c>
    </row>
    <row r="111" spans="1:68" x14ac:dyDescent="0.2">
      <c r="A111" s="1">
        <v>16</v>
      </c>
      <c r="B111" s="1">
        <v>108</v>
      </c>
      <c r="C111" s="7">
        <f t="shared" si="54"/>
        <v>11.833499999999997</v>
      </c>
      <c r="D111" s="7">
        <f t="shared" si="55"/>
        <v>16.720999999999997</v>
      </c>
      <c r="E111" s="12">
        <v>0.35</v>
      </c>
      <c r="F111" s="12">
        <v>0.35</v>
      </c>
      <c r="G111" s="18">
        <f t="shared" si="31"/>
        <v>11.7</v>
      </c>
      <c r="H111" s="18">
        <f t="shared" si="32"/>
        <v>11.7</v>
      </c>
      <c r="I111" s="7">
        <f t="shared" si="33"/>
        <v>11.483499999999998</v>
      </c>
      <c r="J111" s="7">
        <f t="shared" si="34"/>
        <v>16.370999999999995</v>
      </c>
      <c r="K111" s="23">
        <f t="shared" si="35"/>
        <v>0.13349999999999795</v>
      </c>
      <c r="L111" s="23">
        <f t="shared" si="36"/>
        <v>5.0209999999999972</v>
      </c>
      <c r="M111" s="6">
        <f t="shared" si="37"/>
        <v>1.5188354307111678</v>
      </c>
      <c r="N111" s="7">
        <f t="shared" si="38"/>
        <v>157.44469824724845</v>
      </c>
      <c r="O111" s="7">
        <f t="shared" si="39"/>
        <v>222.47287779543171</v>
      </c>
      <c r="P111" s="7">
        <f t="shared" si="40"/>
        <v>155.11632353196825</v>
      </c>
      <c r="Q111" s="7">
        <f t="shared" si="41"/>
        <v>220.14450308015151</v>
      </c>
      <c r="R111" s="7">
        <f t="shared" si="42"/>
        <v>154.65064858891219</v>
      </c>
      <c r="S111" s="7">
        <f t="shared" si="43"/>
        <v>219.67882813709545</v>
      </c>
      <c r="T111" s="7">
        <f t="shared" si="44"/>
        <v>154.18497364585616</v>
      </c>
      <c r="U111" s="7">
        <f t="shared" si="45"/>
        <v>219.21315319403942</v>
      </c>
      <c r="V111" s="23">
        <f t="shared" si="46"/>
        <v>48.476761572134158</v>
      </c>
      <c r="W111" s="23">
        <f t="shared" si="47"/>
        <v>113.50494112031744</v>
      </c>
      <c r="X111" s="30">
        <f t="shared" si="48"/>
        <v>32.909913475689258</v>
      </c>
      <c r="Y111" s="30">
        <f t="shared" si="49"/>
        <v>97.93809302387254</v>
      </c>
      <c r="Z111" s="30">
        <f t="shared" si="50"/>
        <v>3.3329020924439448</v>
      </c>
      <c r="AA111" s="30">
        <f t="shared" si="51"/>
        <v>68.361081640627233</v>
      </c>
      <c r="AB111" s="7">
        <f t="shared" si="52"/>
        <v>153.7192987028001</v>
      </c>
      <c r="AC111" s="7">
        <f t="shared" si="53"/>
        <v>218.74747825098336</v>
      </c>
      <c r="AD111" s="7"/>
      <c r="AG111" s="1">
        <v>16</v>
      </c>
      <c r="AH111" s="1">
        <v>108</v>
      </c>
      <c r="AI111" s="7">
        <v>10.29</v>
      </c>
      <c r="AJ111" s="7">
        <v>14.54</v>
      </c>
      <c r="BI111" s="1">
        <v>16</v>
      </c>
      <c r="BJ111" s="1">
        <v>108</v>
      </c>
      <c r="BK111" s="7">
        <v>10.29</v>
      </c>
      <c r="BL111" s="7">
        <v>14.54</v>
      </c>
    </row>
    <row r="112" spans="1:68" x14ac:dyDescent="0.2">
      <c r="A112" s="1">
        <v>16</v>
      </c>
      <c r="B112" s="1">
        <v>109</v>
      </c>
      <c r="C112" s="7">
        <f t="shared" si="54"/>
        <v>11.959999999999999</v>
      </c>
      <c r="D112" s="7">
        <f t="shared" si="55"/>
        <v>16.939499999999999</v>
      </c>
      <c r="E112" s="12">
        <v>0.35</v>
      </c>
      <c r="F112" s="12">
        <v>0.35</v>
      </c>
      <c r="G112" s="18">
        <f t="shared" si="31"/>
        <v>11.7</v>
      </c>
      <c r="H112" s="18">
        <f t="shared" si="32"/>
        <v>11.7</v>
      </c>
      <c r="I112" s="7">
        <f t="shared" si="33"/>
        <v>11.61</v>
      </c>
      <c r="J112" s="7">
        <f t="shared" si="34"/>
        <v>16.589499999999997</v>
      </c>
      <c r="K112" s="23">
        <f t="shared" si="35"/>
        <v>0.25999999999999979</v>
      </c>
      <c r="L112" s="23">
        <f t="shared" si="36"/>
        <v>5.2394999999999996</v>
      </c>
      <c r="M112" s="6">
        <f t="shared" si="37"/>
        <v>1.5470406953105251</v>
      </c>
      <c r="N112" s="7">
        <f t="shared" si="38"/>
        <v>162.08283483140559</v>
      </c>
      <c r="O112" s="7">
        <f t="shared" si="39"/>
        <v>229.56539971794271</v>
      </c>
      <c r="P112" s="7">
        <f t="shared" si="40"/>
        <v>159.71122144549457</v>
      </c>
      <c r="Q112" s="7">
        <f t="shared" si="41"/>
        <v>227.19378633203166</v>
      </c>
      <c r="R112" s="7">
        <f t="shared" si="42"/>
        <v>159.23689876831236</v>
      </c>
      <c r="S112" s="7">
        <f t="shared" si="43"/>
        <v>226.71946365484945</v>
      </c>
      <c r="T112" s="7">
        <f t="shared" si="44"/>
        <v>158.76257609113014</v>
      </c>
      <c r="U112" s="7">
        <f t="shared" si="45"/>
        <v>226.24514097766723</v>
      </c>
      <c r="V112" s="23">
        <f t="shared" si="46"/>
        <v>51.091328370769148</v>
      </c>
      <c r="W112" s="23">
        <f t="shared" si="47"/>
        <v>118.57389325730625</v>
      </c>
      <c r="X112" s="30">
        <f t="shared" si="48"/>
        <v>35.235398876392516</v>
      </c>
      <c r="Y112" s="30">
        <f t="shared" si="49"/>
        <v>102.71796376292963</v>
      </c>
      <c r="Z112" s="30">
        <f t="shared" si="50"/>
        <v>5.1091328370769116</v>
      </c>
      <c r="AA112" s="30">
        <f t="shared" si="51"/>
        <v>72.591697723614033</v>
      </c>
      <c r="AB112" s="7">
        <f t="shared" si="52"/>
        <v>158.28825341394793</v>
      </c>
      <c r="AC112" s="7">
        <f t="shared" si="53"/>
        <v>225.77081830048502</v>
      </c>
      <c r="AD112" s="7"/>
      <c r="AG112" s="1">
        <v>16</v>
      </c>
      <c r="AH112" s="1">
        <v>109</v>
      </c>
      <c r="AI112" s="7">
        <v>10.4</v>
      </c>
      <c r="AJ112" s="7">
        <v>14.73</v>
      </c>
      <c r="BI112" s="1">
        <v>16</v>
      </c>
      <c r="BJ112" s="1">
        <v>109</v>
      </c>
      <c r="BK112" s="7">
        <v>10.4</v>
      </c>
      <c r="BL112" s="7">
        <v>14.73</v>
      </c>
    </row>
    <row r="113" spans="1:68" x14ac:dyDescent="0.2">
      <c r="A113" s="1">
        <v>16</v>
      </c>
      <c r="B113" s="1">
        <v>110</v>
      </c>
      <c r="C113" s="7">
        <f t="shared" si="54"/>
        <v>12.097999999999999</v>
      </c>
      <c r="D113" s="7">
        <f t="shared" si="55"/>
        <v>17.157999999999998</v>
      </c>
      <c r="E113" s="12">
        <v>0.35</v>
      </c>
      <c r="F113" s="12">
        <v>0.35</v>
      </c>
      <c r="G113" s="18">
        <f t="shared" si="31"/>
        <v>11.7</v>
      </c>
      <c r="H113" s="18">
        <f t="shared" si="32"/>
        <v>11.7</v>
      </c>
      <c r="I113" s="7">
        <f t="shared" si="33"/>
        <v>11.747999999999999</v>
      </c>
      <c r="J113" s="7">
        <f t="shared" si="34"/>
        <v>16.807999999999996</v>
      </c>
      <c r="K113" s="23">
        <f t="shared" si="35"/>
        <v>0.39799999999999969</v>
      </c>
      <c r="L113" s="23">
        <f t="shared" si="36"/>
        <v>5.4579999999999984</v>
      </c>
      <c r="M113" s="6">
        <f t="shared" si="37"/>
        <v>1.5757697407850417</v>
      </c>
      <c r="N113" s="7">
        <f t="shared" si="38"/>
        <v>166.99768195839272</v>
      </c>
      <c r="O113" s="7">
        <f t="shared" si="39"/>
        <v>236.84462118053412</v>
      </c>
      <c r="P113" s="7">
        <f t="shared" si="40"/>
        <v>164.58202694576926</v>
      </c>
      <c r="Q113" s="7">
        <f t="shared" si="41"/>
        <v>234.42896616791066</v>
      </c>
      <c r="R113" s="7">
        <f t="shared" si="42"/>
        <v>164.09889594324457</v>
      </c>
      <c r="S113" s="7">
        <f t="shared" si="43"/>
        <v>233.94583516538597</v>
      </c>
      <c r="T113" s="7">
        <f t="shared" si="44"/>
        <v>163.61576494071988</v>
      </c>
      <c r="U113" s="7">
        <f t="shared" si="45"/>
        <v>233.46270416286129</v>
      </c>
      <c r="V113" s="23">
        <f t="shared" si="46"/>
        <v>53.945027367614372</v>
      </c>
      <c r="W113" s="23">
        <f t="shared" si="47"/>
        <v>123.79196658975579</v>
      </c>
      <c r="X113" s="30">
        <f t="shared" si="48"/>
        <v>37.794648140360323</v>
      </c>
      <c r="Y113" s="30">
        <f t="shared" si="49"/>
        <v>107.64158736250175</v>
      </c>
      <c r="Z113" s="30">
        <f t="shared" si="50"/>
        <v>7.1089276085776323</v>
      </c>
      <c r="AA113" s="30">
        <f t="shared" si="51"/>
        <v>76.95586683071906</v>
      </c>
      <c r="AB113" s="7">
        <f t="shared" si="52"/>
        <v>163.1326339381952</v>
      </c>
      <c r="AC113" s="7">
        <f t="shared" si="53"/>
        <v>232.9795731603366</v>
      </c>
      <c r="AD113" s="7"/>
      <c r="AG113" s="1">
        <v>16</v>
      </c>
      <c r="AH113" s="1">
        <v>110</v>
      </c>
      <c r="AI113" s="7">
        <v>10.52</v>
      </c>
      <c r="AJ113" s="7">
        <v>14.92</v>
      </c>
      <c r="BI113" s="1">
        <v>16</v>
      </c>
      <c r="BJ113" s="1">
        <v>110</v>
      </c>
      <c r="BK113" s="7">
        <v>10.52</v>
      </c>
      <c r="BL113" s="7">
        <v>14.92</v>
      </c>
    </row>
    <row r="114" spans="1:68" x14ac:dyDescent="0.2">
      <c r="A114" s="1">
        <v>16</v>
      </c>
      <c r="B114" s="1">
        <v>111</v>
      </c>
      <c r="C114" s="7">
        <f t="shared" si="54"/>
        <v>12.224500000000001</v>
      </c>
      <c r="D114" s="7">
        <f t="shared" si="55"/>
        <v>17.376499999999997</v>
      </c>
      <c r="E114" s="12">
        <v>0.35</v>
      </c>
      <c r="F114" s="12">
        <v>0.35</v>
      </c>
      <c r="G114" s="18">
        <f t="shared" si="31"/>
        <v>11.7</v>
      </c>
      <c r="H114" s="18">
        <f t="shared" si="32"/>
        <v>11.7</v>
      </c>
      <c r="I114" s="7">
        <f t="shared" si="33"/>
        <v>11.874500000000001</v>
      </c>
      <c r="J114" s="7">
        <f t="shared" si="34"/>
        <v>17.026499999999995</v>
      </c>
      <c r="K114" s="23">
        <f t="shared" si="35"/>
        <v>0.52450000000000152</v>
      </c>
      <c r="L114" s="23">
        <f t="shared" si="36"/>
        <v>5.6764999999999972</v>
      </c>
      <c r="M114" s="6">
        <f t="shared" si="37"/>
        <v>1.6050322939147728</v>
      </c>
      <c r="N114" s="7">
        <f t="shared" si="38"/>
        <v>171.87748334617959</v>
      </c>
      <c r="O114" s="7">
        <f t="shared" si="39"/>
        <v>244.31503041963995</v>
      </c>
      <c r="P114" s="7">
        <f t="shared" si="40"/>
        <v>169.41696883960824</v>
      </c>
      <c r="Q114" s="7">
        <f t="shared" si="41"/>
        <v>241.85451591306861</v>
      </c>
      <c r="R114" s="7">
        <f t="shared" si="42"/>
        <v>168.92486593829398</v>
      </c>
      <c r="S114" s="7">
        <f t="shared" si="43"/>
        <v>241.36241301175434</v>
      </c>
      <c r="T114" s="7">
        <f t="shared" si="44"/>
        <v>168.43276303697971</v>
      </c>
      <c r="U114" s="7">
        <f t="shared" si="45"/>
        <v>240.87031011044007</v>
      </c>
      <c r="V114" s="23">
        <f t="shared" si="46"/>
        <v>56.725404438640574</v>
      </c>
      <c r="W114" s="23">
        <f t="shared" si="47"/>
        <v>129.16295151210096</v>
      </c>
      <c r="X114" s="30">
        <f t="shared" si="48"/>
        <v>40.275107451849287</v>
      </c>
      <c r="Y114" s="30">
        <f t="shared" si="49"/>
        <v>112.71265452530966</v>
      </c>
      <c r="Z114" s="30">
        <f t="shared" si="50"/>
        <v>9.0195431769458416</v>
      </c>
      <c r="AA114" s="30">
        <f t="shared" si="51"/>
        <v>81.45709025040621</v>
      </c>
      <c r="AB114" s="7">
        <f t="shared" si="52"/>
        <v>167.94066013566544</v>
      </c>
      <c r="AC114" s="7">
        <f t="shared" si="53"/>
        <v>240.3782072091258</v>
      </c>
      <c r="AD114" s="7"/>
      <c r="AG114" s="1">
        <v>16</v>
      </c>
      <c r="AH114" s="1">
        <v>111</v>
      </c>
      <c r="AI114" s="7">
        <v>10.63</v>
      </c>
      <c r="AJ114" s="7">
        <v>15.11</v>
      </c>
      <c r="BI114" s="1">
        <v>16</v>
      </c>
      <c r="BJ114" s="1">
        <v>111</v>
      </c>
      <c r="BK114" s="7">
        <v>10.63</v>
      </c>
      <c r="BL114" s="7">
        <v>15.11</v>
      </c>
    </row>
    <row r="115" spans="1:68" x14ac:dyDescent="0.2">
      <c r="A115" s="1">
        <v>16</v>
      </c>
      <c r="B115" s="1">
        <v>112</v>
      </c>
      <c r="C115" s="7">
        <f t="shared" si="54"/>
        <v>12.350999999999999</v>
      </c>
      <c r="D115" s="7">
        <f t="shared" si="55"/>
        <v>17.594999999999999</v>
      </c>
      <c r="E115" s="12">
        <v>0.35</v>
      </c>
      <c r="F115" s="12">
        <v>0.35</v>
      </c>
      <c r="G115" s="18">
        <f t="shared" si="31"/>
        <v>11.7</v>
      </c>
      <c r="H115" s="18">
        <f t="shared" si="32"/>
        <v>11.7</v>
      </c>
      <c r="I115" s="7">
        <f t="shared" si="33"/>
        <v>12.000999999999999</v>
      </c>
      <c r="J115" s="7">
        <f t="shared" si="34"/>
        <v>17.244999999999997</v>
      </c>
      <c r="K115" s="23">
        <f t="shared" si="35"/>
        <v>0.6509999999999998</v>
      </c>
      <c r="L115" s="23">
        <f t="shared" si="36"/>
        <v>5.8949999999999996</v>
      </c>
      <c r="M115" s="6">
        <f t="shared" si="37"/>
        <v>1.6348382621092228</v>
      </c>
      <c r="N115" s="7">
        <f t="shared" si="38"/>
        <v>176.88093340772446</v>
      </c>
      <c r="O115" s="7">
        <f t="shared" si="39"/>
        <v>251.98121798307113</v>
      </c>
      <c r="P115" s="7">
        <f t="shared" si="40"/>
        <v>174.37472635191099</v>
      </c>
      <c r="Q115" s="7">
        <f t="shared" si="41"/>
        <v>249.4750109272577</v>
      </c>
      <c r="R115" s="7">
        <f t="shared" si="42"/>
        <v>173.87348494074831</v>
      </c>
      <c r="S115" s="7">
        <f t="shared" si="43"/>
        <v>248.97376951609502</v>
      </c>
      <c r="T115" s="7">
        <f t="shared" si="44"/>
        <v>173.37224352958563</v>
      </c>
      <c r="U115" s="7">
        <f t="shared" si="45"/>
        <v>248.47252810493234</v>
      </c>
      <c r="V115" s="23">
        <f t="shared" si="46"/>
        <v>59.590443195655524</v>
      </c>
      <c r="W115" s="23">
        <f t="shared" si="47"/>
        <v>134.69072777100223</v>
      </c>
      <c r="X115" s="30">
        <f t="shared" si="48"/>
        <v>42.834658879645687</v>
      </c>
      <c r="Y115" s="30">
        <f t="shared" si="49"/>
        <v>117.93494345499238</v>
      </c>
      <c r="Z115" s="30">
        <f t="shared" si="50"/>
        <v>10.998668679226974</v>
      </c>
      <c r="AA115" s="30">
        <f t="shared" si="51"/>
        <v>86.098953254573672</v>
      </c>
      <c r="AB115" s="7">
        <f t="shared" si="52"/>
        <v>172.87100211842292</v>
      </c>
      <c r="AC115" s="7">
        <f t="shared" si="53"/>
        <v>247.97128669376963</v>
      </c>
      <c r="AD115" s="7"/>
      <c r="AG115" s="1">
        <v>16</v>
      </c>
      <c r="AH115" s="1">
        <v>112</v>
      </c>
      <c r="AI115" s="11">
        <v>10.74</v>
      </c>
      <c r="AJ115" s="7">
        <v>15.3</v>
      </c>
      <c r="BI115" s="1">
        <v>16</v>
      </c>
      <c r="BJ115" s="1">
        <v>112</v>
      </c>
      <c r="BK115" s="11">
        <v>10.74</v>
      </c>
      <c r="BL115" s="7">
        <v>15.3</v>
      </c>
      <c r="BN115">
        <v>11.15</v>
      </c>
      <c r="BO115">
        <v>15.95</v>
      </c>
      <c r="BP115">
        <v>7.68</v>
      </c>
    </row>
    <row r="116" spans="1:68" x14ac:dyDescent="0.2">
      <c r="A116" s="1">
        <v>17</v>
      </c>
      <c r="B116" s="1">
        <v>113</v>
      </c>
      <c r="C116" s="7"/>
      <c r="D116" s="7">
        <f t="shared" ref="D116:D150" si="56">AJ116*1.15</f>
        <v>17.813499999999998</v>
      </c>
      <c r="E116" s="12"/>
      <c r="F116" s="12">
        <v>0.35</v>
      </c>
      <c r="G116" s="22"/>
      <c r="H116" s="18">
        <f t="shared" si="32"/>
        <v>11.7</v>
      </c>
      <c r="J116" s="7">
        <f t="shared" si="34"/>
        <v>17.463499999999996</v>
      </c>
      <c r="K116" s="23"/>
      <c r="L116" s="23">
        <f t="shared" si="36"/>
        <v>6.1134999999999984</v>
      </c>
      <c r="M116" s="6">
        <f t="shared" si="37"/>
        <v>1.6651977367616904</v>
      </c>
      <c r="O116" s="7">
        <f t="shared" si="39"/>
        <v>259.84787898212625</v>
      </c>
      <c r="Q116" s="7">
        <f t="shared" si="41"/>
        <v>257.29513085167054</v>
      </c>
      <c r="S116" s="7">
        <f t="shared" si="43"/>
        <v>256.78458122557942</v>
      </c>
      <c r="U116" s="7">
        <f t="shared" si="45"/>
        <v>256.2740315994883</v>
      </c>
      <c r="V116" s="23"/>
      <c r="W116" s="23">
        <f t="shared" si="47"/>
        <v>140.37926647680084</v>
      </c>
      <c r="X116" s="30"/>
      <c r="Y116" s="30">
        <f t="shared" si="49"/>
        <v>123.31232183318292</v>
      </c>
      <c r="Z116" s="30"/>
      <c r="AA116" s="30">
        <f t="shared" si="51"/>
        <v>90.885127010308878</v>
      </c>
      <c r="AC116" s="7">
        <f t="shared" si="53"/>
        <v>255.76348197339715</v>
      </c>
      <c r="AD116" s="7"/>
      <c r="AG116" s="1">
        <v>17</v>
      </c>
      <c r="AH116" s="1">
        <v>113</v>
      </c>
      <c r="AI116" s="7">
        <v>10.85</v>
      </c>
      <c r="AJ116" s="7">
        <v>15.49</v>
      </c>
      <c r="BI116" s="1">
        <v>17</v>
      </c>
      <c r="BJ116" s="1">
        <v>113</v>
      </c>
      <c r="BK116" s="7">
        <v>10.85</v>
      </c>
      <c r="BL116" s="7">
        <v>15.49</v>
      </c>
    </row>
    <row r="117" spans="1:68" x14ac:dyDescent="0.2">
      <c r="A117" s="1">
        <v>17</v>
      </c>
      <c r="B117" s="1">
        <v>114</v>
      </c>
      <c r="C117" s="7"/>
      <c r="D117" s="7">
        <f t="shared" si="56"/>
        <v>16.766999999999999</v>
      </c>
      <c r="E117" s="12"/>
      <c r="F117" s="12">
        <v>0.35</v>
      </c>
      <c r="G117" s="22"/>
      <c r="H117" s="18">
        <f t="shared" si="32"/>
        <v>11.7</v>
      </c>
      <c r="J117" s="7">
        <f t="shared" si="34"/>
        <v>16.416999999999998</v>
      </c>
      <c r="K117" s="23"/>
      <c r="L117" s="23">
        <f t="shared" si="36"/>
        <v>5.0670000000000002</v>
      </c>
      <c r="M117" s="6">
        <f t="shared" si="37"/>
        <v>1.6961209966659074</v>
      </c>
      <c r="O117" s="7">
        <f t="shared" si="39"/>
        <v>249.12442017961209</v>
      </c>
      <c r="Q117" s="7">
        <f t="shared" si="41"/>
        <v>246.52426669172323</v>
      </c>
      <c r="S117" s="7">
        <f t="shared" si="43"/>
        <v>246.00423599414546</v>
      </c>
      <c r="U117" s="7">
        <f t="shared" si="45"/>
        <v>245.48420529656769</v>
      </c>
      <c r="V117" s="23"/>
      <c r="W117" s="23">
        <f t="shared" si="47"/>
        <v>127.43723694641457</v>
      </c>
      <c r="X117" s="30"/>
      <c r="Y117" s="30">
        <f t="shared" si="49"/>
        <v>110.05335362738634</v>
      </c>
      <c r="Z117" s="30"/>
      <c r="AA117" s="30">
        <f t="shared" si="51"/>
        <v>77.02397532123274</v>
      </c>
      <c r="AC117" s="7">
        <f t="shared" si="53"/>
        <v>244.96417459898993</v>
      </c>
      <c r="AD117" s="7"/>
      <c r="AG117" s="1">
        <v>17</v>
      </c>
      <c r="AH117" s="1">
        <v>114</v>
      </c>
      <c r="AI117" s="7">
        <v>10.97</v>
      </c>
      <c r="AJ117" s="7">
        <v>14.58</v>
      </c>
      <c r="BI117" s="1">
        <v>17</v>
      </c>
      <c r="BJ117" s="1">
        <v>114</v>
      </c>
      <c r="BK117" s="7">
        <v>10.97</v>
      </c>
      <c r="BL117" s="7">
        <v>14.58</v>
      </c>
    </row>
    <row r="118" spans="1:68" x14ac:dyDescent="0.2">
      <c r="A118" s="1">
        <v>17</v>
      </c>
      <c r="B118" s="1">
        <v>115</v>
      </c>
      <c r="C118" s="7"/>
      <c r="D118" s="7">
        <f t="shared" si="56"/>
        <v>18.238999999999997</v>
      </c>
      <c r="E118" s="12"/>
      <c r="F118" s="12">
        <v>0.35</v>
      </c>
      <c r="G118" s="22"/>
      <c r="H118" s="18">
        <f t="shared" si="32"/>
        <v>11.7</v>
      </c>
      <c r="J118" s="7">
        <f t="shared" si="34"/>
        <v>17.888999999999996</v>
      </c>
      <c r="K118" s="23"/>
      <c r="L118" s="23">
        <f t="shared" si="36"/>
        <v>6.5389999999999979</v>
      </c>
      <c r="M118" s="6">
        <f t="shared" si="37"/>
        <v>1.7276185114961276</v>
      </c>
      <c r="O118" s="7">
        <f t="shared" si="39"/>
        <v>276.02789811311811</v>
      </c>
      <c r="Q118" s="7">
        <f t="shared" si="41"/>
        <v>273.37945893499455</v>
      </c>
      <c r="S118" s="7">
        <f t="shared" si="43"/>
        <v>272.84977109936983</v>
      </c>
      <c r="U118" s="7">
        <f t="shared" si="45"/>
        <v>272.32008326374512</v>
      </c>
      <c r="V118" s="23"/>
      <c r="W118" s="23">
        <f t="shared" si="47"/>
        <v>152.08094457693534</v>
      </c>
      <c r="X118" s="30"/>
      <c r="Y118" s="30">
        <f t="shared" si="49"/>
        <v>134.37423692890923</v>
      </c>
      <c r="Z118" s="30"/>
      <c r="AA118" s="30">
        <f t="shared" si="51"/>
        <v>100.73149239765964</v>
      </c>
      <c r="AC118" s="7">
        <f t="shared" si="53"/>
        <v>271.79039542812041</v>
      </c>
      <c r="AD118" s="7"/>
      <c r="AG118" s="1">
        <v>17</v>
      </c>
      <c r="AH118" s="1">
        <v>115</v>
      </c>
      <c r="AI118" s="7">
        <v>11.07</v>
      </c>
      <c r="AJ118" s="7">
        <v>15.86</v>
      </c>
      <c r="BI118" s="1">
        <v>17</v>
      </c>
      <c r="BJ118" s="1">
        <v>115</v>
      </c>
      <c r="BK118" s="7">
        <v>11.07</v>
      </c>
      <c r="BL118" s="7">
        <v>15.86</v>
      </c>
    </row>
    <row r="119" spans="1:68" x14ac:dyDescent="0.2">
      <c r="A119" s="1">
        <v>17</v>
      </c>
      <c r="B119" s="1">
        <v>116</v>
      </c>
      <c r="C119" s="7"/>
      <c r="D119" s="7">
        <f t="shared" si="56"/>
        <v>18.4575</v>
      </c>
      <c r="E119" s="12"/>
      <c r="F119" s="12">
        <v>0.35</v>
      </c>
      <c r="G119" s="22"/>
      <c r="H119" s="18">
        <f t="shared" si="32"/>
        <v>11.7</v>
      </c>
      <c r="J119" s="7">
        <f t="shared" si="34"/>
        <v>18.107499999999998</v>
      </c>
      <c r="K119" s="23"/>
      <c r="L119" s="23">
        <f t="shared" si="36"/>
        <v>6.7575000000000003</v>
      </c>
      <c r="M119" s="6">
        <f t="shared" si="37"/>
        <v>1.7597009453518353</v>
      </c>
      <c r="O119" s="7">
        <f t="shared" si="39"/>
        <v>284.52199854176394</v>
      </c>
      <c r="Q119" s="7">
        <f t="shared" si="41"/>
        <v>281.82437699253961</v>
      </c>
      <c r="S119" s="7">
        <f t="shared" si="43"/>
        <v>281.28485268269475</v>
      </c>
      <c r="U119" s="7">
        <f t="shared" si="45"/>
        <v>280.74532837284983</v>
      </c>
      <c r="V119" s="23"/>
      <c r="W119" s="23">
        <f t="shared" si="47"/>
        <v>158.27331003806376</v>
      </c>
      <c r="X119" s="30"/>
      <c r="Y119" s="30">
        <f t="shared" si="49"/>
        <v>140.2377831089637</v>
      </c>
      <c r="Z119" s="30"/>
      <c r="AA119" s="30">
        <f t="shared" si="51"/>
        <v>105.97028194367365</v>
      </c>
      <c r="AC119" s="7">
        <f t="shared" si="53"/>
        <v>280.20580406300496</v>
      </c>
      <c r="AD119" s="7"/>
      <c r="AG119" s="1">
        <v>17</v>
      </c>
      <c r="AH119" s="1">
        <v>116</v>
      </c>
      <c r="AI119" s="7">
        <v>11.18</v>
      </c>
      <c r="AJ119" s="7">
        <v>16.05</v>
      </c>
      <c r="BI119" s="1">
        <v>17</v>
      </c>
      <c r="BJ119" s="1">
        <v>116</v>
      </c>
      <c r="BK119" s="7">
        <v>11.18</v>
      </c>
      <c r="BL119" s="7">
        <v>16.05</v>
      </c>
    </row>
    <row r="120" spans="1:68" x14ac:dyDescent="0.2">
      <c r="A120" s="1">
        <v>17</v>
      </c>
      <c r="B120" s="1">
        <v>117</v>
      </c>
      <c r="C120" s="7"/>
      <c r="D120" s="7">
        <f t="shared" si="56"/>
        <v>18.675999999999998</v>
      </c>
      <c r="E120" s="12"/>
      <c r="F120" s="12">
        <v>0.35</v>
      </c>
      <c r="G120" s="22"/>
      <c r="H120" s="18">
        <f t="shared" si="32"/>
        <v>11.7</v>
      </c>
      <c r="J120" s="7">
        <f t="shared" si="34"/>
        <v>18.325999999999997</v>
      </c>
      <c r="K120" s="23"/>
      <c r="L120" s="23">
        <f t="shared" si="36"/>
        <v>6.9759999999999991</v>
      </c>
      <c r="M120" s="6">
        <f t="shared" si="37"/>
        <v>1.7923791603682901</v>
      </c>
      <c r="O120" s="7">
        <f t="shared" si="39"/>
        <v>293.23638522357453</v>
      </c>
      <c r="Q120" s="7">
        <f t="shared" si="41"/>
        <v>290.48866797072992</v>
      </c>
      <c r="S120" s="7">
        <f t="shared" si="43"/>
        <v>289.93912452016099</v>
      </c>
      <c r="U120" s="7">
        <f t="shared" si="45"/>
        <v>289.38958106959205</v>
      </c>
      <c r="V120" s="23"/>
      <c r="W120" s="23">
        <f t="shared" si="47"/>
        <v>164.64321779044775</v>
      </c>
      <c r="X120" s="30"/>
      <c r="Y120" s="30">
        <f t="shared" si="49"/>
        <v>146.27276530000108</v>
      </c>
      <c r="Z120" s="30"/>
      <c r="AA120" s="30">
        <f t="shared" si="51"/>
        <v>111.36890556815239</v>
      </c>
      <c r="AC120" s="7">
        <f t="shared" si="53"/>
        <v>288.84003761902312</v>
      </c>
      <c r="AD120" s="7"/>
      <c r="AG120" s="1">
        <v>17</v>
      </c>
      <c r="AH120" s="1">
        <v>117</v>
      </c>
      <c r="AI120" s="7">
        <v>11.29</v>
      </c>
      <c r="AJ120" s="7">
        <v>16.239999999999998</v>
      </c>
      <c r="BI120" s="1">
        <v>17</v>
      </c>
      <c r="BJ120" s="1">
        <v>117</v>
      </c>
      <c r="BK120" s="7">
        <v>11.29</v>
      </c>
      <c r="BL120" s="7">
        <v>16.239999999999998</v>
      </c>
    </row>
    <row r="121" spans="1:68" x14ac:dyDescent="0.2">
      <c r="A121" s="1">
        <v>17</v>
      </c>
      <c r="B121" s="1">
        <v>118</v>
      </c>
      <c r="C121" s="7"/>
      <c r="D121" s="7">
        <f t="shared" si="56"/>
        <v>18.882999999999999</v>
      </c>
      <c r="E121" s="12"/>
      <c r="F121" s="12">
        <v>0.35</v>
      </c>
      <c r="G121" s="22"/>
      <c r="H121" s="18">
        <f t="shared" si="32"/>
        <v>11.7</v>
      </c>
      <c r="J121" s="7">
        <f t="shared" si="34"/>
        <v>18.532999999999998</v>
      </c>
      <c r="K121" s="23"/>
      <c r="L121" s="23">
        <f t="shared" si="36"/>
        <v>7.1829999999999998</v>
      </c>
      <c r="M121" s="6">
        <f t="shared" si="37"/>
        <v>1.8256642203941094</v>
      </c>
      <c r="O121" s="7">
        <f t="shared" si="39"/>
        <v>301.9923930696292</v>
      </c>
      <c r="Q121" s="7">
        <f t="shared" si="41"/>
        <v>299.19364981976503</v>
      </c>
      <c r="S121" s="7">
        <f t="shared" si="43"/>
        <v>298.63390116979218</v>
      </c>
      <c r="U121" s="7">
        <f t="shared" si="45"/>
        <v>298.07415251981934</v>
      </c>
      <c r="V121" s="23"/>
      <c r="W121" s="23">
        <f t="shared" si="47"/>
        <v>171.01120897598608</v>
      </c>
      <c r="X121" s="30"/>
      <c r="Y121" s="30">
        <f t="shared" si="49"/>
        <v>152.29961124832278</v>
      </c>
      <c r="Z121" s="30"/>
      <c r="AA121" s="30">
        <f t="shared" si="51"/>
        <v>116.7475755657625</v>
      </c>
      <c r="AC121" s="7">
        <f t="shared" si="53"/>
        <v>297.51440386984655</v>
      </c>
      <c r="AD121" s="7"/>
      <c r="AG121" s="1">
        <v>17</v>
      </c>
      <c r="AH121" s="1">
        <v>118</v>
      </c>
      <c r="AI121" s="7">
        <v>11.4</v>
      </c>
      <c r="AJ121" s="7">
        <v>16.420000000000002</v>
      </c>
      <c r="BI121" s="1">
        <v>17</v>
      </c>
      <c r="BJ121" s="1">
        <v>118</v>
      </c>
      <c r="BK121" s="7">
        <v>11.4</v>
      </c>
      <c r="BL121" s="7">
        <v>16.420000000000002</v>
      </c>
    </row>
    <row r="122" spans="1:68" x14ac:dyDescent="0.2">
      <c r="A122" s="1">
        <v>17</v>
      </c>
      <c r="B122" s="1">
        <v>119</v>
      </c>
      <c r="C122" s="7"/>
      <c r="D122" s="7">
        <f t="shared" si="56"/>
        <v>19.101499999999998</v>
      </c>
      <c r="E122" s="12"/>
      <c r="F122" s="12">
        <v>0.35</v>
      </c>
      <c r="G122" s="22"/>
      <c r="H122" s="18">
        <f t="shared" si="32"/>
        <v>11.7</v>
      </c>
      <c r="J122" s="7">
        <f t="shared" si="34"/>
        <v>18.751499999999997</v>
      </c>
      <c r="K122" s="23"/>
      <c r="L122" s="23">
        <f t="shared" si="36"/>
        <v>7.4014999999999986</v>
      </c>
      <c r="M122" s="6">
        <f t="shared" si="37"/>
        <v>1.8595673947371558</v>
      </c>
      <c r="O122" s="7">
        <f t="shared" si="39"/>
        <v>311.15981293340872</v>
      </c>
      <c r="Q122" s="7">
        <f t="shared" si="41"/>
        <v>308.30909611727668</v>
      </c>
      <c r="S122" s="7">
        <f t="shared" si="43"/>
        <v>307.73895275405027</v>
      </c>
      <c r="U122" s="7">
        <f t="shared" si="45"/>
        <v>307.16880939082387</v>
      </c>
      <c r="V122" s="23"/>
      <c r="W122" s="23">
        <f t="shared" si="47"/>
        <v>177.74626593842837</v>
      </c>
      <c r="X122" s="30"/>
      <c r="Y122" s="30">
        <f t="shared" si="49"/>
        <v>158.6871877962883</v>
      </c>
      <c r="Z122" s="30"/>
      <c r="AA122" s="30">
        <f t="shared" si="51"/>
        <v>122.4749393262222</v>
      </c>
      <c r="AC122" s="7">
        <f t="shared" si="53"/>
        <v>306.59866602759746</v>
      </c>
      <c r="AD122" s="7"/>
      <c r="AG122" s="1">
        <v>17</v>
      </c>
      <c r="AH122" s="1">
        <v>119</v>
      </c>
      <c r="AI122" s="7">
        <v>11.5</v>
      </c>
      <c r="AJ122" s="7">
        <v>16.61</v>
      </c>
      <c r="BI122" s="1">
        <v>17</v>
      </c>
      <c r="BJ122" s="1">
        <v>119</v>
      </c>
      <c r="BK122" s="7">
        <v>11.5</v>
      </c>
      <c r="BL122" s="7">
        <v>16.61</v>
      </c>
      <c r="BN122">
        <v>11.94</v>
      </c>
      <c r="BO122">
        <v>17.329999999999998</v>
      </c>
      <c r="BP122">
        <v>8.26</v>
      </c>
    </row>
    <row r="123" spans="1:68" x14ac:dyDescent="0.2">
      <c r="A123" s="1">
        <v>18</v>
      </c>
      <c r="B123" s="1">
        <v>120</v>
      </c>
      <c r="C123" s="7"/>
      <c r="D123" s="7">
        <f t="shared" si="56"/>
        <v>19.32</v>
      </c>
      <c r="E123" s="12"/>
      <c r="F123" s="12">
        <v>0.35</v>
      </c>
      <c r="G123" s="22"/>
      <c r="H123" s="18">
        <f t="shared" si="32"/>
        <v>11.7</v>
      </c>
      <c r="J123" s="7">
        <f t="shared" si="34"/>
        <v>18.97</v>
      </c>
      <c r="K123" s="23"/>
      <c r="L123" s="23">
        <f t="shared" si="36"/>
        <v>7.620000000000001</v>
      </c>
      <c r="M123" s="6">
        <f t="shared" si="37"/>
        <v>1.894100161979978</v>
      </c>
      <c r="O123" s="7">
        <f t="shared" si="39"/>
        <v>320.56357253400984</v>
      </c>
      <c r="Q123" s="7">
        <f t="shared" si="41"/>
        <v>317.65991698569445</v>
      </c>
      <c r="S123" s="7">
        <f t="shared" si="43"/>
        <v>317.07918587603137</v>
      </c>
      <c r="U123" s="7">
        <f t="shared" si="45"/>
        <v>316.4984547663683</v>
      </c>
      <c r="V123" s="23"/>
      <c r="W123" s="23">
        <f t="shared" si="47"/>
        <v>184.67249287285347</v>
      </c>
      <c r="X123" s="30"/>
      <c r="Y123" s="30">
        <f t="shared" si="49"/>
        <v>165.25948149268828</v>
      </c>
      <c r="Z123" s="30"/>
      <c r="AA123" s="30">
        <f t="shared" si="51"/>
        <v>128.37475987037445</v>
      </c>
      <c r="AC123" s="7">
        <f t="shared" si="53"/>
        <v>315.91772365670522</v>
      </c>
      <c r="AD123" s="7"/>
      <c r="AG123" s="1">
        <v>18</v>
      </c>
      <c r="AH123" s="1">
        <v>120</v>
      </c>
      <c r="AI123" s="7">
        <v>11.61</v>
      </c>
      <c r="AJ123" s="7">
        <v>16.8</v>
      </c>
      <c r="BI123" s="1">
        <v>18</v>
      </c>
      <c r="BJ123" s="1">
        <v>120</v>
      </c>
      <c r="BK123" s="7">
        <v>11.61</v>
      </c>
      <c r="BL123" s="7">
        <v>16.8</v>
      </c>
    </row>
    <row r="124" spans="1:68" x14ac:dyDescent="0.2">
      <c r="A124" s="1">
        <v>18</v>
      </c>
      <c r="B124" s="1">
        <v>121</v>
      </c>
      <c r="C124" s="7"/>
      <c r="D124" s="7">
        <f t="shared" si="56"/>
        <v>19.526999999999997</v>
      </c>
      <c r="E124" s="12"/>
      <c r="F124" s="12">
        <v>0.35</v>
      </c>
      <c r="G124" s="22"/>
      <c r="H124" s="18">
        <f t="shared" si="32"/>
        <v>11.7</v>
      </c>
      <c r="J124" s="7">
        <f t="shared" si="34"/>
        <v>19.176999999999996</v>
      </c>
      <c r="K124" s="23"/>
      <c r="L124" s="23">
        <f t="shared" si="36"/>
        <v>7.8269999999999982</v>
      </c>
      <c r="M124" s="6">
        <f t="shared" si="37"/>
        <v>1.9292742138661108</v>
      </c>
      <c r="O124" s="7">
        <f t="shared" si="39"/>
        <v>330.01493314967263</v>
      </c>
      <c r="Q124" s="7">
        <f t="shared" si="41"/>
        <v>327.05735577981579</v>
      </c>
      <c r="S124" s="7">
        <f t="shared" si="43"/>
        <v>326.46584030584449</v>
      </c>
      <c r="U124" s="7">
        <f t="shared" si="45"/>
        <v>325.87432483187314</v>
      </c>
      <c r="V124" s="23"/>
      <c r="W124" s="23">
        <f t="shared" si="47"/>
        <v>191.60031224037681</v>
      </c>
      <c r="X124" s="30"/>
      <c r="Y124" s="30">
        <f t="shared" si="49"/>
        <v>171.82679496762029</v>
      </c>
      <c r="Z124" s="30"/>
      <c r="AA124" s="30">
        <f t="shared" si="51"/>
        <v>134.25711214938283</v>
      </c>
      <c r="AC124" s="7">
        <f t="shared" si="53"/>
        <v>325.28280935790178</v>
      </c>
      <c r="AD124" s="7"/>
      <c r="AG124" s="1">
        <v>18</v>
      </c>
      <c r="AH124" s="1">
        <v>121</v>
      </c>
      <c r="AI124" s="7">
        <v>11.71</v>
      </c>
      <c r="AJ124" s="7">
        <v>16.98</v>
      </c>
      <c r="BI124" s="1">
        <v>18</v>
      </c>
      <c r="BJ124" s="1">
        <v>121</v>
      </c>
      <c r="BK124" s="7">
        <v>11.71</v>
      </c>
      <c r="BL124" s="7">
        <v>16.98</v>
      </c>
    </row>
    <row r="125" spans="1:68" x14ac:dyDescent="0.2">
      <c r="A125" s="1">
        <v>18</v>
      </c>
      <c r="B125" s="1">
        <v>122</v>
      </c>
      <c r="C125" s="7"/>
      <c r="D125" s="7">
        <f t="shared" si="56"/>
        <v>19.733999999999998</v>
      </c>
      <c r="E125" s="12"/>
      <c r="F125" s="12">
        <v>0.35</v>
      </c>
      <c r="G125" s="22"/>
      <c r="H125" s="18">
        <f t="shared" si="32"/>
        <v>11.7</v>
      </c>
      <c r="J125" s="7">
        <f t="shared" si="34"/>
        <v>19.383999999999997</v>
      </c>
      <c r="K125" s="23"/>
      <c r="L125" s="23">
        <f t="shared" si="36"/>
        <v>8.0339999999999989</v>
      </c>
      <c r="M125" s="6">
        <f t="shared" si="37"/>
        <v>1.9651014592585447</v>
      </c>
      <c r="O125" s="7">
        <f t="shared" si="39"/>
        <v>339.70677484579119</v>
      </c>
      <c r="Q125" s="7">
        <f t="shared" si="41"/>
        <v>336.69427430874777</v>
      </c>
      <c r="S125" s="7">
        <f t="shared" si="43"/>
        <v>336.09177420133909</v>
      </c>
      <c r="U125" s="7">
        <f t="shared" si="45"/>
        <v>335.48927409393042</v>
      </c>
      <c r="V125" s="23"/>
      <c r="W125" s="23">
        <f t="shared" si="47"/>
        <v>198.72174971216239</v>
      </c>
      <c r="X125" s="30"/>
      <c r="Y125" s="30">
        <f t="shared" si="49"/>
        <v>178.58103183592971</v>
      </c>
      <c r="Z125" s="30"/>
      <c r="AA125" s="30">
        <f t="shared" si="51"/>
        <v>140.31366787108763</v>
      </c>
      <c r="AC125" s="7">
        <f t="shared" si="53"/>
        <v>334.88677398652175</v>
      </c>
      <c r="AD125" s="7"/>
      <c r="AG125" s="1">
        <v>18</v>
      </c>
      <c r="AH125" s="1">
        <v>122</v>
      </c>
      <c r="AI125" s="7">
        <v>11.82</v>
      </c>
      <c r="AJ125" s="7">
        <v>17.16</v>
      </c>
      <c r="BI125" s="1">
        <v>18</v>
      </c>
      <c r="BJ125" s="1">
        <v>122</v>
      </c>
      <c r="BK125" s="7">
        <v>11.82</v>
      </c>
      <c r="BL125" s="7">
        <v>17.16</v>
      </c>
    </row>
    <row r="126" spans="1:68" x14ac:dyDescent="0.2">
      <c r="A126" s="1">
        <v>18</v>
      </c>
      <c r="B126" s="1">
        <v>123</v>
      </c>
      <c r="C126" s="7"/>
      <c r="D126" s="7">
        <f t="shared" si="56"/>
        <v>19.952500000000001</v>
      </c>
      <c r="E126" s="12"/>
      <c r="F126" s="12">
        <v>0.35</v>
      </c>
      <c r="G126" s="22"/>
      <c r="H126" s="18">
        <f t="shared" si="32"/>
        <v>11.7</v>
      </c>
      <c r="J126" s="7">
        <f t="shared" si="34"/>
        <v>19.602499999999999</v>
      </c>
      <c r="K126" s="23"/>
      <c r="L126" s="23">
        <f t="shared" si="36"/>
        <v>8.2525000000000013</v>
      </c>
      <c r="M126" s="6">
        <f t="shared" si="37"/>
        <v>2.0015940281717008</v>
      </c>
      <c r="O126" s="7">
        <f t="shared" si="39"/>
        <v>349.84641046055981</v>
      </c>
      <c r="Q126" s="7">
        <f t="shared" si="41"/>
        <v>346.77796681537251</v>
      </c>
      <c r="S126" s="7">
        <f t="shared" si="43"/>
        <v>346.16427808633506</v>
      </c>
      <c r="U126" s="7">
        <f t="shared" si="45"/>
        <v>345.55058935729761</v>
      </c>
      <c r="V126" s="23"/>
      <c r="W126" s="23">
        <f t="shared" si="47"/>
        <v>206.24324786579797</v>
      </c>
      <c r="X126" s="30"/>
      <c r="Y126" s="30">
        <f t="shared" si="49"/>
        <v>185.72851035226057</v>
      </c>
      <c r="Z126" s="30"/>
      <c r="AA126" s="30">
        <f t="shared" si="51"/>
        <v>146.75050907653952</v>
      </c>
      <c r="AC126" s="7">
        <f t="shared" si="53"/>
        <v>344.93690062826016</v>
      </c>
      <c r="AD126" s="7"/>
      <c r="AG126" s="1">
        <v>18</v>
      </c>
      <c r="AH126" s="1">
        <v>123</v>
      </c>
      <c r="AI126" s="7">
        <v>11.92</v>
      </c>
      <c r="AJ126" s="7">
        <v>17.350000000000001</v>
      </c>
      <c r="BI126" s="1">
        <v>18</v>
      </c>
      <c r="BJ126" s="1">
        <v>123</v>
      </c>
      <c r="BK126" s="7">
        <v>11.92</v>
      </c>
      <c r="BL126" s="7">
        <v>17.350000000000001</v>
      </c>
    </row>
    <row r="127" spans="1:68" x14ac:dyDescent="0.2">
      <c r="A127" s="1">
        <v>18</v>
      </c>
      <c r="B127" s="1">
        <v>124</v>
      </c>
      <c r="C127" s="7"/>
      <c r="D127" s="7">
        <f t="shared" si="56"/>
        <v>20.159500000000001</v>
      </c>
      <c r="E127" s="12"/>
      <c r="F127" s="12">
        <v>0.35</v>
      </c>
      <c r="G127" s="22"/>
      <c r="H127" s="18">
        <f t="shared" si="32"/>
        <v>11.7</v>
      </c>
      <c r="J127" s="7">
        <f t="shared" si="34"/>
        <v>19.8095</v>
      </c>
      <c r="K127" s="23"/>
      <c r="L127" s="23">
        <f t="shared" si="36"/>
        <v>8.459500000000002</v>
      </c>
      <c r="M127" s="6">
        <f t="shared" si="37"/>
        <v>2.0387642758782905</v>
      </c>
      <c r="O127" s="7">
        <f t="shared" si="39"/>
        <v>360.04010335541921</v>
      </c>
      <c r="Q127" s="7">
        <f t="shared" si="41"/>
        <v>356.91467772049776</v>
      </c>
      <c r="S127" s="7">
        <f t="shared" si="43"/>
        <v>356.28959259351348</v>
      </c>
      <c r="U127" s="7">
        <f t="shared" si="45"/>
        <v>355.66450746652919</v>
      </c>
      <c r="V127" s="23"/>
      <c r="W127" s="23">
        <f t="shared" si="47"/>
        <v>213.77018364109676</v>
      </c>
      <c r="X127" s="30"/>
      <c r="Y127" s="30">
        <f t="shared" si="49"/>
        <v>192.87448082476502</v>
      </c>
      <c r="Z127" s="30"/>
      <c r="AA127" s="30">
        <f t="shared" si="51"/>
        <v>153.17264547373463</v>
      </c>
      <c r="AC127" s="7">
        <f t="shared" si="53"/>
        <v>355.0394223395449</v>
      </c>
      <c r="AD127" s="7"/>
      <c r="AG127" s="1">
        <v>18</v>
      </c>
      <c r="AH127" s="1">
        <v>124</v>
      </c>
      <c r="AI127" s="7">
        <v>12.02</v>
      </c>
      <c r="AJ127" s="7">
        <v>17.53</v>
      </c>
      <c r="BI127" s="1">
        <v>18</v>
      </c>
      <c r="BJ127" s="1">
        <v>124</v>
      </c>
      <c r="BK127" s="7">
        <v>12.02</v>
      </c>
      <c r="BL127" s="7">
        <v>17.53</v>
      </c>
    </row>
    <row r="128" spans="1:68" x14ac:dyDescent="0.2">
      <c r="A128" s="1">
        <v>18</v>
      </c>
      <c r="B128" s="1">
        <v>125</v>
      </c>
      <c r="C128" s="7"/>
      <c r="D128" s="7">
        <f t="shared" si="56"/>
        <v>20.366499999999998</v>
      </c>
      <c r="E128" s="12"/>
      <c r="F128" s="12">
        <v>0.35</v>
      </c>
      <c r="G128" s="22"/>
      <c r="H128" s="18">
        <f t="shared" si="32"/>
        <v>11.7</v>
      </c>
      <c r="J128" s="7">
        <f t="shared" si="34"/>
        <v>20.016499999999997</v>
      </c>
      <c r="K128" s="23"/>
      <c r="L128" s="23">
        <f t="shared" si="36"/>
        <v>8.6664999999999992</v>
      </c>
      <c r="M128" s="6">
        <f t="shared" si="37"/>
        <v>2.0766247870924244</v>
      </c>
      <c r="O128" s="7">
        <f t="shared" si="39"/>
        <v>370.49174964254439</v>
      </c>
      <c r="Q128" s="7">
        <f t="shared" si="41"/>
        <v>367.30828384393169</v>
      </c>
      <c r="S128" s="7">
        <f t="shared" si="43"/>
        <v>366.67159068420915</v>
      </c>
      <c r="U128" s="7">
        <f t="shared" si="45"/>
        <v>366.03489752448661</v>
      </c>
      <c r="V128" s="23"/>
      <c r="W128" s="23">
        <f t="shared" si="47"/>
        <v>221.50555026747071</v>
      </c>
      <c r="X128" s="30"/>
      <c r="Y128" s="30">
        <f t="shared" si="49"/>
        <v>200.22180749960302</v>
      </c>
      <c r="Z128" s="30"/>
      <c r="AA128" s="30">
        <f t="shared" si="51"/>
        <v>159.78269624065445</v>
      </c>
      <c r="AC128" s="7">
        <f t="shared" si="53"/>
        <v>365.39820436476407</v>
      </c>
      <c r="AD128" s="7"/>
      <c r="AG128" s="1">
        <v>18</v>
      </c>
      <c r="AH128" s="1">
        <v>125</v>
      </c>
      <c r="AI128" s="7">
        <v>12.12</v>
      </c>
      <c r="AJ128" s="7">
        <v>17.71</v>
      </c>
      <c r="BI128" s="1">
        <v>18</v>
      </c>
      <c r="BJ128" s="1">
        <v>125</v>
      </c>
      <c r="BK128" s="7">
        <v>12.12</v>
      </c>
      <c r="BL128" s="7">
        <v>17.71</v>
      </c>
    </row>
    <row r="129" spans="1:68" x14ac:dyDescent="0.2">
      <c r="A129" s="1">
        <v>18</v>
      </c>
      <c r="B129" s="1">
        <v>126</v>
      </c>
      <c r="C129" s="7"/>
      <c r="D129" s="7">
        <f t="shared" si="56"/>
        <v>20.584999999999997</v>
      </c>
      <c r="E129" s="12"/>
      <c r="F129" s="12">
        <v>0.35</v>
      </c>
      <c r="G129" s="22"/>
      <c r="H129" s="18">
        <f t="shared" si="32"/>
        <v>11.7</v>
      </c>
      <c r="J129" s="7">
        <f t="shared" si="34"/>
        <v>20.234999999999996</v>
      </c>
      <c r="K129" s="23"/>
      <c r="L129" s="23">
        <f t="shared" si="36"/>
        <v>8.884999999999998</v>
      </c>
      <c r="M129" s="6">
        <f t="shared" si="37"/>
        <v>2.1151883802304265</v>
      </c>
      <c r="O129" s="7">
        <f t="shared" si="39"/>
        <v>381.42049858969955</v>
      </c>
      <c r="Q129" s="7">
        <f t="shared" si="41"/>
        <v>378.17791480280624</v>
      </c>
      <c r="S129" s="7">
        <f t="shared" si="43"/>
        <v>377.52939804542757</v>
      </c>
      <c r="U129" s="7">
        <f t="shared" si="45"/>
        <v>376.88088128804895</v>
      </c>
      <c r="V129" s="23"/>
      <c r="W129" s="23">
        <f t="shared" si="47"/>
        <v>229.66757736309575</v>
      </c>
      <c r="X129" s="30"/>
      <c r="Y129" s="30">
        <f t="shared" si="49"/>
        <v>207.98858861643808</v>
      </c>
      <c r="Z129" s="30"/>
      <c r="AA129" s="30">
        <f t="shared" si="51"/>
        <v>166.79850999778847</v>
      </c>
      <c r="AC129" s="7">
        <f t="shared" si="53"/>
        <v>376.23236453067028</v>
      </c>
      <c r="AD129" s="7"/>
      <c r="AG129" s="1">
        <v>18</v>
      </c>
      <c r="AH129" s="1">
        <v>126</v>
      </c>
      <c r="AI129" s="7">
        <v>12.22</v>
      </c>
      <c r="AJ129" s="7">
        <v>17.899999999999999</v>
      </c>
      <c r="BI129" s="1">
        <v>18</v>
      </c>
      <c r="BJ129" s="1">
        <v>126</v>
      </c>
      <c r="BK129" s="7">
        <v>12.22</v>
      </c>
      <c r="BL129" s="7">
        <v>17.899999999999999</v>
      </c>
      <c r="BN129">
        <v>12.68</v>
      </c>
      <c r="BO129">
        <v>18.7</v>
      </c>
      <c r="BP129">
        <v>8.83</v>
      </c>
    </row>
    <row r="130" spans="1:68" x14ac:dyDescent="0.2">
      <c r="A130" s="1">
        <v>19</v>
      </c>
      <c r="B130" s="1">
        <v>127</v>
      </c>
      <c r="C130" s="7"/>
      <c r="D130" s="7">
        <f t="shared" si="56"/>
        <v>20.791999999999998</v>
      </c>
      <c r="E130" s="12"/>
      <c r="F130" s="12">
        <v>0.35</v>
      </c>
      <c r="G130" s="22"/>
      <c r="H130" s="18">
        <f t="shared" si="32"/>
        <v>11.7</v>
      </c>
      <c r="J130" s="7">
        <f t="shared" si="34"/>
        <v>20.441999999999997</v>
      </c>
      <c r="K130" s="23"/>
      <c r="L130" s="23">
        <f t="shared" si="36"/>
        <v>9.0919999999999987</v>
      </c>
      <c r="M130" s="6">
        <f t="shared" si="37"/>
        <v>2.1544681117507474</v>
      </c>
      <c r="O130" s="7">
        <f t="shared" si="39"/>
        <v>392.41034058060859</v>
      </c>
      <c r="Q130" s="7">
        <f t="shared" si="41"/>
        <v>389.10754096529473</v>
      </c>
      <c r="S130" s="7">
        <f t="shared" si="43"/>
        <v>388.44698104223193</v>
      </c>
      <c r="U130" s="7">
        <f t="shared" si="45"/>
        <v>387.78642111916918</v>
      </c>
      <c r="V130" s="23"/>
      <c r="W130" s="23">
        <f t="shared" si="47"/>
        <v>237.83931858391833</v>
      </c>
      <c r="X130" s="30"/>
      <c r="Y130" s="30">
        <f t="shared" si="49"/>
        <v>215.75774401296258</v>
      </c>
      <c r="Z130" s="30"/>
      <c r="AA130" s="30">
        <f t="shared" si="51"/>
        <v>173.80275232814665</v>
      </c>
      <c r="AC130" s="7">
        <f t="shared" si="53"/>
        <v>387.12586119610637</v>
      </c>
      <c r="AD130" s="7"/>
      <c r="AG130" s="1">
        <v>19</v>
      </c>
      <c r="AH130" s="1">
        <v>127</v>
      </c>
      <c r="AI130" s="7">
        <v>12.32</v>
      </c>
      <c r="AJ130" s="7">
        <v>18.079999999999998</v>
      </c>
      <c r="BI130" s="1">
        <v>19</v>
      </c>
      <c r="BJ130" s="1">
        <v>127</v>
      </c>
      <c r="BK130" s="7">
        <v>12.32</v>
      </c>
      <c r="BL130" s="7">
        <v>18.079999999999998</v>
      </c>
    </row>
    <row r="131" spans="1:68" x14ac:dyDescent="0.2">
      <c r="A131" s="1">
        <v>19</v>
      </c>
      <c r="B131" s="1">
        <v>128</v>
      </c>
      <c r="C131" s="7"/>
      <c r="D131" s="7">
        <f t="shared" si="56"/>
        <v>20.998999999999999</v>
      </c>
      <c r="E131" s="12"/>
      <c r="F131" s="12">
        <v>0.35</v>
      </c>
      <c r="G131" s="22"/>
      <c r="H131" s="18">
        <f t="shared" si="32"/>
        <v>11.7</v>
      </c>
      <c r="J131" s="7">
        <f t="shared" si="34"/>
        <v>20.648999999999997</v>
      </c>
      <c r="K131" s="23"/>
      <c r="L131" s="23">
        <f t="shared" si="36"/>
        <v>9.2989999999999995</v>
      </c>
      <c r="M131" s="6">
        <f>0.2082*EXP(0.0184*B131)</f>
        <v>2.194477280574493</v>
      </c>
      <c r="O131" s="7">
        <f t="shared" si="39"/>
        <v>403.67681691350583</v>
      </c>
      <c r="Q131" s="7">
        <f t="shared" si="41"/>
        <v>400.31268324238516</v>
      </c>
      <c r="S131" s="7">
        <f t="shared" si="43"/>
        <v>399.63985650816102</v>
      </c>
      <c r="U131" s="7">
        <f t="shared" si="45"/>
        <v>398.96702977393687</v>
      </c>
      <c r="V131" s="23"/>
      <c r="W131" s="23">
        <f t="shared" si="47"/>
        <v>246.23536110505722</v>
      </c>
      <c r="X131" s="30"/>
      <c r="Y131" s="30">
        <f t="shared" si="49"/>
        <v>223.74372456099312</v>
      </c>
      <c r="Z131" s="30"/>
      <c r="AA131" s="30">
        <f t="shared" si="51"/>
        <v>181.00961512727133</v>
      </c>
      <c r="AC131" s="7">
        <f t="shared" si="53"/>
        <v>398.29420303971273</v>
      </c>
      <c r="AD131" s="7"/>
      <c r="AG131" s="1">
        <v>19</v>
      </c>
      <c r="AH131" s="1">
        <v>128</v>
      </c>
      <c r="AI131" s="7">
        <v>12.41</v>
      </c>
      <c r="AJ131" s="7">
        <v>18.260000000000002</v>
      </c>
      <c r="BI131" s="1">
        <v>19</v>
      </c>
      <c r="BJ131" s="1">
        <v>128</v>
      </c>
      <c r="BK131" s="7">
        <v>12.41</v>
      </c>
      <c r="BL131" s="7">
        <v>18.260000000000002</v>
      </c>
    </row>
    <row r="132" spans="1:68" x14ac:dyDescent="0.2">
      <c r="A132" s="1">
        <v>19</v>
      </c>
      <c r="B132" s="1">
        <v>129</v>
      </c>
      <c r="C132" s="7"/>
      <c r="D132" s="7">
        <f t="shared" si="56"/>
        <v>21.206</v>
      </c>
      <c r="E132" s="12"/>
      <c r="F132" s="12">
        <v>0.35</v>
      </c>
      <c r="G132" s="22"/>
      <c r="H132" s="18">
        <f t="shared" si="32"/>
        <v>11.7</v>
      </c>
      <c r="J132" s="7">
        <f t="shared" si="34"/>
        <v>20.855999999999998</v>
      </c>
      <c r="K132" s="23"/>
      <c r="L132" s="23">
        <f t="shared" si="36"/>
        <v>9.5060000000000002</v>
      </c>
      <c r="M132" s="6">
        <f t="shared" ref="M132:M150" si="57">0.2082*EXP(0.0184*B132)</f>
        <v>2.2352294325880275</v>
      </c>
      <c r="O132" s="7">
        <f t="shared" si="39"/>
        <v>415.22641204376458</v>
      </c>
      <c r="Q132" s="7">
        <f t="shared" si="41"/>
        <v>411.79980532360707</v>
      </c>
      <c r="S132" s="7">
        <f t="shared" si="43"/>
        <v>411.1144839795756</v>
      </c>
      <c r="U132" s="7">
        <f t="shared" si="45"/>
        <v>410.42916263554412</v>
      </c>
      <c r="V132" s="23"/>
      <c r="W132" s="23">
        <f t="shared" si="47"/>
        <v>254.86121754039613</v>
      </c>
      <c r="X132" s="30"/>
      <c r="Y132" s="30">
        <f t="shared" si="49"/>
        <v>231.95190403991492</v>
      </c>
      <c r="Z132" s="30"/>
      <c r="AA132" s="30">
        <f t="shared" si="51"/>
        <v>188.4242083890006</v>
      </c>
      <c r="AC132" s="7">
        <f t="shared" si="53"/>
        <v>409.74384129151258</v>
      </c>
      <c r="AD132" s="7"/>
      <c r="AG132" s="1">
        <v>19</v>
      </c>
      <c r="AH132" s="1">
        <v>129</v>
      </c>
      <c r="AI132" s="7">
        <v>12.51</v>
      </c>
      <c r="AJ132" s="7">
        <v>18.440000000000001</v>
      </c>
      <c r="BI132" s="1">
        <v>19</v>
      </c>
      <c r="BJ132" s="1">
        <v>129</v>
      </c>
      <c r="BK132" s="7">
        <v>12.51</v>
      </c>
      <c r="BL132" s="7">
        <v>18.440000000000001</v>
      </c>
    </row>
    <row r="133" spans="1:68" x14ac:dyDescent="0.2">
      <c r="A133" s="1">
        <v>19</v>
      </c>
      <c r="B133" s="1">
        <v>130</v>
      </c>
      <c r="C133" s="7"/>
      <c r="D133" s="7">
        <f t="shared" si="56"/>
        <v>21.413</v>
      </c>
      <c r="E133" s="12"/>
      <c r="F133" s="12">
        <v>0.35</v>
      </c>
      <c r="G133" s="22"/>
      <c r="H133" s="18">
        <f t="shared" ref="H133:H150" si="58">IF(D133&lt;$H$1,D133,$H$1)</f>
        <v>11.7</v>
      </c>
      <c r="J133" s="7">
        <f t="shared" ref="J133:J150" si="59">D133-F133</f>
        <v>21.062999999999999</v>
      </c>
      <c r="K133" s="23"/>
      <c r="L133" s="23">
        <f t="shared" ref="L133:L150" si="60">D133-H133</f>
        <v>9.713000000000001</v>
      </c>
      <c r="M133" s="6">
        <f t="shared" si="57"/>
        <v>2.2767383652292006</v>
      </c>
      <c r="O133" s="7">
        <f t="shared" ref="O133:O150" si="61">(M133/1000)*D133*24*365</f>
        <v>427.06575586435912</v>
      </c>
      <c r="Q133" s="7">
        <f t="shared" ref="Q133:Q150" si="62">$M133/1000*$J133*24*365+($M133/1000*$F133*24*365)*0.5</f>
        <v>423.57551595046277</v>
      </c>
      <c r="S133" s="7">
        <f t="shared" ref="S133:S150" si="63">$M133/1000*$J133*24*365+($M133/1000*$F133*24*365)*0.4</f>
        <v>422.87746796768351</v>
      </c>
      <c r="U133" s="7">
        <f t="shared" ref="U133:U150" si="64">$M133/1000*$J133*24*365+($M133/1000*$F133*24*365)*0.3</f>
        <v>422.17941998490426</v>
      </c>
      <c r="V133" s="23"/>
      <c r="W133" s="23">
        <f t="shared" ref="W133:W150" si="65">$M133/1000*$L133*24*365+($M133/1000*$H133*24*365)*0.3</f>
        <v>263.72252789400926</v>
      </c>
      <c r="X133" s="30"/>
      <c r="Y133" s="30">
        <f t="shared" ref="Y133:Y150" si="66">$M133/1000*$L133*24*365+($M133/1000*$H133*24*365)*0.2</f>
        <v>240.38778104110216</v>
      </c>
      <c r="Z133" s="30"/>
      <c r="AA133" s="30">
        <f t="shared" ref="AA133:AA150" si="67">$M133/1000*$L133*24*365+($M133/1000*$H133*24*365)*0.01</f>
        <v>196.05176202057865</v>
      </c>
      <c r="AC133" s="7">
        <f t="shared" ref="AC133:AC150" si="68">$M133/1000*$J133*24*365+($M133/1000*$F133*24*365)*0.2</f>
        <v>421.481372002125</v>
      </c>
      <c r="AD133" s="7"/>
      <c r="AG133" s="1">
        <v>19</v>
      </c>
      <c r="AH133" s="1">
        <v>130</v>
      </c>
      <c r="AI133" s="7">
        <v>12.6</v>
      </c>
      <c r="AJ133" s="7">
        <v>18.62</v>
      </c>
      <c r="BI133" s="1">
        <v>19</v>
      </c>
      <c r="BJ133" s="1">
        <v>130</v>
      </c>
      <c r="BK133" s="7">
        <v>12.6</v>
      </c>
      <c r="BL133" s="7">
        <v>18.62</v>
      </c>
    </row>
    <row r="134" spans="1:68" x14ac:dyDescent="0.2">
      <c r="A134" s="1">
        <v>19</v>
      </c>
      <c r="B134" s="1">
        <v>131</v>
      </c>
      <c r="C134" s="7"/>
      <c r="D134" s="7">
        <f t="shared" si="56"/>
        <v>21.619999999999997</v>
      </c>
      <c r="E134" s="12"/>
      <c r="F134" s="12">
        <v>0.35</v>
      </c>
      <c r="G134" s="22"/>
      <c r="H134" s="18">
        <f t="shared" si="58"/>
        <v>11.7</v>
      </c>
      <c r="J134" s="7">
        <f t="shared" si="59"/>
        <v>21.269999999999996</v>
      </c>
      <c r="K134" s="23"/>
      <c r="L134" s="23">
        <f t="shared" si="60"/>
        <v>9.9199999999999982</v>
      </c>
      <c r="M134" s="6">
        <f t="shared" si="57"/>
        <v>2.3190181321587433</v>
      </c>
      <c r="O134" s="7">
        <f t="shared" si="61"/>
        <v>439.20162687130284</v>
      </c>
      <c r="Q134" s="7">
        <f t="shared" si="62"/>
        <v>435.64657207470356</v>
      </c>
      <c r="S134" s="7">
        <f t="shared" si="63"/>
        <v>434.93556111538368</v>
      </c>
      <c r="U134" s="7">
        <f t="shared" si="64"/>
        <v>434.22455015606386</v>
      </c>
      <c r="V134" s="23"/>
      <c r="W134" s="23">
        <f t="shared" si="65"/>
        <v>272.82506239045313</v>
      </c>
      <c r="X134" s="30"/>
      <c r="Y134" s="30">
        <f t="shared" si="66"/>
        <v>249.05698175033174</v>
      </c>
      <c r="Z134" s="30"/>
      <c r="AA134" s="30">
        <f t="shared" si="67"/>
        <v>203.89762853410113</v>
      </c>
      <c r="AC134" s="7">
        <f t="shared" si="68"/>
        <v>433.51353919674398</v>
      </c>
      <c r="AD134" s="7"/>
      <c r="AG134" s="1">
        <v>19</v>
      </c>
      <c r="AH134" s="1">
        <v>131</v>
      </c>
      <c r="AI134" s="7">
        <v>12.7</v>
      </c>
      <c r="AJ134" s="7">
        <v>18.8</v>
      </c>
      <c r="BI134" s="1">
        <v>19</v>
      </c>
      <c r="BJ134" s="1">
        <v>131</v>
      </c>
      <c r="BK134" s="7">
        <v>12.7</v>
      </c>
      <c r="BL134" s="7">
        <v>18.8</v>
      </c>
    </row>
    <row r="135" spans="1:68" x14ac:dyDescent="0.2">
      <c r="A135" s="1">
        <v>19</v>
      </c>
      <c r="B135" s="1">
        <v>132</v>
      </c>
      <c r="C135" s="7"/>
      <c r="D135" s="7">
        <f t="shared" si="56"/>
        <v>21.826999999999998</v>
      </c>
      <c r="E135" s="12"/>
      <c r="F135" s="12">
        <v>0.35</v>
      </c>
      <c r="G135" s="22"/>
      <c r="H135" s="18">
        <f t="shared" si="58"/>
        <v>11.7</v>
      </c>
      <c r="J135" s="7">
        <f t="shared" si="59"/>
        <v>21.476999999999997</v>
      </c>
      <c r="K135" s="23"/>
      <c r="L135" s="23">
        <f t="shared" si="60"/>
        <v>10.126999999999999</v>
      </c>
      <c r="M135" s="6">
        <f t="shared" si="57"/>
        <v>2.3620830480184019</v>
      </c>
      <c r="O135" s="7">
        <f t="shared" si="61"/>
        <v>451.64095539649543</v>
      </c>
      <c r="Q135" s="7">
        <f t="shared" si="62"/>
        <v>448.0198820838832</v>
      </c>
      <c r="S135" s="7">
        <f t="shared" si="63"/>
        <v>447.29566742136075</v>
      </c>
      <c r="U135" s="7">
        <f t="shared" si="64"/>
        <v>446.57145275883829</v>
      </c>
      <c r="V135" s="23"/>
      <c r="W135" s="23">
        <f t="shared" si="65"/>
        <v>282.17472436624399</v>
      </c>
      <c r="X135" s="30"/>
      <c r="Y135" s="30">
        <f t="shared" si="66"/>
        <v>257.9652627904938</v>
      </c>
      <c r="Z135" s="30"/>
      <c r="AA135" s="30">
        <f t="shared" si="67"/>
        <v>211.96728579656843</v>
      </c>
      <c r="AC135" s="7">
        <f t="shared" si="68"/>
        <v>445.84723809631583</v>
      </c>
      <c r="AD135" s="7"/>
      <c r="AG135" s="1">
        <v>19</v>
      </c>
      <c r="AH135" s="1">
        <v>132</v>
      </c>
      <c r="AI135" s="7">
        <v>12.79</v>
      </c>
      <c r="AJ135" s="7">
        <v>18.98</v>
      </c>
      <c r="BI135" s="1">
        <v>19</v>
      </c>
      <c r="BJ135" s="1">
        <v>132</v>
      </c>
      <c r="BK135" s="7">
        <v>12.79</v>
      </c>
      <c r="BL135" s="7">
        <v>18.98</v>
      </c>
    </row>
    <row r="136" spans="1:68" x14ac:dyDescent="0.2">
      <c r="A136" s="1">
        <v>19</v>
      </c>
      <c r="B136" s="1">
        <v>133</v>
      </c>
      <c r="C136" s="7"/>
      <c r="D136" s="7">
        <f t="shared" si="56"/>
        <v>22.033999999999999</v>
      </c>
      <c r="E136" s="12"/>
      <c r="F136" s="12">
        <v>0.35</v>
      </c>
      <c r="G136" s="22"/>
      <c r="H136" s="18">
        <f t="shared" si="58"/>
        <v>11.7</v>
      </c>
      <c r="J136" s="7">
        <f t="shared" si="59"/>
        <v>21.683999999999997</v>
      </c>
      <c r="K136" s="23"/>
      <c r="L136" s="23">
        <f t="shared" si="60"/>
        <v>10.334</v>
      </c>
      <c r="M136" s="6">
        <f t="shared" si="57"/>
        <v>2.4059476932774495</v>
      </c>
      <c r="O136" s="7">
        <f t="shared" si="61"/>
        <v>464.39082690939586</v>
      </c>
      <c r="Q136" s="7">
        <f t="shared" si="62"/>
        <v>460.7025090956015</v>
      </c>
      <c r="S136" s="7">
        <f t="shared" si="63"/>
        <v>459.96484553284262</v>
      </c>
      <c r="U136" s="7">
        <f t="shared" si="64"/>
        <v>459.22718197008373</v>
      </c>
      <c r="V136" s="23"/>
      <c r="W136" s="23">
        <f t="shared" si="65"/>
        <v>291.77755322382114</v>
      </c>
      <c r="X136" s="30"/>
      <c r="Y136" s="30">
        <f t="shared" si="66"/>
        <v>267.11851412588192</v>
      </c>
      <c r="Z136" s="30"/>
      <c r="AA136" s="30">
        <f t="shared" si="67"/>
        <v>220.26633983979738</v>
      </c>
      <c r="AC136" s="7">
        <f t="shared" si="68"/>
        <v>458.48951840732485</v>
      </c>
      <c r="AD136" s="7"/>
      <c r="AG136" s="1">
        <v>19</v>
      </c>
      <c r="AH136" s="1">
        <v>133</v>
      </c>
      <c r="AI136" s="7">
        <v>12.88</v>
      </c>
      <c r="AJ136" s="7">
        <v>19.16</v>
      </c>
      <c r="BI136" s="1">
        <v>19</v>
      </c>
      <c r="BJ136" s="1">
        <v>133</v>
      </c>
      <c r="BK136" s="7">
        <v>12.88</v>
      </c>
      <c r="BL136" s="7">
        <v>19.16</v>
      </c>
      <c r="BN136">
        <v>13.36</v>
      </c>
      <c r="BO136">
        <v>20.04</v>
      </c>
      <c r="BP136">
        <v>9.3699999999999992</v>
      </c>
    </row>
    <row r="137" spans="1:68" x14ac:dyDescent="0.2">
      <c r="A137" s="1">
        <v>20</v>
      </c>
      <c r="B137" s="1">
        <v>134</v>
      </c>
      <c r="C137" s="7"/>
      <c r="D137" s="7">
        <f t="shared" si="56"/>
        <v>22.229499999999998</v>
      </c>
      <c r="E137" s="12"/>
      <c r="F137" s="12">
        <v>0.35</v>
      </c>
      <c r="G137" s="22"/>
      <c r="H137" s="18">
        <f t="shared" si="58"/>
        <v>11.7</v>
      </c>
      <c r="J137" s="7">
        <f t="shared" si="59"/>
        <v>21.879499999999997</v>
      </c>
      <c r="K137" s="23"/>
      <c r="L137" s="23">
        <f t="shared" si="60"/>
        <v>10.529499999999999</v>
      </c>
      <c r="M137" s="6">
        <f t="shared" si="57"/>
        <v>2.450626919169177</v>
      </c>
      <c r="O137" s="7">
        <f t="shared" si="61"/>
        <v>477.21160923311982</v>
      </c>
      <c r="Q137" s="7">
        <f t="shared" si="62"/>
        <v>473.45479816603341</v>
      </c>
      <c r="S137" s="7">
        <f t="shared" si="63"/>
        <v>472.70343595261613</v>
      </c>
      <c r="U137" s="7">
        <f t="shared" si="64"/>
        <v>471.95207373919885</v>
      </c>
      <c r="V137" s="23"/>
      <c r="W137" s="23">
        <f t="shared" si="65"/>
        <v>301.39285129347877</v>
      </c>
      <c r="X137" s="30"/>
      <c r="Y137" s="30">
        <f t="shared" si="66"/>
        <v>276.27588587353006</v>
      </c>
      <c r="Z137" s="30"/>
      <c r="AA137" s="30">
        <f t="shared" si="67"/>
        <v>228.55365157562747</v>
      </c>
      <c r="AC137" s="7">
        <f t="shared" si="68"/>
        <v>471.20071152578163</v>
      </c>
      <c r="AD137" s="7"/>
      <c r="AG137" s="1">
        <v>20</v>
      </c>
      <c r="AH137" s="1">
        <v>134</v>
      </c>
      <c r="AI137" s="7">
        <v>12.97</v>
      </c>
      <c r="AJ137" s="7">
        <v>19.329999999999998</v>
      </c>
      <c r="BI137" s="1">
        <v>20</v>
      </c>
      <c r="BJ137" s="1">
        <v>134</v>
      </c>
      <c r="BK137" s="7">
        <v>12.97</v>
      </c>
      <c r="BL137" s="7">
        <v>19.329999999999998</v>
      </c>
    </row>
    <row r="138" spans="1:68" x14ac:dyDescent="0.2">
      <c r="A138" s="1">
        <v>20</v>
      </c>
      <c r="B138" s="1">
        <v>135</v>
      </c>
      <c r="C138" s="7"/>
      <c r="D138" s="7">
        <f t="shared" si="56"/>
        <v>22.436499999999999</v>
      </c>
      <c r="E138" s="12"/>
      <c r="F138" s="12">
        <v>0.35</v>
      </c>
      <c r="G138" s="22"/>
      <c r="H138" s="18">
        <f t="shared" si="58"/>
        <v>11.7</v>
      </c>
      <c r="J138" s="7">
        <f t="shared" si="59"/>
        <v>22.086499999999997</v>
      </c>
      <c r="K138" s="23"/>
      <c r="L138" s="23">
        <f t="shared" si="60"/>
        <v>10.736499999999999</v>
      </c>
      <c r="M138" s="6">
        <f t="shared" si="57"/>
        <v>2.4961358527190827</v>
      </c>
      <c r="O138" s="7">
        <f t="shared" si="61"/>
        <v>490.59987604149768</v>
      </c>
      <c r="Q138" s="7">
        <f t="shared" si="62"/>
        <v>486.77329977927934</v>
      </c>
      <c r="S138" s="7">
        <f t="shared" si="63"/>
        <v>486.00798452683568</v>
      </c>
      <c r="U138" s="7">
        <f t="shared" si="64"/>
        <v>485.24266927439203</v>
      </c>
      <c r="V138" s="23"/>
      <c r="W138" s="23">
        <f t="shared" si="65"/>
        <v>311.51610696967873</v>
      </c>
      <c r="X138" s="30"/>
      <c r="Y138" s="30">
        <f t="shared" si="66"/>
        <v>285.93271138799031</v>
      </c>
      <c r="Z138" s="30"/>
      <c r="AA138" s="30">
        <f t="shared" si="67"/>
        <v>237.32425978278229</v>
      </c>
      <c r="AC138" s="7">
        <f t="shared" si="68"/>
        <v>484.47735402194837</v>
      </c>
      <c r="AD138" s="7"/>
      <c r="AG138" s="1">
        <v>20</v>
      </c>
      <c r="AH138" s="1">
        <v>135</v>
      </c>
      <c r="AI138" s="7">
        <v>13.06</v>
      </c>
      <c r="AJ138" s="7">
        <v>19.510000000000002</v>
      </c>
      <c r="BI138" s="1">
        <v>20</v>
      </c>
      <c r="BJ138" s="1">
        <v>135</v>
      </c>
      <c r="BK138" s="7">
        <v>13.06</v>
      </c>
      <c r="BL138" s="7">
        <v>19.510000000000002</v>
      </c>
    </row>
    <row r="139" spans="1:68" x14ac:dyDescent="0.2">
      <c r="A139" s="1">
        <v>20</v>
      </c>
      <c r="B139" s="1">
        <v>136</v>
      </c>
      <c r="C139" s="7"/>
      <c r="D139" s="7">
        <f t="shared" si="56"/>
        <v>22.6435</v>
      </c>
      <c r="E139" s="12"/>
      <c r="F139" s="12">
        <v>0.35</v>
      </c>
      <c r="G139" s="22"/>
      <c r="H139" s="18">
        <f t="shared" si="58"/>
        <v>11.7</v>
      </c>
      <c r="J139" s="7">
        <f t="shared" si="59"/>
        <v>22.293499999999998</v>
      </c>
      <c r="K139" s="23"/>
      <c r="L139" s="23">
        <f t="shared" si="60"/>
        <v>10.9435</v>
      </c>
      <c r="M139" s="6">
        <f t="shared" si="57"/>
        <v>2.5424899018664084</v>
      </c>
      <c r="O139" s="7">
        <f t="shared" si="61"/>
        <v>504.32082201390932</v>
      </c>
      <c r="Q139" s="7">
        <f t="shared" si="62"/>
        <v>500.42318499434805</v>
      </c>
      <c r="S139" s="7">
        <f t="shared" si="63"/>
        <v>499.64365759043579</v>
      </c>
      <c r="U139" s="7">
        <f t="shared" si="64"/>
        <v>498.86413018652354</v>
      </c>
      <c r="V139" s="23"/>
      <c r="W139" s="23">
        <f t="shared" si="65"/>
        <v>321.91140949844498</v>
      </c>
      <c r="X139" s="30"/>
      <c r="Y139" s="30">
        <f t="shared" si="66"/>
        <v>295.85292199623581</v>
      </c>
      <c r="Z139" s="30"/>
      <c r="AA139" s="30">
        <f t="shared" si="67"/>
        <v>246.34179574203833</v>
      </c>
      <c r="AC139" s="7">
        <f t="shared" si="68"/>
        <v>498.08460278261134</v>
      </c>
      <c r="AD139" s="7"/>
      <c r="AG139" s="1">
        <v>20</v>
      </c>
      <c r="AH139" s="1">
        <v>136</v>
      </c>
      <c r="AI139" s="7">
        <v>12.15</v>
      </c>
      <c r="AJ139" s="7">
        <v>19.690000000000001</v>
      </c>
      <c r="BI139" s="1">
        <v>20</v>
      </c>
      <c r="BJ139" s="1">
        <v>136</v>
      </c>
      <c r="BK139" s="7">
        <v>12.15</v>
      </c>
      <c r="BL139" s="7">
        <v>19.690000000000001</v>
      </c>
    </row>
    <row r="140" spans="1:68" x14ac:dyDescent="0.2">
      <c r="A140" s="1">
        <v>20</v>
      </c>
      <c r="B140" s="1">
        <v>137</v>
      </c>
      <c r="C140" s="7"/>
      <c r="D140" s="7">
        <f t="shared" si="56"/>
        <v>22.838999999999999</v>
      </c>
      <c r="E140" s="12"/>
      <c r="F140" s="12">
        <v>0.35</v>
      </c>
      <c r="G140" s="22"/>
      <c r="H140" s="18">
        <f t="shared" si="58"/>
        <v>11.7</v>
      </c>
      <c r="J140" s="7">
        <f t="shared" si="59"/>
        <v>22.488999999999997</v>
      </c>
      <c r="K140" s="23"/>
      <c r="L140" s="23">
        <f t="shared" si="60"/>
        <v>11.138999999999999</v>
      </c>
      <c r="M140" s="6">
        <f t="shared" si="57"/>
        <v>2.5897047606808092</v>
      </c>
      <c r="O140" s="7">
        <f t="shared" si="61"/>
        <v>518.12129917569564</v>
      </c>
      <c r="Q140" s="7">
        <f t="shared" si="62"/>
        <v>514.15128177757197</v>
      </c>
      <c r="S140" s="7">
        <f t="shared" si="63"/>
        <v>513.35727829794723</v>
      </c>
      <c r="U140" s="7">
        <f t="shared" si="64"/>
        <v>512.5632748183225</v>
      </c>
      <c r="V140" s="23"/>
      <c r="W140" s="23">
        <f t="shared" si="65"/>
        <v>332.3244849435074</v>
      </c>
      <c r="X140" s="30"/>
      <c r="Y140" s="30">
        <f t="shared" si="66"/>
        <v>305.78208291033764</v>
      </c>
      <c r="Z140" s="30"/>
      <c r="AA140" s="30">
        <f t="shared" si="67"/>
        <v>255.35151904731515</v>
      </c>
      <c r="AC140" s="7">
        <f t="shared" si="68"/>
        <v>511.76927133869771</v>
      </c>
      <c r="AD140" s="7"/>
      <c r="AG140" s="1">
        <v>20</v>
      </c>
      <c r="AH140" s="1">
        <v>137</v>
      </c>
      <c r="AI140" s="7">
        <v>13.23</v>
      </c>
      <c r="AJ140" s="7">
        <v>19.86</v>
      </c>
      <c r="BI140" s="1">
        <v>20</v>
      </c>
      <c r="BJ140" s="1">
        <v>137</v>
      </c>
      <c r="BK140" s="7">
        <v>13.23</v>
      </c>
      <c r="BL140" s="7">
        <v>19.86</v>
      </c>
    </row>
    <row r="141" spans="1:68" x14ac:dyDescent="0.2">
      <c r="A141" s="1">
        <v>20</v>
      </c>
      <c r="B141" s="1">
        <v>138</v>
      </c>
      <c r="C141" s="7"/>
      <c r="D141" s="7">
        <f t="shared" si="56"/>
        <v>23.045999999999996</v>
      </c>
      <c r="E141" s="12"/>
      <c r="F141" s="12">
        <v>0.35</v>
      </c>
      <c r="G141" s="22"/>
      <c r="H141" s="18">
        <f t="shared" si="58"/>
        <v>11.7</v>
      </c>
      <c r="J141" s="7">
        <f t="shared" si="59"/>
        <v>22.695999999999994</v>
      </c>
      <c r="K141" s="23"/>
      <c r="L141" s="23">
        <f t="shared" si="60"/>
        <v>11.345999999999997</v>
      </c>
      <c r="M141" s="6">
        <f t="shared" si="57"/>
        <v>2.6377964146758832</v>
      </c>
      <c r="O141" s="7">
        <f t="shared" si="61"/>
        <v>532.52614807215457</v>
      </c>
      <c r="Q141" s="7">
        <f t="shared" si="62"/>
        <v>528.48240616845646</v>
      </c>
      <c r="S141" s="7">
        <f t="shared" si="63"/>
        <v>527.67365778771682</v>
      </c>
      <c r="U141" s="7">
        <f t="shared" si="64"/>
        <v>526.86490940697729</v>
      </c>
      <c r="V141" s="23"/>
      <c r="W141" s="23">
        <f t="shared" si="65"/>
        <v>343.27902697908218</v>
      </c>
      <c r="X141" s="30"/>
      <c r="Y141" s="30">
        <f t="shared" si="66"/>
        <v>316.24372396578616</v>
      </c>
      <c r="Z141" s="30"/>
      <c r="AA141" s="30">
        <f t="shared" si="67"/>
        <v>264.87664824052359</v>
      </c>
      <c r="AC141" s="7">
        <f t="shared" si="68"/>
        <v>526.05616102623765</v>
      </c>
      <c r="AD141" s="7"/>
      <c r="AG141" s="1">
        <v>20</v>
      </c>
      <c r="AH141" s="1">
        <v>138</v>
      </c>
      <c r="AI141" s="7">
        <v>13.32</v>
      </c>
      <c r="AJ141" s="7">
        <v>20.04</v>
      </c>
      <c r="BI141" s="1">
        <v>20</v>
      </c>
      <c r="BJ141" s="1">
        <v>138</v>
      </c>
      <c r="BK141" s="7">
        <v>13.32</v>
      </c>
      <c r="BL141" s="7">
        <v>20.04</v>
      </c>
    </row>
    <row r="142" spans="1:68" x14ac:dyDescent="0.2">
      <c r="A142" s="1">
        <v>20</v>
      </c>
      <c r="B142" s="1">
        <v>139</v>
      </c>
      <c r="C142" s="7"/>
      <c r="D142" s="7">
        <f t="shared" si="56"/>
        <v>23.252999999999997</v>
      </c>
      <c r="E142" s="12"/>
      <c r="F142" s="12">
        <v>0.35</v>
      </c>
      <c r="G142" s="22"/>
      <c r="H142" s="18">
        <f t="shared" si="58"/>
        <v>11.7</v>
      </c>
      <c r="J142" s="7">
        <f t="shared" si="59"/>
        <v>22.902999999999995</v>
      </c>
      <c r="K142" s="23"/>
      <c r="L142" s="23">
        <f t="shared" si="60"/>
        <v>11.552999999999997</v>
      </c>
      <c r="M142" s="6">
        <f t="shared" si="57"/>
        <v>2.6867811462213758</v>
      </c>
      <c r="O142" s="7">
        <f t="shared" si="61"/>
        <v>547.28732465943017</v>
      </c>
      <c r="Q142" s="7">
        <f t="shared" si="62"/>
        <v>543.16848916227286</v>
      </c>
      <c r="S142" s="7">
        <f t="shared" si="63"/>
        <v>542.34472206284136</v>
      </c>
      <c r="U142" s="7">
        <f t="shared" si="64"/>
        <v>541.52095496340985</v>
      </c>
      <c r="V142" s="23"/>
      <c r="W142" s="23">
        <f t="shared" si="65"/>
        <v>354.52582339246533</v>
      </c>
      <c r="X142" s="30"/>
      <c r="Y142" s="30">
        <f t="shared" si="66"/>
        <v>326.98846606861321</v>
      </c>
      <c r="Z142" s="30"/>
      <c r="AA142" s="30">
        <f t="shared" si="67"/>
        <v>274.66748715329419</v>
      </c>
      <c r="AC142" s="7">
        <f t="shared" si="68"/>
        <v>540.69718786397834</v>
      </c>
      <c r="AD142" s="7"/>
      <c r="AG142" s="1">
        <v>20</v>
      </c>
      <c r="AH142" s="1">
        <v>139</v>
      </c>
      <c r="AI142" s="7">
        <v>13.4</v>
      </c>
      <c r="AJ142" s="7">
        <v>20.22</v>
      </c>
      <c r="BI142" s="1">
        <v>20</v>
      </c>
      <c r="BJ142" s="1">
        <v>139</v>
      </c>
      <c r="BK142" s="7">
        <v>13.4</v>
      </c>
      <c r="BL142" s="7">
        <v>20.22</v>
      </c>
    </row>
    <row r="143" spans="1:68" x14ac:dyDescent="0.2">
      <c r="A143" s="1">
        <v>20</v>
      </c>
      <c r="B143" s="1">
        <v>140</v>
      </c>
      <c r="C143" s="7"/>
      <c r="D143" s="7">
        <f t="shared" si="56"/>
        <v>23.448499999999999</v>
      </c>
      <c r="E143" s="12"/>
      <c r="F143" s="12">
        <v>0.35</v>
      </c>
      <c r="G143" s="22"/>
      <c r="H143" s="18">
        <f t="shared" si="58"/>
        <v>11.7</v>
      </c>
      <c r="J143" s="7">
        <f t="shared" si="59"/>
        <v>23.098499999999998</v>
      </c>
      <c r="K143" s="23"/>
      <c r="L143" s="23">
        <f t="shared" si="60"/>
        <v>11.7485</v>
      </c>
      <c r="M143" s="6">
        <f t="shared" si="57"/>
        <v>2.7366755400559057</v>
      </c>
      <c r="O143" s="7">
        <f t="shared" si="61"/>
        <v>562.13740287276801</v>
      </c>
      <c r="Q143" s="7">
        <f t="shared" si="62"/>
        <v>557.94207926986223</v>
      </c>
      <c r="S143" s="7">
        <f t="shared" si="63"/>
        <v>557.10301454928117</v>
      </c>
      <c r="U143" s="7">
        <f t="shared" si="64"/>
        <v>556.26394982869999</v>
      </c>
      <c r="V143" s="23"/>
      <c r="W143" s="23">
        <f t="shared" si="65"/>
        <v>365.79625825678102</v>
      </c>
      <c r="X143" s="30"/>
      <c r="Y143" s="30">
        <f t="shared" si="66"/>
        <v>337.74752331164007</v>
      </c>
      <c r="Z143" s="30"/>
      <c r="AA143" s="30">
        <f t="shared" si="67"/>
        <v>284.45492691587214</v>
      </c>
      <c r="AC143" s="7">
        <f t="shared" si="68"/>
        <v>555.42488510811881</v>
      </c>
      <c r="AD143" s="7"/>
      <c r="AG143" s="1">
        <v>20</v>
      </c>
      <c r="AH143" s="1">
        <v>140</v>
      </c>
      <c r="AI143" s="7">
        <v>13.49</v>
      </c>
      <c r="AJ143" s="7">
        <v>20.39</v>
      </c>
      <c r="BI143" s="1">
        <v>20</v>
      </c>
      <c r="BJ143" s="1">
        <v>140</v>
      </c>
      <c r="BK143" s="7">
        <v>13.49</v>
      </c>
      <c r="BL143" s="7">
        <v>20.39</v>
      </c>
      <c r="BN143">
        <v>14</v>
      </c>
      <c r="BO143">
        <v>21.33</v>
      </c>
      <c r="BP143">
        <v>9.89</v>
      </c>
    </row>
    <row r="144" spans="1:68" x14ac:dyDescent="0.2">
      <c r="A144" s="1">
        <v>21</v>
      </c>
      <c r="B144" s="1">
        <v>141</v>
      </c>
      <c r="C144" s="7"/>
      <c r="D144" s="7">
        <f t="shared" si="56"/>
        <v>23.6555</v>
      </c>
      <c r="E144" s="12"/>
      <c r="F144" s="12">
        <v>0.35</v>
      </c>
      <c r="G144" s="22"/>
      <c r="H144" s="18">
        <f t="shared" si="58"/>
        <v>11.7</v>
      </c>
      <c r="J144" s="7">
        <f t="shared" si="59"/>
        <v>23.305499999999999</v>
      </c>
      <c r="K144" s="23"/>
      <c r="L144" s="23">
        <f t="shared" si="60"/>
        <v>11.955500000000001</v>
      </c>
      <c r="M144" s="6">
        <f t="shared" si="57"/>
        <v>2.7874964889020388</v>
      </c>
      <c r="O144" s="7">
        <f t="shared" si="61"/>
        <v>577.63109917262636</v>
      </c>
      <c r="Q144" s="7">
        <f t="shared" si="62"/>
        <v>573.35786705513942</v>
      </c>
      <c r="S144" s="7">
        <f t="shared" si="63"/>
        <v>572.50322063164208</v>
      </c>
      <c r="U144" s="7">
        <f t="shared" si="64"/>
        <v>571.64857420814474</v>
      </c>
      <c r="V144" s="23"/>
      <c r="W144" s="23">
        <f t="shared" si="65"/>
        <v>377.64383607424281</v>
      </c>
      <c r="X144" s="30"/>
      <c r="Y144" s="30">
        <f t="shared" si="66"/>
        <v>349.07422706018804</v>
      </c>
      <c r="Z144" s="30"/>
      <c r="AA144" s="30">
        <f t="shared" si="67"/>
        <v>294.79196993348398</v>
      </c>
      <c r="AC144" s="7">
        <f t="shared" si="68"/>
        <v>570.79392778464728</v>
      </c>
      <c r="AD144" s="7"/>
      <c r="AG144" s="1">
        <v>21</v>
      </c>
      <c r="AH144" s="1">
        <v>141</v>
      </c>
      <c r="AJ144" s="7">
        <v>20.57</v>
      </c>
      <c r="BI144" s="1">
        <v>21</v>
      </c>
      <c r="BJ144" s="1">
        <v>141</v>
      </c>
      <c r="BL144" s="7">
        <v>20.57</v>
      </c>
    </row>
    <row r="145" spans="1:68" x14ac:dyDescent="0.2">
      <c r="A145" s="1">
        <v>21</v>
      </c>
      <c r="B145" s="1">
        <v>142</v>
      </c>
      <c r="C145" s="7"/>
      <c r="D145" s="7">
        <f t="shared" si="56"/>
        <v>23.850999999999996</v>
      </c>
      <c r="E145" s="12"/>
      <c r="F145" s="12">
        <v>0.35</v>
      </c>
      <c r="G145" s="22"/>
      <c r="H145" s="18">
        <f t="shared" si="58"/>
        <v>11.7</v>
      </c>
      <c r="J145" s="7">
        <f t="shared" si="59"/>
        <v>23.500999999999994</v>
      </c>
      <c r="K145" s="23"/>
      <c r="L145" s="23">
        <f t="shared" si="60"/>
        <v>12.150999999999996</v>
      </c>
      <c r="M145" s="6">
        <f t="shared" si="57"/>
        <v>2.8392611991856609</v>
      </c>
      <c r="O145" s="7">
        <f t="shared" si="61"/>
        <v>593.22035722916826</v>
      </c>
      <c r="Q145" s="7">
        <f t="shared" si="62"/>
        <v>588.86776981081653</v>
      </c>
      <c r="S145" s="7">
        <f t="shared" si="63"/>
        <v>587.99725232714616</v>
      </c>
      <c r="U145" s="7">
        <f t="shared" si="64"/>
        <v>587.1267348434759</v>
      </c>
      <c r="V145" s="23"/>
      <c r="W145" s="23">
        <f t="shared" si="65"/>
        <v>389.51926605031235</v>
      </c>
      <c r="X145" s="30"/>
      <c r="Y145" s="30">
        <f t="shared" si="66"/>
        <v>360.41911016761873</v>
      </c>
      <c r="Z145" s="30"/>
      <c r="AA145" s="30">
        <f t="shared" si="67"/>
        <v>305.1288139905007</v>
      </c>
      <c r="AC145" s="7">
        <f t="shared" si="68"/>
        <v>586.25621735980553</v>
      </c>
      <c r="AD145" s="7"/>
      <c r="AG145" s="1">
        <v>21</v>
      </c>
      <c r="AH145" s="1">
        <v>142</v>
      </c>
      <c r="AJ145" s="7">
        <v>20.74</v>
      </c>
      <c r="BI145" s="1">
        <v>21</v>
      </c>
      <c r="BJ145" s="1">
        <v>142</v>
      </c>
      <c r="BL145" s="7">
        <v>20.74</v>
      </c>
    </row>
    <row r="146" spans="1:68" x14ac:dyDescent="0.2">
      <c r="A146" s="1">
        <v>21</v>
      </c>
      <c r="B146" s="1">
        <v>143</v>
      </c>
      <c r="C146" s="7"/>
      <c r="D146" s="7">
        <f t="shared" si="56"/>
        <v>24.046499999999998</v>
      </c>
      <c r="E146" s="12"/>
      <c r="F146" s="12">
        <v>0.35</v>
      </c>
      <c r="G146" s="22"/>
      <c r="H146" s="18">
        <f t="shared" si="58"/>
        <v>11.7</v>
      </c>
      <c r="J146" s="7">
        <f t="shared" si="59"/>
        <v>23.696499999999997</v>
      </c>
      <c r="K146" s="23"/>
      <c r="L146" s="23">
        <f t="shared" si="60"/>
        <v>12.346499999999999</v>
      </c>
      <c r="M146" s="6">
        <f t="shared" si="57"/>
        <v>2.8919871968615403</v>
      </c>
      <c r="O146" s="7">
        <f t="shared" si="61"/>
        <v>609.18941033293981</v>
      </c>
      <c r="Q146" s="7">
        <f t="shared" si="62"/>
        <v>604.75599396015105</v>
      </c>
      <c r="S146" s="7">
        <f t="shared" si="63"/>
        <v>603.86931068559329</v>
      </c>
      <c r="U146" s="7">
        <f t="shared" si="64"/>
        <v>602.98262741103554</v>
      </c>
      <c r="V146" s="23"/>
      <c r="W146" s="23">
        <f t="shared" si="65"/>
        <v>401.70552408642675</v>
      </c>
      <c r="X146" s="30"/>
      <c r="Y146" s="30">
        <f t="shared" si="66"/>
        <v>372.06496890835342</v>
      </c>
      <c r="Z146" s="30"/>
      <c r="AA146" s="30">
        <f t="shared" si="67"/>
        <v>315.74791407001413</v>
      </c>
      <c r="AC146" s="7">
        <f t="shared" si="68"/>
        <v>602.09594413647778</v>
      </c>
      <c r="AD146" s="7"/>
      <c r="AG146" s="1">
        <v>21</v>
      </c>
      <c r="AH146" s="1">
        <v>143</v>
      </c>
      <c r="AJ146" s="7">
        <v>20.91</v>
      </c>
      <c r="BI146" s="1">
        <v>21</v>
      </c>
      <c r="BJ146" s="1">
        <v>143</v>
      </c>
      <c r="BL146" s="7">
        <v>20.91</v>
      </c>
    </row>
    <row r="147" spans="1:68" x14ac:dyDescent="0.2">
      <c r="A147" s="1">
        <v>21</v>
      </c>
      <c r="B147" s="1">
        <v>144</v>
      </c>
      <c r="C147" s="7"/>
      <c r="D147" s="7">
        <f t="shared" si="56"/>
        <v>24.253499999999999</v>
      </c>
      <c r="E147" s="12"/>
      <c r="F147" s="12">
        <v>0.35</v>
      </c>
      <c r="G147" s="22"/>
      <c r="H147" s="18">
        <f t="shared" si="58"/>
        <v>11.7</v>
      </c>
      <c r="J147" s="7">
        <f t="shared" si="59"/>
        <v>23.903499999999998</v>
      </c>
      <c r="K147" s="23"/>
      <c r="L147" s="23">
        <f t="shared" si="60"/>
        <v>12.5535</v>
      </c>
      <c r="M147" s="6">
        <f t="shared" si="57"/>
        <v>2.9456923333470928</v>
      </c>
      <c r="O147" s="7">
        <f t="shared" si="61"/>
        <v>625.84373729986339</v>
      </c>
      <c r="Q147" s="7">
        <f t="shared" si="62"/>
        <v>621.32799095284236</v>
      </c>
      <c r="S147" s="7">
        <f t="shared" si="63"/>
        <v>620.4248416834381</v>
      </c>
      <c r="U147" s="7">
        <f t="shared" si="64"/>
        <v>619.52169241403385</v>
      </c>
      <c r="V147" s="23"/>
      <c r="W147" s="23">
        <f t="shared" si="65"/>
        <v>414.50680825927617</v>
      </c>
      <c r="X147" s="30"/>
      <c r="Y147" s="30">
        <f t="shared" si="66"/>
        <v>384.31581839633515</v>
      </c>
      <c r="Z147" s="30"/>
      <c r="AA147" s="30">
        <f t="shared" si="67"/>
        <v>326.95293765674722</v>
      </c>
      <c r="AC147" s="7">
        <f t="shared" si="68"/>
        <v>618.6185431446296</v>
      </c>
      <c r="AD147" s="7"/>
      <c r="AG147" s="1">
        <v>21</v>
      </c>
      <c r="AH147" s="1">
        <v>144</v>
      </c>
      <c r="AJ147" s="7">
        <v>21.09</v>
      </c>
      <c r="BI147" s="1">
        <v>21</v>
      </c>
      <c r="BJ147" s="1">
        <v>144</v>
      </c>
      <c r="BL147" s="7">
        <v>21.09</v>
      </c>
    </row>
    <row r="148" spans="1:68" x14ac:dyDescent="0.2">
      <c r="A148" s="1">
        <v>21</v>
      </c>
      <c r="B148" s="1">
        <v>145</v>
      </c>
      <c r="C148" s="7"/>
      <c r="D148" s="7">
        <f t="shared" si="56"/>
        <v>24.449000000000002</v>
      </c>
      <c r="E148" s="12"/>
      <c r="F148" s="12">
        <v>0.35</v>
      </c>
      <c r="G148" s="22"/>
      <c r="H148" s="18">
        <f t="shared" si="58"/>
        <v>11.7</v>
      </c>
      <c r="J148" s="7">
        <f t="shared" si="59"/>
        <v>24.099</v>
      </c>
      <c r="K148" s="23"/>
      <c r="L148" s="23">
        <f t="shared" si="60"/>
        <v>12.749000000000002</v>
      </c>
      <c r="M148" s="6">
        <f t="shared" si="57"/>
        <v>3.0003947915663174</v>
      </c>
      <c r="O148" s="7">
        <f t="shared" si="61"/>
        <v>642.60427378888289</v>
      </c>
      <c r="Q148" s="7">
        <f t="shared" si="62"/>
        <v>638.00466857341166</v>
      </c>
      <c r="S148" s="7">
        <f t="shared" si="63"/>
        <v>637.08474753031749</v>
      </c>
      <c r="U148" s="7">
        <f t="shared" si="64"/>
        <v>636.16482648722319</v>
      </c>
      <c r="V148" s="23"/>
      <c r="W148" s="23">
        <f t="shared" si="65"/>
        <v>427.34274970483244</v>
      </c>
      <c r="X148" s="30"/>
      <c r="Y148" s="30">
        <f t="shared" si="66"/>
        <v>396.59110340711095</v>
      </c>
      <c r="Z148" s="30"/>
      <c r="AA148" s="30">
        <f t="shared" si="67"/>
        <v>338.1629754414401</v>
      </c>
      <c r="AC148" s="7">
        <f t="shared" si="68"/>
        <v>635.24490544412902</v>
      </c>
      <c r="AD148" s="7"/>
      <c r="AG148" s="1">
        <v>21</v>
      </c>
      <c r="AH148" s="1">
        <v>145</v>
      </c>
      <c r="AJ148" s="7">
        <v>21.26</v>
      </c>
      <c r="BI148" s="1">
        <v>21</v>
      </c>
      <c r="BJ148" s="1">
        <v>145</v>
      </c>
      <c r="BL148" s="7">
        <v>21.26</v>
      </c>
    </row>
    <row r="149" spans="1:68" x14ac:dyDescent="0.2">
      <c r="A149" s="1">
        <v>21</v>
      </c>
      <c r="B149" s="1">
        <v>146</v>
      </c>
      <c r="C149" s="7"/>
      <c r="D149" s="7">
        <f t="shared" si="56"/>
        <v>24.644499999999997</v>
      </c>
      <c r="E149" s="12"/>
      <c r="F149" s="12">
        <v>0.35</v>
      </c>
      <c r="G149" s="22"/>
      <c r="H149" s="18">
        <f t="shared" si="58"/>
        <v>11.7</v>
      </c>
      <c r="J149" s="7">
        <f t="shared" si="59"/>
        <v>24.294499999999996</v>
      </c>
      <c r="K149" s="23"/>
      <c r="L149" s="23">
        <f t="shared" si="60"/>
        <v>12.944499999999998</v>
      </c>
      <c r="M149" s="6">
        <f t="shared" si="57"/>
        <v>3.0561130921059858</v>
      </c>
      <c r="O149" s="7">
        <f t="shared" si="61"/>
        <v>659.77148090203616</v>
      </c>
      <c r="Q149" s="7">
        <f t="shared" si="62"/>
        <v>655.08645953183759</v>
      </c>
      <c r="S149" s="7">
        <f t="shared" si="63"/>
        <v>654.14945525779797</v>
      </c>
      <c r="U149" s="7">
        <f t="shared" si="64"/>
        <v>653.21245098375823</v>
      </c>
      <c r="V149" s="23"/>
      <c r="W149" s="23">
        <f t="shared" si="65"/>
        <v>440.51248077674757</v>
      </c>
      <c r="X149" s="30"/>
      <c r="Y149" s="30">
        <f t="shared" si="66"/>
        <v>409.18976647313491</v>
      </c>
      <c r="Z149" s="30"/>
      <c r="AA149" s="30">
        <f t="shared" si="67"/>
        <v>349.67660929627078</v>
      </c>
      <c r="AC149" s="7">
        <f t="shared" si="68"/>
        <v>652.27544670971849</v>
      </c>
      <c r="AD149" s="7"/>
      <c r="AG149" s="1">
        <v>21</v>
      </c>
      <c r="AH149" s="1">
        <v>146</v>
      </c>
      <c r="AJ149" s="7">
        <v>21.43</v>
      </c>
      <c r="BI149" s="1">
        <v>21</v>
      </c>
      <c r="BJ149" s="1">
        <v>146</v>
      </c>
      <c r="BL149" s="7">
        <v>21.43</v>
      </c>
    </row>
    <row r="150" spans="1:68" x14ac:dyDescent="0.2">
      <c r="A150" s="1">
        <v>21</v>
      </c>
      <c r="B150" s="1">
        <v>147</v>
      </c>
      <c r="C150" s="7"/>
      <c r="D150" s="7">
        <f t="shared" si="56"/>
        <v>24.84</v>
      </c>
      <c r="E150" s="12"/>
      <c r="F150" s="12">
        <v>0.35</v>
      </c>
      <c r="G150" s="22"/>
      <c r="H150" s="18">
        <f t="shared" si="58"/>
        <v>11.7</v>
      </c>
      <c r="J150" s="7">
        <f t="shared" si="59"/>
        <v>24.49</v>
      </c>
      <c r="K150" s="23"/>
      <c r="L150" s="23">
        <f t="shared" si="60"/>
        <v>13.14</v>
      </c>
      <c r="M150" s="6">
        <f t="shared" si="57"/>
        <v>3.1128660994861539</v>
      </c>
      <c r="O150" s="7">
        <f t="shared" si="61"/>
        <v>677.35468266242788</v>
      </c>
      <c r="Q150" s="7">
        <f t="shared" si="62"/>
        <v>672.5826589319156</v>
      </c>
      <c r="S150" s="7">
        <f t="shared" si="63"/>
        <v>671.62825418581315</v>
      </c>
      <c r="U150" s="7">
        <f t="shared" si="64"/>
        <v>670.67384943971069</v>
      </c>
      <c r="V150" s="23"/>
      <c r="W150" s="23">
        <f t="shared" si="65"/>
        <v>454.02397207445347</v>
      </c>
      <c r="X150" s="30"/>
      <c r="Y150" s="30">
        <f t="shared" si="66"/>
        <v>422.11958484759998</v>
      </c>
      <c r="Z150" s="30"/>
      <c r="AA150" s="30">
        <f t="shared" si="67"/>
        <v>361.50124911657838</v>
      </c>
      <c r="AC150" s="7">
        <f t="shared" si="68"/>
        <v>669.71944469360824</v>
      </c>
      <c r="AD150" s="7"/>
      <c r="AG150" s="1">
        <v>21</v>
      </c>
      <c r="AH150" s="1">
        <v>147</v>
      </c>
      <c r="AJ150" s="11">
        <v>21.6</v>
      </c>
      <c r="AK150" s="11"/>
      <c r="BI150" s="1">
        <v>21</v>
      </c>
      <c r="BJ150" s="1">
        <v>147</v>
      </c>
      <c r="BL150" s="11">
        <v>21.6</v>
      </c>
      <c r="BO150">
        <v>22.56</v>
      </c>
      <c r="BP150">
        <v>10.83</v>
      </c>
    </row>
    <row r="151" spans="1:68" x14ac:dyDescent="0.2">
      <c r="E151" s="12"/>
      <c r="F151" s="12"/>
      <c r="G151" s="22"/>
      <c r="H151" s="22"/>
      <c r="AG151" s="1">
        <v>22</v>
      </c>
      <c r="AH151" s="1">
        <v>148</v>
      </c>
      <c r="AJ151" s="7">
        <v>21.78</v>
      </c>
      <c r="BI151" s="1">
        <v>22</v>
      </c>
      <c r="BJ151" s="1">
        <v>148</v>
      </c>
      <c r="BL151" s="7">
        <v>21.78</v>
      </c>
    </row>
    <row r="152" spans="1:68" x14ac:dyDescent="0.2">
      <c r="N152" s="11">
        <f t="shared" ref="N152:AC152" si="69">AVERAGE(N4:N150)</f>
        <v>44.443554272820244</v>
      </c>
      <c r="O152" s="11">
        <f t="shared" si="69"/>
        <v>151.23449644273165</v>
      </c>
      <c r="P152" s="11">
        <f t="shared" si="69"/>
        <v>43.390799167297125</v>
      </c>
      <c r="Q152" s="11">
        <f t="shared" si="69"/>
        <v>149.58631771089526</v>
      </c>
      <c r="R152" s="11">
        <f t="shared" si="69"/>
        <v>43.18024814619249</v>
      </c>
      <c r="S152" s="11">
        <f t="shared" si="69"/>
        <v>149.25668196452801</v>
      </c>
      <c r="T152" s="11">
        <f t="shared" si="69"/>
        <v>42.969697125087862</v>
      </c>
      <c r="U152" s="11">
        <f t="shared" si="69"/>
        <v>148.9270462181608</v>
      </c>
      <c r="V152" s="24">
        <f t="shared" ref="V152:W152" si="70">AVERAGE(V4:V150)</f>
        <v>13.504886597984724</v>
      </c>
      <c r="W152" s="24">
        <f t="shared" si="70"/>
        <v>84.103158887868318</v>
      </c>
      <c r="X152" s="31">
        <f t="shared" ref="X152:Y152" si="71">AVERAGE(X4:X150)</f>
        <v>9.0850769301510752</v>
      </c>
      <c r="Y152" s="31">
        <f t="shared" si="71"/>
        <v>74.512967808602099</v>
      </c>
      <c r="Z152" s="31">
        <f t="shared" ref="Z152:AA152" si="72">AVERAGE(Z4:Z150)</f>
        <v>0.68743856126714697</v>
      </c>
      <c r="AA152" s="31">
        <f t="shared" si="72"/>
        <v>56.291604757996339</v>
      </c>
      <c r="AB152" s="11">
        <f t="shared" si="69"/>
        <v>42.759146103983248</v>
      </c>
      <c r="AC152" s="11">
        <f t="shared" si="69"/>
        <v>148.59741047179347</v>
      </c>
      <c r="AD152" s="11"/>
      <c r="AG152" s="1">
        <v>22</v>
      </c>
      <c r="AH152" s="1">
        <v>149</v>
      </c>
      <c r="AJ152" s="7">
        <v>21.95</v>
      </c>
      <c r="BI152" s="1">
        <v>22</v>
      </c>
      <c r="BJ152" s="1">
        <v>149</v>
      </c>
      <c r="BL152" s="7">
        <v>21.95</v>
      </c>
    </row>
    <row r="153" spans="1:68" x14ac:dyDescent="0.2">
      <c r="N153" s="57">
        <f>AVERAGE(N152:O152)</f>
        <v>97.839025357775952</v>
      </c>
      <c r="O153" s="4"/>
      <c r="P153" s="14">
        <f>($N152-P152)/$N152</f>
        <v>2.3687464307213118E-2</v>
      </c>
      <c r="Q153" s="14">
        <f>($O152-Q152)/$O152</f>
        <v>1.0898166559905964E-2</v>
      </c>
      <c r="R153" s="14">
        <f>($N152-R152)/$N152</f>
        <v>2.8424957168655996E-2</v>
      </c>
      <c r="S153" s="14">
        <f>($O152-S152)/$O152</f>
        <v>1.3077799871886932E-2</v>
      </c>
      <c r="T153" s="14">
        <f>($N152-T152)/$N152</f>
        <v>3.3162450030098718E-2</v>
      </c>
      <c r="U153" s="14">
        <f>($O152-U152)/$O152</f>
        <v>1.5257433183867712E-2</v>
      </c>
      <c r="V153" s="21">
        <f>($N152-V152)/$N152</f>
        <v>0.6961339654546097</v>
      </c>
      <c r="W153" s="21">
        <f>($O152-W152)/$O152</f>
        <v>0.44388905397839656</v>
      </c>
      <c r="X153" s="27">
        <f>($N152-X152)/$N152</f>
        <v>0.79558167480526831</v>
      </c>
      <c r="Y153" s="27">
        <f>($O152-Y152)/$O152</f>
        <v>0.50730177597531056</v>
      </c>
      <c r="Z153" s="27">
        <f>($N152-Z152)/$N152</f>
        <v>0.98453232257151946</v>
      </c>
      <c r="AA153" s="27">
        <f>($O152-AA152)/$O152</f>
        <v>0.62778594776944674</v>
      </c>
      <c r="AB153" s="14">
        <f>($N152-AB152)/$N152</f>
        <v>3.7899942891541118E-2</v>
      </c>
      <c r="AC153" s="14">
        <f>($O152-AC152)/$O152</f>
        <v>1.7437066495849241E-2</v>
      </c>
      <c r="AD153" s="14"/>
      <c r="AE153" s="14"/>
      <c r="AG153" s="1">
        <v>22</v>
      </c>
      <c r="AH153" s="1">
        <v>150</v>
      </c>
      <c r="AJ153" s="7">
        <v>22.12</v>
      </c>
      <c r="BI153" s="1">
        <v>22</v>
      </c>
      <c r="BJ153" s="1">
        <v>150</v>
      </c>
      <c r="BL153" s="7">
        <v>22.12</v>
      </c>
    </row>
    <row r="154" spans="1:68" x14ac:dyDescent="0.2">
      <c r="N154" s="57">
        <v>39</v>
      </c>
      <c r="O154" s="1">
        <v>133</v>
      </c>
      <c r="AG154" s="1">
        <v>22</v>
      </c>
      <c r="AH154" s="1">
        <v>151</v>
      </c>
      <c r="AJ154" s="7">
        <v>22.29</v>
      </c>
      <c r="BI154" s="1">
        <v>22</v>
      </c>
      <c r="BJ154" s="1">
        <v>151</v>
      </c>
      <c r="BL154" s="7">
        <v>22.29</v>
      </c>
    </row>
    <row r="155" spans="1:68" x14ac:dyDescent="0.2">
      <c r="N155" s="57">
        <f t="shared" ref="N155" si="73">AVERAGE(N154:O154)</f>
        <v>86</v>
      </c>
      <c r="AG155" s="1">
        <v>22</v>
      </c>
      <c r="AH155" s="1">
        <v>152</v>
      </c>
      <c r="AJ155" s="7">
        <v>22.46</v>
      </c>
      <c r="BI155" s="1">
        <v>22</v>
      </c>
      <c r="BJ155" s="1">
        <v>152</v>
      </c>
      <c r="BL155" s="7">
        <v>22.46</v>
      </c>
    </row>
    <row r="156" spans="1:68" x14ac:dyDescent="0.2">
      <c r="N156" s="1">
        <f>N154/N152</f>
        <v>0.87751757567802613</v>
      </c>
      <c r="O156" s="1">
        <f>O154/O152</f>
        <v>0.87942898695975391</v>
      </c>
      <c r="AG156" s="1">
        <v>22</v>
      </c>
      <c r="AH156" s="1">
        <v>153</v>
      </c>
      <c r="AJ156" s="7">
        <v>22.63</v>
      </c>
      <c r="BI156" s="1">
        <v>22</v>
      </c>
      <c r="BJ156" s="1">
        <v>153</v>
      </c>
      <c r="BL156" s="7">
        <v>22.63</v>
      </c>
    </row>
    <row r="157" spans="1:68" x14ac:dyDescent="0.2">
      <c r="AG157" s="1">
        <v>22</v>
      </c>
      <c r="AH157" s="1">
        <v>154</v>
      </c>
      <c r="AJ157" s="7">
        <v>22.8</v>
      </c>
      <c r="BI157" s="1">
        <v>22</v>
      </c>
      <c r="BJ157" s="1">
        <v>154</v>
      </c>
      <c r="BL157" s="7">
        <v>22.8</v>
      </c>
      <c r="BO157">
        <v>23.72</v>
      </c>
      <c r="BP157">
        <v>10.84</v>
      </c>
    </row>
    <row r="158" spans="1:68" x14ac:dyDescent="0.2">
      <c r="AG158" s="1">
        <v>23</v>
      </c>
      <c r="AH158" s="1">
        <v>155</v>
      </c>
      <c r="AJ158" s="7">
        <v>22.97</v>
      </c>
      <c r="BI158" s="1">
        <v>23</v>
      </c>
      <c r="BJ158" s="1">
        <v>155</v>
      </c>
      <c r="BL158" s="7">
        <v>22.97</v>
      </c>
    </row>
    <row r="159" spans="1:68" x14ac:dyDescent="0.2">
      <c r="AG159" s="1">
        <v>23</v>
      </c>
      <c r="AH159" s="1">
        <v>156</v>
      </c>
      <c r="AJ159" s="7">
        <v>23.14</v>
      </c>
      <c r="BI159" s="1">
        <v>23</v>
      </c>
      <c r="BJ159" s="1">
        <v>156</v>
      </c>
      <c r="BL159" s="7">
        <v>23.14</v>
      </c>
    </row>
    <row r="160" spans="1:68" x14ac:dyDescent="0.2">
      <c r="AG160" s="1">
        <v>23</v>
      </c>
      <c r="AH160" s="1">
        <v>157</v>
      </c>
      <c r="AJ160" s="7">
        <v>23.31</v>
      </c>
      <c r="BI160" s="1">
        <v>23</v>
      </c>
      <c r="BJ160" s="1">
        <v>157</v>
      </c>
      <c r="BL160" s="7">
        <v>23.31</v>
      </c>
    </row>
    <row r="161" spans="33:69" x14ac:dyDescent="0.2">
      <c r="AG161" s="1">
        <v>23</v>
      </c>
      <c r="AH161" s="1">
        <v>158</v>
      </c>
      <c r="AJ161" s="7">
        <v>23.48</v>
      </c>
      <c r="BI161" s="1">
        <v>23</v>
      </c>
      <c r="BJ161" s="1">
        <v>158</v>
      </c>
      <c r="BL161" s="7">
        <v>23.48</v>
      </c>
    </row>
    <row r="162" spans="33:69" x14ac:dyDescent="0.2">
      <c r="AG162" s="1">
        <v>23</v>
      </c>
      <c r="AH162" s="1">
        <v>159</v>
      </c>
      <c r="AJ162" s="7">
        <v>23.65</v>
      </c>
      <c r="BI162" s="1">
        <v>23</v>
      </c>
      <c r="BJ162" s="1">
        <v>159</v>
      </c>
      <c r="BL162" s="7">
        <v>23.65</v>
      </c>
    </row>
    <row r="163" spans="33:69" x14ac:dyDescent="0.2">
      <c r="AG163" s="1">
        <v>23</v>
      </c>
      <c r="AH163" s="1">
        <v>160</v>
      </c>
      <c r="AJ163" s="7">
        <v>23.82</v>
      </c>
      <c r="BI163" s="1">
        <v>23</v>
      </c>
      <c r="BJ163" s="1">
        <v>160</v>
      </c>
      <c r="BL163" s="7">
        <v>23.82</v>
      </c>
    </row>
    <row r="164" spans="33:69" x14ac:dyDescent="0.2">
      <c r="AG164" s="1">
        <v>23</v>
      </c>
      <c r="AH164" s="1">
        <v>161</v>
      </c>
      <c r="AJ164" s="7">
        <v>23.98</v>
      </c>
      <c r="BI164" s="1">
        <v>23</v>
      </c>
      <c r="BJ164" s="1">
        <v>161</v>
      </c>
      <c r="BL164" s="7">
        <v>23.98</v>
      </c>
      <c r="BO164">
        <v>24.81</v>
      </c>
      <c r="BP164">
        <v>11.28</v>
      </c>
    </row>
    <row r="165" spans="33:69" x14ac:dyDescent="0.2">
      <c r="AG165" s="1">
        <v>24</v>
      </c>
      <c r="AH165" s="1">
        <v>162</v>
      </c>
      <c r="AJ165" s="7">
        <v>24.15</v>
      </c>
      <c r="BI165" s="1">
        <v>24</v>
      </c>
      <c r="BJ165" s="1">
        <v>162</v>
      </c>
      <c r="BL165" s="7">
        <v>24.15</v>
      </c>
    </row>
    <row r="166" spans="33:69" x14ac:dyDescent="0.2">
      <c r="AG166" s="1">
        <v>24</v>
      </c>
      <c r="AH166" s="1">
        <v>163</v>
      </c>
      <c r="AJ166" s="7">
        <v>24.32</v>
      </c>
      <c r="BI166" s="1">
        <v>24</v>
      </c>
      <c r="BJ166" s="1">
        <v>163</v>
      </c>
      <c r="BL166" s="7">
        <v>24.32</v>
      </c>
    </row>
    <row r="167" spans="33:69" x14ac:dyDescent="0.2">
      <c r="AG167" s="1">
        <v>24</v>
      </c>
      <c r="AH167" s="1">
        <v>164</v>
      </c>
      <c r="AJ167" s="7">
        <v>24.49</v>
      </c>
      <c r="BI167" s="1">
        <v>24</v>
      </c>
      <c r="BJ167" s="1">
        <v>164</v>
      </c>
      <c r="BL167" s="7">
        <v>24.49</v>
      </c>
    </row>
    <row r="168" spans="33:69" x14ac:dyDescent="0.2">
      <c r="AG168" s="1">
        <v>24</v>
      </c>
      <c r="AH168" s="1">
        <v>165</v>
      </c>
      <c r="AJ168" s="7">
        <v>24.65</v>
      </c>
      <c r="BI168" s="1">
        <v>24</v>
      </c>
      <c r="BJ168" s="1">
        <v>165</v>
      </c>
      <c r="BL168" s="7">
        <v>24.65</v>
      </c>
    </row>
    <row r="169" spans="33:69" x14ac:dyDescent="0.2">
      <c r="AG169" s="1">
        <v>24</v>
      </c>
      <c r="AH169" s="1">
        <v>166</v>
      </c>
      <c r="AJ169" s="7">
        <v>24.82</v>
      </c>
      <c r="BI169" s="1">
        <v>24</v>
      </c>
      <c r="BJ169" s="1">
        <v>166</v>
      </c>
      <c r="BL169" s="7">
        <v>24.82</v>
      </c>
    </row>
    <row r="170" spans="33:69" x14ac:dyDescent="0.2">
      <c r="AG170" s="1">
        <v>24</v>
      </c>
      <c r="AH170" s="1">
        <v>167</v>
      </c>
      <c r="AJ170" s="7">
        <v>24.99</v>
      </c>
      <c r="BI170" s="1">
        <v>24</v>
      </c>
      <c r="BJ170" s="1">
        <v>167</v>
      </c>
      <c r="BL170" s="7">
        <v>24.99</v>
      </c>
    </row>
    <row r="171" spans="33:69" x14ac:dyDescent="0.2">
      <c r="AG171" s="1">
        <v>24</v>
      </c>
      <c r="AH171" s="1">
        <v>168</v>
      </c>
      <c r="AJ171" s="7">
        <v>25.15</v>
      </c>
      <c r="BI171" s="1">
        <v>24</v>
      </c>
      <c r="BJ171" s="1">
        <v>168</v>
      </c>
      <c r="BL171" s="7">
        <v>25.15</v>
      </c>
      <c r="BO171">
        <v>25.82</v>
      </c>
      <c r="BP171">
        <v>11.7</v>
      </c>
    </row>
    <row r="172" spans="33:69" x14ac:dyDescent="0.2">
      <c r="BP172">
        <v>12.08</v>
      </c>
      <c r="BQ172">
        <v>25</v>
      </c>
    </row>
    <row r="173" spans="33:69" x14ac:dyDescent="0.2">
      <c r="BP173">
        <v>12.45</v>
      </c>
      <c r="BQ173">
        <v>26</v>
      </c>
    </row>
    <row r="174" spans="33:69" x14ac:dyDescent="0.2">
      <c r="BP174">
        <v>12.8</v>
      </c>
      <c r="BQ174">
        <v>27</v>
      </c>
    </row>
    <row r="175" spans="33:69" x14ac:dyDescent="0.2">
      <c r="BP175">
        <v>13.12</v>
      </c>
      <c r="BQ175">
        <v>28</v>
      </c>
    </row>
    <row r="176" spans="33:69" x14ac:dyDescent="0.2">
      <c r="BP176">
        <v>13.44</v>
      </c>
      <c r="BQ176">
        <v>29</v>
      </c>
    </row>
  </sheetData>
  <sheetProtection algorithmName="SHA-512" hashValue="DZ6/DBkOdOLKBC3s78tfzU1fl4sS30nHIoaem/qstygWPzMpuQePSr54xp9gEnCofloRmu2s7IHcTA5lSgpXEQ==" saltValue="5Z/oi7bPXbbv8srSTGXn+Q==" spinCount="100000" sheet="1" objects="1" scenarios="1"/>
  <mergeCells count="13">
    <mergeCell ref="BK1:BL1"/>
    <mergeCell ref="T1:U1"/>
    <mergeCell ref="AB1:AC1"/>
    <mergeCell ref="R1:S1"/>
    <mergeCell ref="C1:D1"/>
    <mergeCell ref="E1:F1"/>
    <mergeCell ref="N1:O1"/>
    <mergeCell ref="P1:Q1"/>
    <mergeCell ref="K1:L1"/>
    <mergeCell ref="I1:J2"/>
    <mergeCell ref="V1:W1"/>
    <mergeCell ref="X1:Y1"/>
    <mergeCell ref="Z1:AA1"/>
  </mergeCells>
  <phoneticPr fontId="3" type="noConversion"/>
  <conditionalFormatting sqref="AM3:AM14">
    <cfRule type="cellIs" dxfId="0" priority="1" stopIfTrue="1" operator="equal">
      <formula>-999</formula>
    </cfRule>
  </conditionalFormatting>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VLEESKALKOENEN</vt:lpstr>
      <vt:lpstr>wisselend debiet &amp; reductie_hen</vt:lpstr>
      <vt:lpstr>wisselend debiet &amp;reductie_haan</vt:lpstr>
      <vt:lpstr>Max waarden</vt:lpstr>
      <vt:lpstr>Reductietechnieken</vt:lpstr>
      <vt:lpstr>kalkoenen</vt:lpstr>
      <vt:lpstr>VLEESKALKOENEN!Afdrukbereik</vt:lpstr>
      <vt:lpstr>'wisselend debiet &amp; reductie_hen'!Afdruktitels</vt:lpstr>
      <vt:lpstr>'wisselend debiet &amp;reductie_haan'!Afdruktitels</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van Emous</dc:creator>
  <cp:lastModifiedBy>Vierhuis, Esther (WVL)</cp:lastModifiedBy>
  <cp:lastPrinted>2021-02-01T11:19:29Z</cp:lastPrinted>
  <dcterms:created xsi:type="dcterms:W3CDTF">2010-11-01T16:40:05Z</dcterms:created>
  <dcterms:modified xsi:type="dcterms:W3CDTF">2021-03-12T10:58:21Z</dcterms:modified>
</cp:coreProperties>
</file>