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G:\wvl\LO_IM\Algemeen\OpdrachtenKR\Landbouw\Bijlage Rav_Rgv_Fijn stof\Wijziging Fijn stof lijst\0. Rekenmodel Vee-combistof\Rekenmodel V2 Excel TEST\"/>
    </mc:Choice>
  </mc:AlternateContent>
  <bookViews>
    <workbookView xWindow="-105" yWindow="-105" windowWidth="23250" windowHeight="12570" tabRatio="632"/>
  </bookViews>
  <sheets>
    <sheet name="VLEESKUIKENS" sheetId="18" r:id="rId1"/>
    <sheet name="PLUIMVEECATEGORIE" sheetId="17" state="hidden" r:id="rId2"/>
    <sheet name="wisselend debiet en reductie" sheetId="19" state="hidden" r:id="rId3"/>
    <sheet name="Max waarden" sheetId="15" state="hidden" r:id="rId4"/>
    <sheet name="Reductietechnieken" sheetId="14" state="hidden" r:id="rId5"/>
  </sheets>
  <definedNames>
    <definedName name="_xlnm.Print_Area" localSheetId="0">VLEESKUIKENS!$A$1:$Q$34</definedName>
    <definedName name="_xlnm.Print_Titles" localSheetId="2">'wisselend debiet en reductie'!$A:$A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18" l="1"/>
  <c r="L19" i="18" l="1"/>
  <c r="M21" i="18" l="1"/>
  <c r="B10" i="15" l="1"/>
  <c r="C10" i="15"/>
  <c r="J25" i="18" l="1"/>
  <c r="E48" i="19"/>
  <c r="E44" i="19"/>
  <c r="E50" i="19"/>
  <c r="E51" i="19"/>
  <c r="E47" i="19"/>
  <c r="E49" i="19"/>
  <c r="E46" i="19"/>
  <c r="E45" i="19"/>
  <c r="E23" i="18" l="1"/>
  <c r="H14" i="18"/>
  <c r="F20" i="18" l="1"/>
  <c r="M19" i="18" s="1"/>
  <c r="H19" i="18" l="1"/>
  <c r="F14" i="18"/>
  <c r="M17" i="18" s="1"/>
  <c r="G16" i="18" l="1"/>
  <c r="I15" i="18"/>
  <c r="I12" i="18" l="1"/>
  <c r="C53" i="14" l="1"/>
  <c r="B53" i="19" l="1"/>
  <c r="C51" i="19"/>
  <c r="C50" i="19"/>
  <c r="C49" i="19"/>
  <c r="C48" i="19"/>
  <c r="C47" i="19"/>
  <c r="C46" i="19"/>
  <c r="C45" i="19"/>
  <c r="C44" i="19"/>
  <c r="C43" i="19"/>
  <c r="C42" i="19"/>
  <c r="C41" i="19"/>
  <c r="C40" i="19"/>
  <c r="C39" i="19"/>
  <c r="C38" i="19"/>
  <c r="C37" i="19"/>
  <c r="C36" i="19"/>
  <c r="C35" i="19"/>
  <c r="C34" i="19"/>
  <c r="C33" i="19"/>
  <c r="C32" i="19"/>
  <c r="C31" i="19"/>
  <c r="C30" i="19"/>
  <c r="C29" i="19"/>
  <c r="C28" i="19"/>
  <c r="C27" i="19"/>
  <c r="C26" i="19"/>
  <c r="C25" i="19"/>
  <c r="AA24" i="19"/>
  <c r="C24" i="19"/>
  <c r="AA23" i="19"/>
  <c r="C23" i="19"/>
  <c r="C22" i="19"/>
  <c r="C21" i="19"/>
  <c r="C20" i="19"/>
  <c r="C19" i="19"/>
  <c r="AF18" i="19"/>
  <c r="AF19" i="19" s="1"/>
  <c r="AF21" i="19" s="1"/>
  <c r="AE18" i="19"/>
  <c r="AE19" i="19" s="1"/>
  <c r="AE21" i="19" s="1"/>
  <c r="AD18" i="19"/>
  <c r="AD19" i="19" s="1"/>
  <c r="AD21" i="19" s="1"/>
  <c r="AC18" i="19"/>
  <c r="AC19" i="19" s="1"/>
  <c r="AC21" i="19" s="1"/>
  <c r="C18" i="19"/>
  <c r="K17" i="19"/>
  <c r="K18" i="19" s="1"/>
  <c r="K19" i="19" s="1"/>
  <c r="C17" i="19"/>
  <c r="C16" i="19"/>
  <c r="C15" i="19"/>
  <c r="K14" i="19"/>
  <c r="C14" i="19"/>
  <c r="C13" i="19"/>
  <c r="AF12" i="19"/>
  <c r="AE12" i="19"/>
  <c r="AD12" i="19"/>
  <c r="AC12" i="19"/>
  <c r="C12" i="19"/>
  <c r="C11" i="19"/>
  <c r="AF10" i="19"/>
  <c r="AE10" i="19"/>
  <c r="AD10" i="19"/>
  <c r="AC10" i="19"/>
  <c r="K10" i="19"/>
  <c r="C10" i="19"/>
  <c r="J3" i="19"/>
  <c r="L13" i="19" s="1"/>
  <c r="L10" i="19" l="1"/>
  <c r="L17" i="19"/>
  <c r="K20" i="19"/>
  <c r="L19" i="19"/>
  <c r="L18" i="19"/>
  <c r="L15" i="19"/>
  <c r="L11" i="19"/>
  <c r="L14" i="19"/>
  <c r="L16" i="19"/>
  <c r="L12" i="19"/>
  <c r="K21" i="19" l="1"/>
  <c r="L20" i="19"/>
  <c r="K22" i="19" l="1"/>
  <c r="L21" i="19"/>
  <c r="K23" i="19" l="1"/>
  <c r="L22" i="19"/>
  <c r="AC13" i="19" s="1"/>
  <c r="AC14" i="19" s="1"/>
  <c r="K24" i="19" l="1"/>
  <c r="L23" i="19"/>
  <c r="K25" i="19" l="1"/>
  <c r="L24" i="19"/>
  <c r="K26" i="19" l="1"/>
  <c r="L25" i="19"/>
  <c r="K27" i="19" l="1"/>
  <c r="L26" i="19"/>
  <c r="K28" i="19" l="1"/>
  <c r="L27" i="19"/>
  <c r="K29" i="19" l="1"/>
  <c r="L28" i="19"/>
  <c r="AD13" i="19" l="1"/>
  <c r="AD14" i="19" s="1"/>
  <c r="K30" i="19"/>
  <c r="L29" i="19"/>
  <c r="K31" i="19" l="1"/>
  <c r="L30" i="19"/>
  <c r="K32" i="19" l="1"/>
  <c r="L31" i="19"/>
  <c r="K33" i="19" l="1"/>
  <c r="L32" i="19"/>
  <c r="K34" i="19" l="1"/>
  <c r="L33" i="19"/>
  <c r="K35" i="19" l="1"/>
  <c r="L34" i="19"/>
  <c r="K36" i="19" l="1"/>
  <c r="L35" i="19"/>
  <c r="K37" i="19" l="1"/>
  <c r="L36" i="19"/>
  <c r="K38" i="19" l="1"/>
  <c r="L37" i="19"/>
  <c r="K39" i="19" l="1"/>
  <c r="L38" i="19"/>
  <c r="K40" i="19" l="1"/>
  <c r="L39" i="19"/>
  <c r="K41" i="19" l="1"/>
  <c r="L40" i="19"/>
  <c r="K42" i="19" l="1"/>
  <c r="L41" i="19"/>
  <c r="K43" i="19" l="1"/>
  <c r="L42" i="19"/>
  <c r="K44" i="19" l="1"/>
  <c r="L43" i="19"/>
  <c r="K45" i="19" l="1"/>
  <c r="K46" i="19" l="1"/>
  <c r="K47" i="19" l="1"/>
  <c r="K48" i="19" l="1"/>
  <c r="K49" i="19" l="1"/>
  <c r="K50" i="19" l="1"/>
  <c r="K51" i="19" l="1"/>
  <c r="D33" i="18" l="1"/>
  <c r="E20" i="18"/>
  <c r="E6" i="18"/>
  <c r="J14" i="18" l="1"/>
  <c r="D25" i="14" l="1"/>
  <c r="D24" i="14"/>
  <c r="D23" i="14"/>
  <c r="D22" i="14"/>
  <c r="D21" i="14"/>
  <c r="D20" i="14"/>
  <c r="D19" i="14"/>
  <c r="D18" i="14"/>
  <c r="S2" i="14" s="1"/>
  <c r="D17" i="14"/>
  <c r="D16" i="14"/>
  <c r="Q2" i="14" s="1"/>
  <c r="D15" i="14"/>
  <c r="P2" i="14" s="1"/>
  <c r="D14" i="14"/>
  <c r="O2" i="14" s="1"/>
  <c r="D13" i="14"/>
  <c r="D12" i="14"/>
  <c r="D11" i="14"/>
  <c r="D10" i="14"/>
  <c r="D9" i="14"/>
  <c r="D8" i="14"/>
  <c r="I2" i="14" s="1"/>
  <c r="D6" i="14"/>
  <c r="D5" i="14"/>
  <c r="G2" i="14" s="1"/>
  <c r="D4" i="14"/>
  <c r="D3" i="14"/>
  <c r="Q3" i="14" s="1"/>
  <c r="U2" i="14"/>
  <c r="U20" i="14" s="1"/>
  <c r="J2" i="14"/>
  <c r="F2" i="14"/>
  <c r="P14" i="14" l="1"/>
  <c r="J24" i="14"/>
  <c r="G21" i="14"/>
  <c r="E2" i="14"/>
  <c r="E6" i="14" s="1"/>
  <c r="Q16" i="14"/>
  <c r="Q4" i="14"/>
  <c r="U12" i="14"/>
  <c r="U23" i="14"/>
  <c r="G9" i="14"/>
  <c r="Q24" i="14"/>
  <c r="F3" i="14"/>
  <c r="G5" i="14"/>
  <c r="J4" i="14"/>
  <c r="Q11" i="14"/>
  <c r="F19" i="14"/>
  <c r="Q22" i="14"/>
  <c r="P6" i="14"/>
  <c r="J9" i="14"/>
  <c r="J15" i="14"/>
  <c r="F16" i="14"/>
  <c r="F20" i="14"/>
  <c r="L2" i="14"/>
  <c r="L6" i="14" s="1"/>
  <c r="W2" i="14"/>
  <c r="W6" i="14" s="1"/>
  <c r="U4" i="14"/>
  <c r="G6" i="14"/>
  <c r="Q6" i="14"/>
  <c r="Q9" i="14"/>
  <c r="F11" i="14"/>
  <c r="F12" i="14"/>
  <c r="G13" i="14"/>
  <c r="U14" i="14"/>
  <c r="J20" i="14"/>
  <c r="F24" i="14"/>
  <c r="H2" i="14"/>
  <c r="H4" i="14" s="1"/>
  <c r="M2" i="14"/>
  <c r="M14" i="14" s="1"/>
  <c r="X2" i="14"/>
  <c r="X22" i="14" s="1"/>
  <c r="F4" i="14"/>
  <c r="H6" i="14"/>
  <c r="U6" i="14"/>
  <c r="F9" i="14"/>
  <c r="J12" i="14"/>
  <c r="U15" i="14"/>
  <c r="Q19" i="14"/>
  <c r="P22" i="14"/>
  <c r="J23" i="14"/>
  <c r="G24" i="14"/>
  <c r="T2" i="14"/>
  <c r="T15" i="14" s="1"/>
  <c r="Y2" i="14"/>
  <c r="Y20" i="14" s="1"/>
  <c r="I24" i="14"/>
  <c r="I16" i="14"/>
  <c r="S24" i="14"/>
  <c r="S22" i="14"/>
  <c r="S16" i="14"/>
  <c r="S14" i="14"/>
  <c r="I4" i="14"/>
  <c r="S4" i="14"/>
  <c r="S8" i="14"/>
  <c r="O8" i="14"/>
  <c r="G8" i="14"/>
  <c r="I8" i="14"/>
  <c r="Q10" i="14"/>
  <c r="I10" i="14"/>
  <c r="U10" i="14"/>
  <c r="P10" i="14"/>
  <c r="J10" i="14"/>
  <c r="S10" i="14"/>
  <c r="I12" i="14"/>
  <c r="S12" i="14"/>
  <c r="I15" i="14"/>
  <c r="I18" i="14"/>
  <c r="U25" i="14"/>
  <c r="Q25" i="14"/>
  <c r="I25" i="14"/>
  <c r="S25" i="14"/>
  <c r="Z2" i="14"/>
  <c r="Z8" i="14" s="1"/>
  <c r="G25" i="14"/>
  <c r="O25" i="14"/>
  <c r="O24" i="14"/>
  <c r="O16" i="14"/>
  <c r="O4" i="14"/>
  <c r="S5" i="14"/>
  <c r="J8" i="14"/>
  <c r="P8" i="14"/>
  <c r="U8" i="14"/>
  <c r="F10" i="14"/>
  <c r="U17" i="14"/>
  <c r="Q17" i="14"/>
  <c r="I17" i="14"/>
  <c r="S17" i="14"/>
  <c r="R2" i="14"/>
  <c r="R22" i="14" s="1"/>
  <c r="G17" i="14"/>
  <c r="O17" i="14"/>
  <c r="S21" i="14"/>
  <c r="S23" i="14"/>
  <c r="O23" i="14"/>
  <c r="G23" i="14"/>
  <c r="Q23" i="14"/>
  <c r="F23" i="14"/>
  <c r="F25" i="14"/>
  <c r="P25" i="14"/>
  <c r="G20" i="14"/>
  <c r="G12" i="14"/>
  <c r="K2" i="14"/>
  <c r="K5" i="14" s="1"/>
  <c r="U24" i="14"/>
  <c r="U16" i="14"/>
  <c r="S3" i="14"/>
  <c r="O3" i="14"/>
  <c r="G3" i="14"/>
  <c r="I3" i="14"/>
  <c r="U5" i="14"/>
  <c r="Q5" i="14"/>
  <c r="I5" i="14"/>
  <c r="J5" i="14"/>
  <c r="O5" i="14"/>
  <c r="S6" i="14"/>
  <c r="F8" i="14"/>
  <c r="Q8" i="14"/>
  <c r="I9" i="14"/>
  <c r="S9" i="14"/>
  <c r="G10" i="14"/>
  <c r="S13" i="14"/>
  <c r="S15" i="14"/>
  <c r="O15" i="14"/>
  <c r="G15" i="14"/>
  <c r="H15" i="14"/>
  <c r="Q15" i="14"/>
  <c r="F15" i="14"/>
  <c r="G16" i="14"/>
  <c r="F17" i="14"/>
  <c r="P17" i="14"/>
  <c r="J18" i="14"/>
  <c r="F18" i="14"/>
  <c r="Q18" i="14"/>
  <c r="G18" i="14"/>
  <c r="U18" i="14"/>
  <c r="P18" i="14"/>
  <c r="O18" i="14"/>
  <c r="O20" i="14"/>
  <c r="G22" i="14"/>
  <c r="P23" i="14"/>
  <c r="J25" i="14"/>
  <c r="Q20" i="14"/>
  <c r="Q12" i="14"/>
  <c r="J3" i="14"/>
  <c r="P3" i="14"/>
  <c r="U3" i="14"/>
  <c r="G4" i="14"/>
  <c r="W4" i="14"/>
  <c r="F5" i="14"/>
  <c r="P5" i="14"/>
  <c r="J6" i="14"/>
  <c r="F6" i="14"/>
  <c r="I6" i="14"/>
  <c r="O6" i="14"/>
  <c r="O9" i="14"/>
  <c r="U9" i="14"/>
  <c r="O10" i="14"/>
  <c r="O12" i="14"/>
  <c r="G14" i="14"/>
  <c r="Q14" i="14"/>
  <c r="P15" i="14"/>
  <c r="J17" i="14"/>
  <c r="S18" i="14"/>
  <c r="I20" i="14"/>
  <c r="S20" i="14"/>
  <c r="U22" i="14"/>
  <c r="I23" i="14"/>
  <c r="W24" i="14"/>
  <c r="S11" i="14"/>
  <c r="O11" i="14"/>
  <c r="G11" i="14"/>
  <c r="I11" i="14"/>
  <c r="U13" i="14"/>
  <c r="Q13" i="14"/>
  <c r="I13" i="14"/>
  <c r="J13" i="14"/>
  <c r="O13" i="14"/>
  <c r="S19" i="14"/>
  <c r="O19" i="14"/>
  <c r="G19" i="14"/>
  <c r="I19" i="14"/>
  <c r="U21" i="14"/>
  <c r="Q21" i="14"/>
  <c r="I21" i="14"/>
  <c r="J21" i="14"/>
  <c r="O21" i="14"/>
  <c r="N2" i="14"/>
  <c r="N8" i="14" s="1"/>
  <c r="V2" i="14"/>
  <c r="P4" i="14"/>
  <c r="P9" i="14"/>
  <c r="J11" i="14"/>
  <c r="P11" i="14"/>
  <c r="U11" i="14"/>
  <c r="F13" i="14"/>
  <c r="P13" i="14"/>
  <c r="J14" i="14"/>
  <c r="F14" i="14"/>
  <c r="I14" i="14"/>
  <c r="O14" i="14"/>
  <c r="J16" i="14"/>
  <c r="J19" i="14"/>
  <c r="P19" i="14"/>
  <c r="U19" i="14"/>
  <c r="F21" i="14"/>
  <c r="P21" i="14"/>
  <c r="J22" i="14"/>
  <c r="F22" i="14"/>
  <c r="I22" i="14"/>
  <c r="O22" i="14"/>
  <c r="P12" i="14"/>
  <c r="P16" i="14"/>
  <c r="H20" i="14"/>
  <c r="P20" i="14"/>
  <c r="P24" i="14"/>
  <c r="E17" i="14" l="1"/>
  <c r="W12" i="14"/>
  <c r="E5" i="14"/>
  <c r="E22" i="14"/>
  <c r="W17" i="14"/>
  <c r="E12" i="14"/>
  <c r="Y17" i="14"/>
  <c r="W20" i="14"/>
  <c r="W18" i="14"/>
  <c r="W15" i="14"/>
  <c r="E16" i="14"/>
  <c r="H14" i="14"/>
  <c r="H25" i="14"/>
  <c r="H24" i="14"/>
  <c r="Z3" i="14"/>
  <c r="E11" i="14"/>
  <c r="E13" i="14"/>
  <c r="E19" i="14"/>
  <c r="W10" i="14"/>
  <c r="T9" i="14"/>
  <c r="E21" i="14"/>
  <c r="T13" i="14"/>
  <c r="E15" i="14"/>
  <c r="E9" i="14"/>
  <c r="E14" i="14"/>
  <c r="W3" i="14"/>
  <c r="E20" i="14"/>
  <c r="E4" i="14"/>
  <c r="E25" i="14"/>
  <c r="E10" i="14"/>
  <c r="W8" i="14"/>
  <c r="M22" i="14"/>
  <c r="E24" i="14"/>
  <c r="H12" i="14"/>
  <c r="T14" i="14"/>
  <c r="T21" i="14"/>
  <c r="H18" i="14"/>
  <c r="H10" i="14"/>
  <c r="E3" i="14"/>
  <c r="E23" i="14"/>
  <c r="E18" i="14"/>
  <c r="L18" i="14"/>
  <c r="M5" i="14"/>
  <c r="W23" i="14"/>
  <c r="H17" i="14"/>
  <c r="M9" i="14"/>
  <c r="E8" i="14"/>
  <c r="H11" i="14"/>
  <c r="W22" i="14"/>
  <c r="L16" i="14"/>
  <c r="R14" i="14"/>
  <c r="L4" i="14"/>
  <c r="L11" i="14"/>
  <c r="R18" i="14"/>
  <c r="Y15" i="14"/>
  <c r="L8" i="14"/>
  <c r="L23" i="14"/>
  <c r="L22" i="14"/>
  <c r="L20" i="14"/>
  <c r="L9" i="14"/>
  <c r="T17" i="14"/>
  <c r="L17" i="14"/>
  <c r="Y16" i="14"/>
  <c r="X13" i="14"/>
  <c r="L24" i="14"/>
  <c r="L12" i="14"/>
  <c r="T4" i="14"/>
  <c r="Y21" i="14"/>
  <c r="T6" i="14"/>
  <c r="L15" i="14"/>
  <c r="T3" i="14"/>
  <c r="X23" i="14"/>
  <c r="X18" i="14"/>
  <c r="X17" i="14"/>
  <c r="L25" i="14"/>
  <c r="X20" i="14"/>
  <c r="L10" i="14"/>
  <c r="X5" i="14"/>
  <c r="X3" i="14"/>
  <c r="X4" i="14"/>
  <c r="X24" i="14"/>
  <c r="X19" i="14"/>
  <c r="X8" i="14"/>
  <c r="X15" i="14"/>
  <c r="X10" i="14"/>
  <c r="X9" i="14"/>
  <c r="X6" i="14"/>
  <c r="X12" i="14"/>
  <c r="M16" i="14"/>
  <c r="X14" i="14"/>
  <c r="W5" i="14"/>
  <c r="H16" i="14"/>
  <c r="Y14" i="14"/>
  <c r="H9" i="14"/>
  <c r="X16" i="14"/>
  <c r="W11" i="14"/>
  <c r="X21" i="14"/>
  <c r="Y3" i="14"/>
  <c r="X25" i="14"/>
  <c r="X11" i="14"/>
  <c r="W9" i="14"/>
  <c r="M21" i="14"/>
  <c r="Y19" i="14"/>
  <c r="Y13" i="14"/>
  <c r="M8" i="14"/>
  <c r="Z6" i="14"/>
  <c r="Y18" i="14"/>
  <c r="M15" i="14"/>
  <c r="Y12" i="14"/>
  <c r="Y9" i="14"/>
  <c r="M17" i="14"/>
  <c r="Y24" i="14"/>
  <c r="Y25" i="14"/>
  <c r="Y8" i="14"/>
  <c r="M12" i="14"/>
  <c r="Y4" i="14"/>
  <c r="H3" i="14"/>
  <c r="H21" i="14"/>
  <c r="H5" i="14"/>
  <c r="H19" i="14"/>
  <c r="T18" i="14"/>
  <c r="T24" i="14"/>
  <c r="T20" i="14"/>
  <c r="T16" i="14"/>
  <c r="T12" i="14"/>
  <c r="Y22" i="14"/>
  <c r="T19" i="14"/>
  <c r="M13" i="14"/>
  <c r="Y11" i="14"/>
  <c r="M24" i="14"/>
  <c r="M19" i="14"/>
  <c r="Y10" i="14"/>
  <c r="H8" i="14"/>
  <c r="M4" i="14"/>
  <c r="H22" i="14"/>
  <c r="M6" i="14"/>
  <c r="Y23" i="14"/>
  <c r="H23" i="14"/>
  <c r="M18" i="14"/>
  <c r="T10" i="14"/>
  <c r="M25" i="14"/>
  <c r="M11" i="14"/>
  <c r="M10" i="14"/>
  <c r="T8" i="14"/>
  <c r="M20" i="14"/>
  <c r="W16" i="14"/>
  <c r="W14" i="14"/>
  <c r="W21" i="14"/>
  <c r="T22" i="14"/>
  <c r="W19" i="14"/>
  <c r="T11" i="14"/>
  <c r="T23" i="14"/>
  <c r="W13" i="14"/>
  <c r="Y6" i="14"/>
  <c r="T25" i="14"/>
  <c r="T5" i="14"/>
  <c r="Y5" i="14"/>
  <c r="M23" i="14"/>
  <c r="M3" i="14"/>
  <c r="W25" i="14"/>
  <c r="L13" i="14"/>
  <c r="L3" i="14"/>
  <c r="L21" i="14"/>
  <c r="L5" i="14"/>
  <c r="L19" i="14"/>
  <c r="L14" i="14"/>
  <c r="H13" i="14"/>
  <c r="V20" i="14"/>
  <c r="V12" i="14"/>
  <c r="V16" i="14"/>
  <c r="V11" i="14"/>
  <c r="V24" i="14"/>
  <c r="V19" i="14"/>
  <c r="V4" i="14"/>
  <c r="V17" i="14"/>
  <c r="V9" i="14"/>
  <c r="V3" i="14"/>
  <c r="V6" i="14"/>
  <c r="V8" i="14"/>
  <c r="K20" i="14"/>
  <c r="K12" i="14"/>
  <c r="K22" i="14"/>
  <c r="K16" i="14"/>
  <c r="K24" i="14"/>
  <c r="K4" i="14"/>
  <c r="K17" i="14"/>
  <c r="K14" i="14"/>
  <c r="K9" i="14"/>
  <c r="K6" i="14"/>
  <c r="K23" i="14"/>
  <c r="R20" i="14"/>
  <c r="R12" i="14"/>
  <c r="R4" i="14"/>
  <c r="R16" i="14"/>
  <c r="R11" i="14"/>
  <c r="R24" i="14"/>
  <c r="R19" i="14"/>
  <c r="R13" i="14"/>
  <c r="R9" i="14"/>
  <c r="R3" i="14"/>
  <c r="R21" i="14"/>
  <c r="R5" i="14"/>
  <c r="V10" i="14"/>
  <c r="V22" i="14"/>
  <c r="K21" i="14"/>
  <c r="V14" i="14"/>
  <c r="K13" i="14"/>
  <c r="N24" i="14"/>
  <c r="N16" i="14"/>
  <c r="N21" i="14"/>
  <c r="N12" i="14"/>
  <c r="N9" i="14"/>
  <c r="N20" i="14"/>
  <c r="N5" i="14"/>
  <c r="N13" i="14"/>
  <c r="N4" i="14"/>
  <c r="R8" i="14"/>
  <c r="V18" i="14"/>
  <c r="K15" i="14"/>
  <c r="R23" i="14"/>
  <c r="K10" i="14"/>
  <c r="Z24" i="14"/>
  <c r="Z16" i="14"/>
  <c r="Z12" i="14"/>
  <c r="Z9" i="14"/>
  <c r="Z20" i="14"/>
  <c r="Z4" i="14"/>
  <c r="Z10" i="14"/>
  <c r="Z22" i="14"/>
  <c r="Z14" i="14"/>
  <c r="K19" i="14"/>
  <c r="K11" i="14"/>
  <c r="V25" i="14"/>
  <c r="Z15" i="14"/>
  <c r="N6" i="14"/>
  <c r="V5" i="14"/>
  <c r="Z23" i="14"/>
  <c r="K18" i="14"/>
  <c r="Z18" i="14"/>
  <c r="R15" i="14"/>
  <c r="N10" i="14"/>
  <c r="K3" i="14"/>
  <c r="N23" i="14"/>
  <c r="V23" i="14"/>
  <c r="Z17" i="14"/>
  <c r="R17" i="14"/>
  <c r="N17" i="14"/>
  <c r="N22" i="14"/>
  <c r="V21" i="14"/>
  <c r="Z19" i="14"/>
  <c r="N14" i="14"/>
  <c r="V13" i="14"/>
  <c r="Z11" i="14"/>
  <c r="Z21" i="14"/>
  <c r="N19" i="14"/>
  <c r="Z13" i="14"/>
  <c r="N11" i="14"/>
  <c r="K25" i="14"/>
  <c r="R6" i="14"/>
  <c r="N18" i="14"/>
  <c r="N15" i="14"/>
  <c r="V15" i="14"/>
  <c r="Z5" i="14"/>
  <c r="N3" i="14"/>
  <c r="Z25" i="14"/>
  <c r="R25" i="14"/>
  <c r="N25" i="14"/>
  <c r="R10" i="14"/>
  <c r="K8" i="14"/>
  <c r="H18" i="18" l="1"/>
  <c r="D32" i="18"/>
  <c r="R5" i="19"/>
  <c r="J11" i="18"/>
  <c r="I17" i="18" l="1"/>
  <c r="R4" i="19"/>
  <c r="M12" i="19"/>
  <c r="X12" i="19" s="1"/>
  <c r="M37" i="19"/>
  <c r="X37" i="19" s="1"/>
  <c r="M43" i="19"/>
  <c r="X43" i="19" s="1"/>
  <c r="M34" i="19"/>
  <c r="X34" i="19" s="1"/>
  <c r="M39" i="19"/>
  <c r="X39" i="19" s="1"/>
  <c r="M40" i="19"/>
  <c r="X40" i="19" s="1"/>
  <c r="M14" i="19"/>
  <c r="X14" i="19" s="1"/>
  <c r="M16" i="19"/>
  <c r="X16" i="19" s="1"/>
  <c r="M41" i="19"/>
  <c r="X41" i="19" s="1"/>
  <c r="M38" i="19"/>
  <c r="X38" i="19" s="1"/>
  <c r="M42" i="19"/>
  <c r="X42" i="19" s="1"/>
  <c r="M17" i="19"/>
  <c r="X17" i="19" s="1"/>
  <c r="M35" i="19"/>
  <c r="X35" i="19" s="1"/>
  <c r="M20" i="19"/>
  <c r="X20" i="19" s="1"/>
  <c r="M23" i="19"/>
  <c r="X23" i="19" s="1"/>
  <c r="M27" i="19"/>
  <c r="X27" i="19" s="1"/>
  <c r="M28" i="19"/>
  <c r="X28" i="19" s="1"/>
  <c r="M21" i="19"/>
  <c r="X21" i="19" s="1"/>
  <c r="M15" i="19"/>
  <c r="X15" i="19" s="1"/>
  <c r="M18" i="19"/>
  <c r="X18" i="19" s="1"/>
  <c r="M32" i="19"/>
  <c r="X32" i="19" s="1"/>
  <c r="M11" i="19"/>
  <c r="X11" i="19" s="1"/>
  <c r="M33" i="19"/>
  <c r="X33" i="19" s="1"/>
  <c r="M36" i="19"/>
  <c r="X36" i="19" s="1"/>
  <c r="M25" i="19"/>
  <c r="X25" i="19" s="1"/>
  <c r="M13" i="19"/>
  <c r="X13" i="19" s="1"/>
  <c r="M22" i="19"/>
  <c r="X22" i="19" s="1"/>
  <c r="M30" i="19"/>
  <c r="X30" i="19" s="1"/>
  <c r="M26" i="19"/>
  <c r="X26" i="19" s="1"/>
  <c r="M31" i="19"/>
  <c r="X31" i="19" s="1"/>
  <c r="M24" i="19"/>
  <c r="X24" i="19" s="1"/>
  <c r="M10" i="19"/>
  <c r="M19" i="19"/>
  <c r="X19" i="19" s="1"/>
  <c r="M29" i="19"/>
  <c r="X29" i="19" s="1"/>
  <c r="H10" i="18"/>
  <c r="H11" i="18" s="1"/>
  <c r="R7" i="19"/>
  <c r="F16" i="18"/>
  <c r="F21" i="18"/>
  <c r="G30" i="19" l="1"/>
  <c r="J21" i="18"/>
  <c r="J23" i="18" s="1"/>
  <c r="G23" i="18" s="1"/>
  <c r="J26" i="18" s="1"/>
  <c r="G14" i="19"/>
  <c r="G20" i="19"/>
  <c r="G35" i="19"/>
  <c r="G47" i="19"/>
  <c r="G19" i="19"/>
  <c r="G22" i="19"/>
  <c r="G23" i="19"/>
  <c r="G34" i="19"/>
  <c r="G31" i="19"/>
  <c r="G48" i="19"/>
  <c r="G18" i="19"/>
  <c r="G12" i="19"/>
  <c r="G43" i="19"/>
  <c r="G13" i="19"/>
  <c r="G26" i="19"/>
  <c r="G36" i="19"/>
  <c r="G45" i="19"/>
  <c r="G10" i="19"/>
  <c r="G16" i="19"/>
  <c r="G24" i="19"/>
  <c r="G32" i="19"/>
  <c r="G44" i="19"/>
  <c r="G17" i="19"/>
  <c r="G39" i="19"/>
  <c r="G37" i="19"/>
  <c r="G51" i="19"/>
  <c r="G46" i="19"/>
  <c r="G11" i="19"/>
  <c r="G28" i="19"/>
  <c r="G42" i="19"/>
  <c r="H30" i="19"/>
  <c r="G50" i="19"/>
  <c r="G21" i="19"/>
  <c r="G33" i="19"/>
  <c r="G15" i="19"/>
  <c r="G38" i="19"/>
  <c r="G27" i="19"/>
  <c r="G25" i="19"/>
  <c r="G29" i="19"/>
  <c r="G40" i="19"/>
  <c r="G41" i="19"/>
  <c r="G49" i="19"/>
  <c r="X10" i="19"/>
  <c r="H36" i="19"/>
  <c r="I33" i="19" l="1"/>
  <c r="P33" i="19" s="1"/>
  <c r="I44" i="19"/>
  <c r="H22" i="19"/>
  <c r="H28" i="19"/>
  <c r="H45" i="19"/>
  <c r="F43" i="19"/>
  <c r="O43" i="19" s="1"/>
  <c r="H31" i="19"/>
  <c r="I19" i="19"/>
  <c r="P19" i="19" s="1"/>
  <c r="I14" i="19"/>
  <c r="P14" i="19" s="1"/>
  <c r="I49" i="19"/>
  <c r="H42" i="19"/>
  <c r="H10" i="19"/>
  <c r="I48" i="19"/>
  <c r="I41" i="19"/>
  <c r="P41" i="19" s="1"/>
  <c r="I21" i="19"/>
  <c r="P21" i="19" s="1"/>
  <c r="I32" i="19"/>
  <c r="P32" i="19" s="1"/>
  <c r="I40" i="19"/>
  <c r="P40" i="19" s="1"/>
  <c r="H38" i="19"/>
  <c r="H39" i="19"/>
  <c r="F24" i="19"/>
  <c r="O24" i="19" s="1"/>
  <c r="I36" i="19"/>
  <c r="P36" i="19" s="1"/>
  <c r="H12" i="19"/>
  <c r="I34" i="19"/>
  <c r="P34" i="19" s="1"/>
  <c r="I47" i="19"/>
  <c r="I25" i="19"/>
  <c r="P25" i="19" s="1"/>
  <c r="I51" i="19"/>
  <c r="R54" i="19" s="1"/>
  <c r="H13" i="19"/>
  <c r="H20" i="19"/>
  <c r="H27" i="19"/>
  <c r="H37" i="19"/>
  <c r="H50" i="19"/>
  <c r="H11" i="19"/>
  <c r="H29" i="19"/>
  <c r="H15" i="19"/>
  <c r="H46" i="19"/>
  <c r="H17" i="19"/>
  <c r="H16" i="19"/>
  <c r="H26" i="19"/>
  <c r="H18" i="19"/>
  <c r="H23" i="19"/>
  <c r="F35" i="19"/>
  <c r="O35" i="19" s="1"/>
  <c r="F30" i="19"/>
  <c r="N30" i="19" s="1"/>
  <c r="I30" i="19"/>
  <c r="P30" i="19" s="1"/>
  <c r="L45" i="19"/>
  <c r="M45" i="19" s="1"/>
  <c r="X45" i="19" s="1"/>
  <c r="L50" i="19"/>
  <c r="M50" i="19" s="1"/>
  <c r="X50" i="19" s="1"/>
  <c r="L49" i="19"/>
  <c r="M49" i="19" s="1"/>
  <c r="X49" i="19" s="1"/>
  <c r="L48" i="19"/>
  <c r="L46" i="19"/>
  <c r="M46" i="19" s="1"/>
  <c r="X46" i="19" s="1"/>
  <c r="L47" i="19"/>
  <c r="M47" i="19" s="1"/>
  <c r="X47" i="19" s="1"/>
  <c r="L51" i="19"/>
  <c r="M51" i="19" s="1"/>
  <c r="X51" i="19" s="1"/>
  <c r="H51" i="19"/>
  <c r="E55" i="19"/>
  <c r="E53" i="19"/>
  <c r="L44" i="19"/>
  <c r="P44" i="19" s="1"/>
  <c r="F19" i="19"/>
  <c r="Q19" i="19" s="1"/>
  <c r="H48" i="19"/>
  <c r="H41" i="19"/>
  <c r="F22" i="19"/>
  <c r="Q22" i="19" s="1"/>
  <c r="I28" i="19"/>
  <c r="P28" i="19" s="1"/>
  <c r="F45" i="19"/>
  <c r="O45" i="19" s="1"/>
  <c r="R53" i="19" s="1"/>
  <c r="S53" i="19" s="1"/>
  <c r="I22" i="19"/>
  <c r="P22" i="19" s="1"/>
  <c r="F13" i="19"/>
  <c r="Q13" i="19" s="1"/>
  <c r="I37" i="19"/>
  <c r="P37" i="19" s="1"/>
  <c r="I45" i="19"/>
  <c r="P45" i="19" s="1"/>
  <c r="F20" i="19"/>
  <c r="Q20" i="19" s="1"/>
  <c r="F48" i="19"/>
  <c r="N48" i="19" s="1"/>
  <c r="H24" i="19"/>
  <c r="H19" i="19"/>
  <c r="I42" i="19"/>
  <c r="P42" i="19" s="1"/>
  <c r="F14" i="19"/>
  <c r="O14" i="19" s="1"/>
  <c r="I24" i="19"/>
  <c r="P24" i="19" s="1"/>
  <c r="I43" i="19"/>
  <c r="P43" i="19" s="1"/>
  <c r="F31" i="19"/>
  <c r="N31" i="19" s="1"/>
  <c r="F36" i="19"/>
  <c r="O36" i="19" s="1"/>
  <c r="F23" i="19"/>
  <c r="O23" i="19" s="1"/>
  <c r="F32" i="19"/>
  <c r="O32" i="19" s="1"/>
  <c r="H14" i="19"/>
  <c r="H43" i="19"/>
  <c r="I31" i="19"/>
  <c r="P31" i="19" s="1"/>
  <c r="F18" i="19"/>
  <c r="Q18" i="19" s="1"/>
  <c r="H35" i="19"/>
  <c r="F28" i="19"/>
  <c r="O28" i="19" s="1"/>
  <c r="F37" i="19"/>
  <c r="Q37" i="19" s="1"/>
  <c r="F10" i="19"/>
  <c r="N10" i="19" s="1"/>
  <c r="I20" i="19"/>
  <c r="P20" i="19" s="1"/>
  <c r="H32" i="19"/>
  <c r="I13" i="19"/>
  <c r="P13" i="19" s="1"/>
  <c r="I16" i="19"/>
  <c r="P16" i="19" s="1"/>
  <c r="F12" i="19"/>
  <c r="N12" i="19" s="1"/>
  <c r="F46" i="19"/>
  <c r="N46" i="19" s="1"/>
  <c r="F33" i="19"/>
  <c r="Q33" i="19" s="1"/>
  <c r="F16" i="19"/>
  <c r="Q16" i="19" s="1"/>
  <c r="F47" i="19"/>
  <c r="Q47" i="19" s="1"/>
  <c r="H47" i="19"/>
  <c r="I12" i="19"/>
  <c r="P12" i="19" s="1"/>
  <c r="F17" i="19"/>
  <c r="N17" i="19" s="1"/>
  <c r="H34" i="19"/>
  <c r="I46" i="19"/>
  <c r="I17" i="19"/>
  <c r="P17" i="19" s="1"/>
  <c r="H33" i="19"/>
  <c r="I29" i="19"/>
  <c r="P29" i="19" s="1"/>
  <c r="F34" i="19"/>
  <c r="Q34" i="19" s="1"/>
  <c r="H25" i="19"/>
  <c r="H44" i="19"/>
  <c r="I35" i="19"/>
  <c r="P35" i="19" s="1"/>
  <c r="H49" i="19"/>
  <c r="F42" i="19"/>
  <c r="O42" i="19" s="1"/>
  <c r="F51" i="19"/>
  <c r="N51" i="19" s="1"/>
  <c r="F44" i="19"/>
  <c r="Q44" i="19" s="1"/>
  <c r="I26" i="19"/>
  <c r="P26" i="19" s="1"/>
  <c r="I23" i="19"/>
  <c r="P23" i="19" s="1"/>
  <c r="I18" i="19"/>
  <c r="P18" i="19" s="1"/>
  <c r="F26" i="19"/>
  <c r="N26" i="19" s="1"/>
  <c r="I10" i="19"/>
  <c r="P10" i="19" s="1"/>
  <c r="F49" i="19"/>
  <c r="Q49" i="19" s="1"/>
  <c r="F27" i="19"/>
  <c r="O27" i="19" s="1"/>
  <c r="F25" i="19"/>
  <c r="O25" i="19" s="1"/>
  <c r="H21" i="19"/>
  <c r="F21" i="19"/>
  <c r="O21" i="19" s="1"/>
  <c r="F41" i="19"/>
  <c r="N41" i="19" s="1"/>
  <c r="G55" i="19"/>
  <c r="F11" i="19"/>
  <c r="N11" i="19" s="1"/>
  <c r="I39" i="19"/>
  <c r="P39" i="19" s="1"/>
  <c r="F29" i="19"/>
  <c r="O29" i="19" s="1"/>
  <c r="I50" i="19"/>
  <c r="I38" i="19"/>
  <c r="P38" i="19" s="1"/>
  <c r="I11" i="19"/>
  <c r="P11" i="19" s="1"/>
  <c r="F50" i="19"/>
  <c r="N50" i="19" s="1"/>
  <c r="F40" i="19"/>
  <c r="O40" i="19" s="1"/>
  <c r="F38" i="19"/>
  <c r="N38" i="19" s="1"/>
  <c r="F39" i="19"/>
  <c r="O39" i="19" s="1"/>
  <c r="H40" i="19"/>
  <c r="F15" i="19"/>
  <c r="N15" i="19" s="1"/>
  <c r="I27" i="19"/>
  <c r="P27" i="19" s="1"/>
  <c r="I15" i="19"/>
  <c r="P15" i="19" s="1"/>
  <c r="P46" i="19" l="1"/>
  <c r="Q43" i="19"/>
  <c r="N43" i="19"/>
  <c r="P63" i="19"/>
  <c r="Q35" i="19"/>
  <c r="N24" i="19"/>
  <c r="O30" i="19"/>
  <c r="N35" i="19"/>
  <c r="Q24" i="19"/>
  <c r="P48" i="19"/>
  <c r="Q30" i="19"/>
  <c r="O19" i="19"/>
  <c r="P51" i="19"/>
  <c r="N69" i="19" s="1"/>
  <c r="M44" i="19"/>
  <c r="X44" i="19" s="1"/>
  <c r="P47" i="19"/>
  <c r="G56" i="19"/>
  <c r="P49" i="19"/>
  <c r="P61" i="19"/>
  <c r="P60" i="19"/>
  <c r="L55" i="19"/>
  <c r="L56" i="19" s="1"/>
  <c r="L57" i="19" s="1"/>
  <c r="L8" i="19" s="1"/>
  <c r="AC22" i="19"/>
  <c r="AC23" i="19" s="1"/>
  <c r="AC24" i="19" s="1"/>
  <c r="AD22" i="19"/>
  <c r="AD23" i="19" s="1"/>
  <c r="AD24" i="19" s="1"/>
  <c r="O68" i="19"/>
  <c r="P54" i="19"/>
  <c r="M48" i="19"/>
  <c r="X48" i="19" s="1"/>
  <c r="N19" i="19"/>
  <c r="O22" i="19"/>
  <c r="N22" i="19"/>
  <c r="O20" i="19"/>
  <c r="N13" i="19"/>
  <c r="O13" i="19"/>
  <c r="N20" i="19"/>
  <c r="Q48" i="19"/>
  <c r="Q45" i="19"/>
  <c r="O48" i="19"/>
  <c r="N45" i="19"/>
  <c r="N47" i="19"/>
  <c r="N32" i="19"/>
  <c r="Q28" i="19"/>
  <c r="Q32" i="19"/>
  <c r="Q36" i="19"/>
  <c r="Q31" i="19"/>
  <c r="O31" i="19"/>
  <c r="N37" i="19"/>
  <c r="Q14" i="19"/>
  <c r="N14" i="19"/>
  <c r="N28" i="19"/>
  <c r="N34" i="19"/>
  <c r="O12" i="19"/>
  <c r="O10" i="19"/>
  <c r="N36" i="19"/>
  <c r="Q23" i="19"/>
  <c r="Q17" i="19"/>
  <c r="N23" i="19"/>
  <c r="O37" i="19"/>
  <c r="N18" i="19"/>
  <c r="O18" i="19"/>
  <c r="O46" i="19"/>
  <c r="Q29" i="19"/>
  <c r="N42" i="19"/>
  <c r="Q11" i="19"/>
  <c r="N27" i="19"/>
  <c r="O16" i="19"/>
  <c r="O44" i="19"/>
  <c r="Q26" i="19"/>
  <c r="Q46" i="19"/>
  <c r="Q12" i="19"/>
  <c r="O11" i="19"/>
  <c r="Q27" i="19"/>
  <c r="O17" i="19"/>
  <c r="Q10" i="19"/>
  <c r="N16" i="19"/>
  <c r="N44" i="19"/>
  <c r="O26" i="19"/>
  <c r="O41" i="19"/>
  <c r="O49" i="19"/>
  <c r="Q54" i="19" s="1"/>
  <c r="O33" i="19"/>
  <c r="O47" i="19"/>
  <c r="P53" i="19" s="1"/>
  <c r="Q21" i="19"/>
  <c r="N33" i="19"/>
  <c r="Q25" i="19"/>
  <c r="O34" i="19"/>
  <c r="Q38" i="19"/>
  <c r="O15" i="19"/>
  <c r="Q42" i="19"/>
  <c r="N29" i="19"/>
  <c r="N21" i="19"/>
  <c r="N25" i="19"/>
  <c r="Q40" i="19"/>
  <c r="O38" i="19"/>
  <c r="N49" i="19"/>
  <c r="Q15" i="19"/>
  <c r="O51" i="19"/>
  <c r="P62" i="19" s="1"/>
  <c r="Q41" i="19"/>
  <c r="Q51" i="19"/>
  <c r="O50" i="19"/>
  <c r="Q52" i="19" s="1"/>
  <c r="Q39" i="19"/>
  <c r="Q50" i="19"/>
  <c r="N39" i="19"/>
  <c r="P50" i="19"/>
  <c r="F55" i="19"/>
  <c r="F56" i="19" s="1"/>
  <c r="N40" i="19"/>
  <c r="N67" i="19" l="1"/>
  <c r="P55" i="19"/>
  <c r="P56" i="19" s="1"/>
  <c r="P57" i="19" s="1"/>
  <c r="P8" i="19" s="1"/>
  <c r="AD25" i="19"/>
  <c r="AC25" i="19"/>
  <c r="M55" i="19"/>
  <c r="M56" i="19" s="1"/>
  <c r="M57" i="19" s="1"/>
  <c r="M8" i="19" s="1"/>
  <c r="O64" i="19"/>
  <c r="N64" i="19" s="1"/>
  <c r="N65" i="19" s="1"/>
  <c r="N66" i="19" s="1"/>
  <c r="P59" i="19"/>
  <c r="AE13" i="19"/>
  <c r="AE14" i="19" s="1"/>
  <c r="AF13" i="19"/>
  <c r="AF14" i="19" s="1"/>
  <c r="Q53" i="19"/>
  <c r="N55" i="19"/>
  <c r="N56" i="19" s="1"/>
  <c r="N57" i="19" s="1"/>
  <c r="N8" i="19" s="1"/>
  <c r="O55" i="19"/>
  <c r="O56" i="19" s="1"/>
  <c r="O57" i="19" s="1"/>
  <c r="O8" i="19" s="1"/>
  <c r="O59" i="19"/>
  <c r="Q55" i="19"/>
  <c r="Q56" i="19" s="1"/>
  <c r="Q57" i="19" s="1"/>
  <c r="Q8" i="19" s="1"/>
  <c r="AF22" i="19"/>
  <c r="AF23" i="19" s="1"/>
  <c r="AE22" i="19"/>
  <c r="AE23" i="19" s="1"/>
  <c r="H20" i="18" l="1"/>
  <c r="F24" i="18" s="1"/>
  <c r="R6" i="19" s="1"/>
  <c r="H12" i="18"/>
  <c r="P58" i="19"/>
  <c r="O65" i="19"/>
  <c r="O66" i="19" s="1"/>
  <c r="O67" i="19" s="1"/>
  <c r="AF24" i="19"/>
  <c r="AF26" i="19" s="1"/>
  <c r="AE24" i="19"/>
  <c r="AE26" i="19" s="1"/>
  <c r="P9" i="19"/>
  <c r="V35" i="19" l="1"/>
  <c r="U24" i="19"/>
  <c r="U30" i="19"/>
  <c r="U33" i="19"/>
  <c r="U14" i="19"/>
  <c r="U48" i="19"/>
  <c r="U21" i="19"/>
  <c r="U40" i="19"/>
  <c r="U36" i="19"/>
  <c r="U34" i="19"/>
  <c r="U25" i="19"/>
  <c r="U32" i="19"/>
  <c r="U12" i="19"/>
  <c r="U51" i="19"/>
  <c r="U37" i="19"/>
  <c r="U15" i="19"/>
  <c r="U26" i="19"/>
  <c r="U44" i="19"/>
  <c r="U28" i="19"/>
  <c r="U19" i="19"/>
  <c r="U49" i="19"/>
  <c r="U10" i="19"/>
  <c r="U41" i="19"/>
  <c r="U38" i="19"/>
  <c r="U47" i="19"/>
  <c r="U20" i="19"/>
  <c r="U11" i="19"/>
  <c r="U17" i="19"/>
  <c r="U23" i="19"/>
  <c r="U50" i="19"/>
  <c r="U16" i="19"/>
  <c r="U13" i="19"/>
  <c r="U45" i="19"/>
  <c r="U43" i="19"/>
  <c r="U46" i="19"/>
  <c r="U39" i="19"/>
  <c r="U22" i="19"/>
  <c r="U31" i="19"/>
  <c r="U35" i="19"/>
  <c r="U29" i="19"/>
  <c r="U42" i="19"/>
  <c r="U18" i="19"/>
  <c r="U27" i="19"/>
  <c r="P7" i="19"/>
  <c r="W34" i="19"/>
  <c r="V17" i="19"/>
  <c r="V24" i="19"/>
  <c r="R41" i="19"/>
  <c r="V29" i="19"/>
  <c r="S34" i="19"/>
  <c r="T32" i="19"/>
  <c r="T35" i="19"/>
  <c r="T51" i="19"/>
  <c r="W38" i="19"/>
  <c r="W22" i="19"/>
  <c r="S51" i="19"/>
  <c r="R10" i="19"/>
  <c r="T29" i="19"/>
  <c r="V40" i="19"/>
  <c r="T48" i="19"/>
  <c r="W13" i="19"/>
  <c r="W37" i="19"/>
  <c r="R22" i="19"/>
  <c r="R42" i="19"/>
  <c r="S23" i="19"/>
  <c r="V34" i="19"/>
  <c r="V49" i="19"/>
  <c r="V36" i="19"/>
  <c r="T11" i="19"/>
  <c r="S20" i="19"/>
  <c r="S46" i="19"/>
  <c r="R51" i="19"/>
  <c r="R39" i="19"/>
  <c r="S30" i="19"/>
  <c r="V48" i="19"/>
  <c r="T37" i="19"/>
  <c r="S12" i="19"/>
  <c r="R13" i="19"/>
  <c r="S45" i="19"/>
  <c r="R23" i="19"/>
  <c r="W50" i="19"/>
  <c r="S29" i="19"/>
  <c r="R48" i="19"/>
  <c r="W41" i="19"/>
  <c r="V43" i="19"/>
  <c r="R34" i="19"/>
  <c r="W25" i="19"/>
  <c r="V18" i="19"/>
  <c r="R47" i="19"/>
  <c r="W47" i="19"/>
  <c r="V45" i="19"/>
  <c r="V42" i="19"/>
  <c r="V16" i="19"/>
  <c r="V10" i="19"/>
  <c r="S21" i="19"/>
  <c r="V26" i="19"/>
  <c r="S19" i="19"/>
  <c r="V28" i="19"/>
  <c r="V38" i="19"/>
  <c r="W33" i="19"/>
  <c r="T40" i="19"/>
  <c r="V22" i="19"/>
  <c r="S35" i="19"/>
  <c r="T44" i="19"/>
  <c r="T17" i="19"/>
  <c r="R20" i="19"/>
  <c r="V14" i="19"/>
  <c r="R30" i="19"/>
  <c r="R27" i="19"/>
  <c r="R21" i="19"/>
  <c r="T34" i="19"/>
  <c r="V27" i="19"/>
  <c r="V31" i="19"/>
  <c r="T49" i="19"/>
  <c r="T42" i="19"/>
  <c r="T31" i="19"/>
  <c r="W31" i="19"/>
  <c r="T13" i="19"/>
  <c r="S38" i="19"/>
  <c r="R29" i="19"/>
  <c r="V33" i="19"/>
  <c r="T50" i="19"/>
  <c r="R45" i="19"/>
  <c r="R17" i="19"/>
  <c r="W10" i="19"/>
  <c r="W30" i="19"/>
  <c r="V32" i="19"/>
  <c r="R36" i="19"/>
  <c r="T26" i="19"/>
  <c r="W15" i="19"/>
  <c r="S22" i="19"/>
  <c r="S17" i="19"/>
  <c r="S42" i="19"/>
  <c r="S39" i="19"/>
  <c r="V41" i="19"/>
  <c r="S36" i="19"/>
  <c r="T18" i="19"/>
  <c r="W18" i="19"/>
  <c r="W20" i="19"/>
  <c r="S13" i="19"/>
  <c r="S31" i="19"/>
  <c r="T46" i="19"/>
  <c r="W42" i="19"/>
  <c r="R50" i="19"/>
  <c r="S48" i="19"/>
  <c r="T19" i="19"/>
  <c r="W43" i="19"/>
  <c r="R35" i="19"/>
  <c r="V12" i="19"/>
  <c r="S40" i="19"/>
  <c r="S49" i="19"/>
  <c r="T24" i="19"/>
  <c r="S43" i="19"/>
  <c r="S33" i="19"/>
  <c r="V50" i="19"/>
  <c r="R40" i="19"/>
  <c r="R43" i="19"/>
  <c r="W14" i="19"/>
  <c r="T47" i="19"/>
  <c r="R44" i="19"/>
  <c r="R24" i="19"/>
  <c r="W19" i="19"/>
  <c r="R25" i="19"/>
  <c r="T33" i="19"/>
  <c r="S15" i="19"/>
  <c r="W23" i="19"/>
  <c r="T36" i="19"/>
  <c r="V51" i="19"/>
  <c r="W26" i="19"/>
  <c r="W11" i="19"/>
  <c r="V47" i="19"/>
  <c r="S18" i="19"/>
  <c r="R31" i="19"/>
  <c r="T30" i="19"/>
  <c r="V44" i="19"/>
  <c r="S24" i="19"/>
  <c r="W49" i="19"/>
  <c r="V46" i="19"/>
  <c r="R49" i="19"/>
  <c r="V30" i="19"/>
  <c r="T23" i="19"/>
  <c r="W46" i="19"/>
  <c r="R37" i="19"/>
  <c r="S16" i="19"/>
  <c r="T39" i="19"/>
  <c r="S27" i="19"/>
  <c r="W36" i="19"/>
  <c r="W48" i="19"/>
  <c r="T10" i="19"/>
  <c r="W29" i="19"/>
  <c r="T45" i="19"/>
  <c r="S10" i="19"/>
  <c r="S11" i="19"/>
  <c r="V21" i="19"/>
  <c r="W28" i="19"/>
  <c r="W16" i="19"/>
  <c r="S28" i="19"/>
  <c r="R46" i="19"/>
  <c r="W17" i="19"/>
  <c r="R11" i="19"/>
  <c r="V25" i="19"/>
  <c r="V19" i="19"/>
  <c r="W12" i="19"/>
  <c r="W39" i="19"/>
  <c r="T28" i="19"/>
  <c r="S37" i="19"/>
  <c r="R16" i="19"/>
  <c r="R15" i="19"/>
  <c r="W27" i="19"/>
  <c r="R12" i="19"/>
  <c r="W32" i="19"/>
  <c r="T41" i="19"/>
  <c r="R14" i="19"/>
  <c r="T25" i="19"/>
  <c r="R32" i="19"/>
  <c r="V15" i="19"/>
  <c r="S25" i="19"/>
  <c r="S41" i="19"/>
  <c r="V37" i="19"/>
  <c r="T14" i="19"/>
  <c r="V13" i="19"/>
  <c r="W40" i="19"/>
  <c r="V23" i="19"/>
  <c r="W21" i="19"/>
  <c r="V11" i="19"/>
  <c r="S44" i="19"/>
  <c r="W24" i="19"/>
  <c r="W44" i="19"/>
  <c r="S32" i="19"/>
  <c r="V39" i="19"/>
  <c r="R33" i="19"/>
  <c r="V20" i="19"/>
  <c r="T43" i="19"/>
  <c r="W35" i="19"/>
  <c r="S47" i="19"/>
  <c r="W51" i="19"/>
  <c r="W45" i="19"/>
  <c r="R28" i="19"/>
  <c r="T38" i="19"/>
  <c r="T16" i="19"/>
  <c r="S50" i="19"/>
  <c r="R18" i="19"/>
  <c r="T27" i="19"/>
  <c r="R26" i="19"/>
  <c r="T22" i="19"/>
  <c r="T15" i="19"/>
  <c r="R38" i="19"/>
  <c r="T12" i="19"/>
  <c r="T20" i="19"/>
  <c r="S26" i="19"/>
  <c r="R19" i="19"/>
  <c r="T21" i="19"/>
  <c r="S14" i="19"/>
  <c r="U55" i="19" l="1"/>
  <c r="U56" i="19" s="1"/>
  <c r="U57" i="19" s="1"/>
  <c r="U8" i="19" s="1"/>
  <c r="V55" i="19"/>
  <c r="V56" i="19" s="1"/>
  <c r="V57" i="19" s="1"/>
  <c r="V8" i="19" s="1"/>
  <c r="S55" i="19"/>
  <c r="S56" i="19" s="1"/>
  <c r="S57" i="19" s="1"/>
  <c r="S8" i="19" s="1"/>
  <c r="L22" i="18" s="1"/>
  <c r="T55" i="19"/>
  <c r="T56" i="19" s="1"/>
  <c r="T57" i="19" s="1"/>
  <c r="T8" i="19" s="1"/>
  <c r="R55" i="19"/>
  <c r="R56" i="19" s="1"/>
  <c r="R57" i="19" s="1"/>
  <c r="R8" i="19" s="1"/>
  <c r="W55" i="19"/>
  <c r="W56" i="19" s="1"/>
  <c r="W57" i="19" s="1"/>
  <c r="W8" i="19" s="1"/>
  <c r="Q22" i="18" l="1"/>
</calcChain>
</file>

<file path=xl/comments1.xml><?xml version="1.0" encoding="utf-8"?>
<comments xmlns="http://schemas.openxmlformats.org/spreadsheetml/2006/main">
  <authors>
    <author>Vermeij, Izak</author>
  </authors>
  <commentList>
    <comment ref="H14" authorId="0" shapeId="0">
      <text>
        <r>
          <rPr>
            <sz val="12"/>
            <color indexed="81"/>
            <rFont val="Calibri"/>
            <family val="2"/>
          </rPr>
          <t>Vanwege leklucht zal de maximale reductie 95% zijn.</t>
        </r>
        <r>
          <rPr>
            <b/>
            <sz val="9"/>
            <color indexed="81"/>
            <rFont val="Tahoma"/>
            <family val="2"/>
          </rPr>
          <t xml:space="preserve"> </t>
        </r>
        <r>
          <rPr>
            <sz val="9"/>
            <color indexed="81"/>
            <rFont val="Tahoma"/>
            <family val="2"/>
          </rPr>
          <t xml:space="preserve">
</t>
        </r>
      </text>
    </comment>
    <comment ref="H19" authorId="0" shapeId="0">
      <text>
        <r>
          <rPr>
            <sz val="12"/>
            <color indexed="81"/>
            <rFont val="Calibri"/>
            <family val="2"/>
          </rPr>
          <t>Vanwege leklucht zal de gerealiseerde reductie maximaal 95% zijn.</t>
        </r>
        <r>
          <rPr>
            <sz val="9"/>
            <color indexed="81"/>
            <rFont val="Tahoma"/>
            <family val="2"/>
          </rPr>
          <t xml:space="preserve">
</t>
        </r>
      </text>
    </comment>
    <comment ref="L19" authorId="0" shapeId="0">
      <text>
        <r>
          <rPr>
            <sz val="12"/>
            <color indexed="81"/>
            <rFont val="Calibri"/>
            <family val="2"/>
          </rPr>
          <t xml:space="preserve">Hier staat reductiepercentage van techniek zelf. Door de combinatie met andere technieken, zal het hieronder vermelde gerealiseerde percentage lager uitvallen.
</t>
        </r>
      </text>
    </comment>
    <comment ref="L22" authorId="0" shapeId="0">
      <text>
        <r>
          <rPr>
            <sz val="12"/>
            <color indexed="81"/>
            <rFont val="Calibri"/>
            <family val="2"/>
          </rPr>
          <t xml:space="preserve">Dit reductiepercentage is gebaseerd op het deel van de lucht dat door de overige techniek gaat en wordt beinvloed door de voorgaande technieken.
Enkele regels hierboven staat het reductiepercentage van de techniek 'an sich'. </t>
        </r>
        <r>
          <rPr>
            <sz val="9"/>
            <color indexed="81"/>
            <rFont val="Tahoma"/>
            <family val="2"/>
          </rPr>
          <t xml:space="preserve">
</t>
        </r>
      </text>
    </comment>
  </commentList>
</comments>
</file>

<file path=xl/comments2.xml><?xml version="1.0" encoding="utf-8"?>
<comments xmlns="http://schemas.openxmlformats.org/spreadsheetml/2006/main">
  <authors>
    <author>Vermeij, Izak</author>
  </authors>
  <commentList>
    <comment ref="M8" authorId="0" shapeId="0">
      <text>
        <r>
          <rPr>
            <b/>
            <sz val="9"/>
            <color indexed="81"/>
            <rFont val="Tahoma"/>
            <family val="2"/>
          </rPr>
          <t>Vermeij, Izak:</t>
        </r>
        <r>
          <rPr>
            <sz val="9"/>
            <color indexed="81"/>
            <rFont val="Tahoma"/>
            <family val="2"/>
          </rPr>
          <t xml:space="preserve">
ivm afronding, want in beschrijving 37% bij 1,0 m3</t>
        </r>
      </text>
    </comment>
    <comment ref="P8" authorId="0" shapeId="0">
      <text>
        <r>
          <rPr>
            <b/>
            <sz val="9"/>
            <color indexed="81"/>
            <rFont val="Tahoma"/>
            <family val="2"/>
          </rPr>
          <t>Vermeij, Izak:</t>
        </r>
        <r>
          <rPr>
            <sz val="9"/>
            <color indexed="81"/>
            <rFont val="Tahoma"/>
            <family val="2"/>
          </rPr>
          <t xml:space="preserve">
ivm afronding bij 1,00 m3 in beschrijving 37%</t>
        </r>
      </text>
    </comment>
  </commentList>
</comments>
</file>

<file path=xl/sharedStrings.xml><?xml version="1.0" encoding="utf-8"?>
<sst xmlns="http://schemas.openxmlformats.org/spreadsheetml/2006/main" count="316" uniqueCount="214">
  <si>
    <t>datum</t>
  </si>
  <si>
    <t>ionisatiefilter</t>
  </si>
  <si>
    <t>Stal voor</t>
  </si>
  <si>
    <t xml:space="preserve"> </t>
  </si>
  <si>
    <t>A</t>
  </si>
  <si>
    <t>B</t>
  </si>
  <si>
    <t>C</t>
  </si>
  <si>
    <t>D</t>
  </si>
  <si>
    <t>E</t>
  </si>
  <si>
    <t>G</t>
  </si>
  <si>
    <t>H</t>
  </si>
  <si>
    <t>I</t>
  </si>
  <si>
    <t>J</t>
  </si>
  <si>
    <t>L</t>
  </si>
  <si>
    <t>serie alles
voetnoot 2</t>
  </si>
  <si>
    <t>F</t>
  </si>
  <si>
    <t>K</t>
  </si>
  <si>
    <t>M</t>
  </si>
  <si>
    <t>N</t>
  </si>
  <si>
    <t>O</t>
  </si>
  <si>
    <t>P</t>
  </si>
  <si>
    <t>Q</t>
  </si>
  <si>
    <t>R</t>
  </si>
  <si>
    <t>S</t>
  </si>
  <si>
    <t>T</t>
  </si>
  <si>
    <t>U</t>
  </si>
  <si>
    <t>V</t>
  </si>
  <si>
    <t>W</t>
  </si>
  <si>
    <t>X</t>
  </si>
  <si>
    <t>Y</t>
  </si>
  <si>
    <t>bio wasser 60%</t>
  </si>
  <si>
    <t>bio wasser 75%</t>
  </si>
  <si>
    <t>biofilter</t>
  </si>
  <si>
    <t>oliefilm</t>
  </si>
  <si>
    <t>negatieve ionisatie</t>
  </si>
  <si>
    <t>water wasser</t>
  </si>
  <si>
    <t>droogfilter</t>
  </si>
  <si>
    <t>oliefim</t>
  </si>
  <si>
    <t>strooiselschuif</t>
  </si>
  <si>
    <t>percentages berekend door 1 x (1-%)x(1-%)</t>
  </si>
  <si>
    <t>rood</t>
  </si>
  <si>
    <t>afwijkend</t>
  </si>
  <si>
    <t>paars</t>
  </si>
  <si>
    <t xml:space="preserve"> 1% afwijkend</t>
  </si>
  <si>
    <t>blauw</t>
  </si>
  <si>
    <t>kan niet gecombineerd</t>
  </si>
  <si>
    <t>chemische wasser</t>
  </si>
  <si>
    <t>warmtewisselaar zonder stof 31%</t>
  </si>
  <si>
    <t>warmtewisselaar met stof 31%</t>
  </si>
  <si>
    <t>warmtewisselaar zonder stof 13%</t>
  </si>
  <si>
    <t>warmtewisselaar met stof 13%</t>
  </si>
  <si>
    <t>warmtewisselaar zonder stof 37%</t>
  </si>
  <si>
    <t>warmtewisselaar met stof 37%</t>
  </si>
  <si>
    <t>warmtewisselaar zonder stof 50%</t>
  </si>
  <si>
    <t>warmtewisselaar met stof 50%</t>
  </si>
  <si>
    <t>Overzicht maximale waarden rekenmodel reducties fijnstof</t>
  </si>
  <si>
    <t>waarden in m3/dier/uur</t>
  </si>
  <si>
    <t>Maximale ventilatie:</t>
  </si>
  <si>
    <t>Opfok leghennen</t>
  </si>
  <si>
    <t>Leghennen</t>
  </si>
  <si>
    <t>Opfok vleeskuikenouderdieren</t>
  </si>
  <si>
    <t>Vleeskuikenouderdieren</t>
  </si>
  <si>
    <t>Vleeskuikens</t>
  </si>
  <si>
    <t>Vleeskalkoenen hennen</t>
  </si>
  <si>
    <t>Vleeskalkoenen hanen</t>
  </si>
  <si>
    <t>Vleeseenden</t>
  </si>
  <si>
    <t>Debiet door droogtunnel</t>
  </si>
  <si>
    <t>rekenwaarde</t>
  </si>
  <si>
    <t>in overzicht</t>
  </si>
  <si>
    <t>bandendroger (30%)</t>
  </si>
  <si>
    <t>Deze waarden staan (nog) niet genoemd in de beschrijvingen.</t>
  </si>
  <si>
    <t>platendroger (55%)</t>
  </si>
  <si>
    <t>Debiet door warmtewisselaar</t>
  </si>
  <si>
    <t>ZONDER FILTERS</t>
  </si>
  <si>
    <t>Reductiepercentage op stalniveau:</t>
  </si>
  <si>
    <t>MET FILTERS</t>
  </si>
  <si>
    <t>Staltechniek</t>
  </si>
  <si>
    <t>GEEN DROOGTUNNEL</t>
  </si>
  <si>
    <t>DROOGTUNNEL (PLATEN) 55%</t>
  </si>
  <si>
    <t>DROOGTUNNEL (BANDEN) 30%</t>
  </si>
  <si>
    <t>OLIEFILM</t>
  </si>
  <si>
    <t>JA</t>
  </si>
  <si>
    <t>NEE</t>
  </si>
  <si>
    <t>BIO WASSER 60%</t>
  </si>
  <si>
    <t>BIO WASSER 75%</t>
  </si>
  <si>
    <t>BIOFILTER</t>
  </si>
  <si>
    <t>DROOGFILTERWAND</t>
  </si>
  <si>
    <t>IONISATIEFILTER</t>
  </si>
  <si>
    <t>WARMTEWISSELAAR 31%</t>
  </si>
  <si>
    <t>WARMTEWISSELAAR 13%</t>
  </si>
  <si>
    <t>WARMTEWISSELAAR 37%</t>
  </si>
  <si>
    <t>WARMTEWISSELAAR 50%</t>
  </si>
  <si>
    <t>ZONDER STOFFILTER</t>
  </si>
  <si>
    <t>MET STOFFILTER</t>
  </si>
  <si>
    <t>LEGHENNEN VOLIERE</t>
  </si>
  <si>
    <t>LEGHENNEN GRONDHUISVESTING</t>
  </si>
  <si>
    <t>OPFOK VLEESKUIKENOUDERDIEREN</t>
  </si>
  <si>
    <t>VLEESKUIKENS</t>
  </si>
  <si>
    <t>KALKOEN HANEN</t>
  </si>
  <si>
    <t>KALKOEN HENNEN</t>
  </si>
  <si>
    <t>VLEESEENDEN</t>
  </si>
  <si>
    <t>GEEN STALTECHNIEK</t>
  </si>
  <si>
    <r>
      <t>Max. ventilatiedebiet m</t>
    </r>
    <r>
      <rPr>
        <vertAlign val="superscript"/>
        <sz val="12"/>
        <color theme="0"/>
        <rFont val="Calibri"/>
        <family val="2"/>
        <scheme val="minor"/>
      </rPr>
      <t>3</t>
    </r>
    <r>
      <rPr>
        <sz val="12"/>
        <color theme="0"/>
        <rFont val="Calibri"/>
        <family val="2"/>
        <scheme val="minor"/>
      </rPr>
      <t>/d/uur</t>
    </r>
  </si>
  <si>
    <t>LEGHENNEN VERRIJKTE KOOI/KOLONIE</t>
  </si>
  <si>
    <t>GEEN TECHNIEK</t>
  </si>
  <si>
    <t>OPFOK LEGHENNEN GRONDHUISVESTING</t>
  </si>
  <si>
    <t>OPFOK LEGHENNEN VOLIERE</t>
  </si>
  <si>
    <t>VLEESKUIKENOUDERDIEREN GROEPSKOOI</t>
  </si>
  <si>
    <t>VLEESKUIKENOUDERDIEREN VOLIERE</t>
  </si>
  <si>
    <t>VLEESKUIKENOUDERDIEREN GRONDHUISVESTING</t>
  </si>
  <si>
    <t>̌</t>
  </si>
  <si>
    <t>WATERLUCHTWASSYSTEEM</t>
  </si>
  <si>
    <t>ALLE VENTILATIELUCHT</t>
  </si>
  <si>
    <t>DEEL VENTILATIELUCHT</t>
  </si>
  <si>
    <r>
      <t>Kies ALLE VENTILATIELUCHT ivm vereiste NH</t>
    </r>
    <r>
      <rPr>
        <vertAlign val="subscript"/>
        <sz val="12"/>
        <color theme="0"/>
        <rFont val="Calibri"/>
        <family val="2"/>
        <scheme val="minor"/>
      </rPr>
      <t xml:space="preserve">3 </t>
    </r>
    <r>
      <rPr>
        <sz val="12"/>
        <color theme="0"/>
        <rFont val="Calibri"/>
        <family val="2"/>
        <scheme val="minor"/>
      </rPr>
      <t>reductie</t>
    </r>
  </si>
  <si>
    <t>75% VENTILATIE</t>
  </si>
  <si>
    <t>50% VENTILATIE</t>
  </si>
  <si>
    <t>25% VENTILATIE</t>
  </si>
  <si>
    <t>PARALLEL GESCHAKELD MET WARMTEWISSELAAR</t>
  </si>
  <si>
    <t>SERIE GESCHAKELD MET WARMTEWISSELAAR</t>
  </si>
  <si>
    <t>Overige technieken</t>
  </si>
  <si>
    <t>Maximale ventilatie in de stal</t>
  </si>
  <si>
    <t>OPFOK LEGHENNEN KOOI/KOLONIE</t>
  </si>
  <si>
    <t>naam</t>
  </si>
  <si>
    <t>adres</t>
  </si>
  <si>
    <r>
      <t>Reductiepercentage PM</t>
    </r>
    <r>
      <rPr>
        <b/>
        <vertAlign val="subscript"/>
        <sz val="24"/>
        <rFont val="Calibri"/>
        <family val="2"/>
        <scheme val="minor"/>
      </rPr>
      <t>10</t>
    </r>
  </si>
  <si>
    <t>Reductiepercentage in stal</t>
  </si>
  <si>
    <t>Reductiepercentage overige techniek</t>
  </si>
  <si>
    <t>Berekenen van het reductiepercentage van combinaties van fijnstof reducerende technieken</t>
  </si>
  <si>
    <t>LEGPLUIMVEE</t>
  </si>
  <si>
    <t>VLEESPLUIMVEE</t>
  </si>
  <si>
    <t>OPFOK</t>
  </si>
  <si>
    <t>LEGHENNEN</t>
  </si>
  <si>
    <t>Lft (dg)</t>
  </si>
  <si>
    <t>Gew. (g)</t>
  </si>
  <si>
    <t>MG</t>
  </si>
  <si>
    <t>Voer (g/d)</t>
  </si>
  <si>
    <t>Totaal deb update (m3/d/u)</t>
  </si>
  <si>
    <t>Hoofd deb update minus WW (m3/d/u)</t>
  </si>
  <si>
    <t>Deb. w.wisselaar (m3/u/d)</t>
  </si>
  <si>
    <t>PM10 conc (mg/m3)</t>
  </si>
  <si>
    <t>#dieren</t>
  </si>
  <si>
    <t>Emissie PM10 zonder reductie (g/dpl/j)</t>
  </si>
  <si>
    <r>
      <t xml:space="preserve">Emissie (g/dpl/jr) bij ..% red. WW </t>
    </r>
    <r>
      <rPr>
        <b/>
        <i/>
        <u/>
        <sz val="10"/>
        <rFont val="Arial"/>
        <family val="2"/>
      </rPr>
      <t>en</t>
    </r>
    <r>
      <rPr>
        <b/>
        <sz val="10"/>
        <rFont val="Arial"/>
        <family val="2"/>
      </rPr>
      <t xml:space="preserve"> ..%red hoofddebiet</t>
    </r>
  </si>
  <si>
    <t>Berekeningen bij uitbroeden/opfokken en overplaatsen</t>
  </si>
  <si>
    <t>Achtergrond</t>
  </si>
  <si>
    <t>reductie in de stal</t>
  </si>
  <si>
    <t>max. debiet door wwlaar/droge stoffilters (m3/u/d)</t>
  </si>
  <si>
    <t>zonder reductie</t>
  </si>
  <si>
    <t>met reductie</t>
  </si>
  <si>
    <t>verhouding plaatsen</t>
  </si>
  <si>
    <t>1:2</t>
  </si>
  <si>
    <t>1:1</t>
  </si>
  <si>
    <t>trad.</t>
  </si>
  <si>
    <t>uitbroed/opfok-systeem</t>
  </si>
  <si>
    <t>gemiddelde reductie</t>
  </si>
  <si>
    <t>Overplaatsen op  .... dagen</t>
  </si>
  <si>
    <t>dagen eieren</t>
  </si>
  <si>
    <t>dagen leegstand</t>
  </si>
  <si>
    <t>dagen/ronde</t>
  </si>
  <si>
    <t># rondes/jr</t>
  </si>
  <si>
    <t>emissie/ronde  (gam)</t>
  </si>
  <si>
    <t>emissie/dpl/jr (gram)</t>
  </si>
  <si>
    <t>vervolghuisvesting</t>
  </si>
  <si>
    <t># dagen</t>
  </si>
  <si>
    <t>Groeiperiode</t>
  </si>
  <si>
    <t>Patio</t>
  </si>
  <si>
    <t>VVH</t>
  </si>
  <si>
    <t>Leegstand na vvh</t>
  </si>
  <si>
    <t># ronden</t>
  </si>
  <si>
    <t>emissie/ronde  (gram)</t>
  </si>
  <si>
    <t>samen (gr/dpl/jr)</t>
  </si>
  <si>
    <t>verschil t.o.v. trad.</t>
  </si>
  <si>
    <t>reductie</t>
  </si>
  <si>
    <t>totaal reductie debiet</t>
  </si>
  <si>
    <t>gem (- leeg)</t>
  </si>
  <si>
    <t>gem (+ leeg)</t>
  </si>
  <si>
    <t>TOTAAL DEBIET (hoofd en WW)</t>
  </si>
  <si>
    <t>reductie wwlaar zonder droge stoffilters</t>
  </si>
  <si>
    <t>beiden niet via techniek</t>
  </si>
  <si>
    <t>reductie overige techniek ALLE lucht</t>
  </si>
  <si>
    <t>Emissie alleen stoffilter</t>
  </si>
  <si>
    <t>Emissie alleen ww</t>
  </si>
  <si>
    <t>lucht ww niet via techniek</t>
  </si>
  <si>
    <t>Emissie na overige techniek (g/dpl/jr)</t>
  </si>
  <si>
    <t>lucht ww niet via techniek wel via stoffilter</t>
  </si>
  <si>
    <t>% t.o.v. maximum</t>
  </si>
  <si>
    <t>ww wel via overige techniek</t>
  </si>
  <si>
    <t>Warmtewisselaar met stoffilter?</t>
  </si>
  <si>
    <t>lucht ww i.c.m. filter via techniek</t>
  </si>
  <si>
    <t>max. debiet stoffilter stand alone</t>
  </si>
  <si>
    <t>Emissie ww + stand alone stoffilter</t>
  </si>
  <si>
    <t>Deb. Alleen Stoffilter (m3/u/d)</t>
  </si>
  <si>
    <t>Deb. Ww en Stoffilter (m3/u/d)</t>
  </si>
  <si>
    <t>Emissie Stoffilter en ww achter elkaar</t>
  </si>
  <si>
    <t>max. debiet stoffilter met ww</t>
  </si>
  <si>
    <t>Gemaakt in opdracht van het ministerie van Infrastructuur en Waterstaat</t>
  </si>
  <si>
    <t>ww incl stoffilter via techniek</t>
  </si>
  <si>
    <r>
      <t>m</t>
    </r>
    <r>
      <rPr>
        <vertAlign val="superscript"/>
        <sz val="12"/>
        <color theme="1"/>
        <rFont val="Calibri"/>
        <family val="2"/>
        <scheme val="minor"/>
      </rPr>
      <t>3</t>
    </r>
    <r>
      <rPr>
        <sz val="12"/>
        <color theme="1"/>
        <rFont val="Calibri"/>
        <family val="2"/>
        <scheme val="minor"/>
      </rPr>
      <t>/uur</t>
    </r>
  </si>
  <si>
    <r>
      <t>m</t>
    </r>
    <r>
      <rPr>
        <b/>
        <vertAlign val="superscript"/>
        <sz val="14"/>
        <color theme="0" tint="-0.499984740745262"/>
        <rFont val="Calibri"/>
        <family val="2"/>
        <scheme val="minor"/>
      </rPr>
      <t>3</t>
    </r>
    <r>
      <rPr>
        <b/>
        <sz val="14"/>
        <color theme="0" tint="-0.499984740745262"/>
        <rFont val="Calibri"/>
        <family val="2"/>
        <scheme val="minor"/>
      </rPr>
      <t>/uur</t>
    </r>
  </si>
  <si>
    <t>LUCHTCONDITIONERINGSUNIT</t>
  </si>
  <si>
    <t>IONISATIE d.m.v. IONISATIE-UNITS</t>
  </si>
  <si>
    <t>IONISATIESYSTEEM MET NEGATIEVE CORONADRADEN</t>
  </si>
  <si>
    <t>IONISATIE d.m.v. KOOLSTOFBORSTELTJES</t>
  </si>
  <si>
    <t>IONISATIE d.m.v. CORONADRADEN</t>
  </si>
  <si>
    <r>
      <t xml:space="preserve">Bij alle </t>
    </r>
    <r>
      <rPr>
        <b/>
        <sz val="14"/>
        <color rgb="FFFFFF00"/>
        <rFont val="Calibri"/>
        <family val="2"/>
        <scheme val="minor"/>
      </rPr>
      <t xml:space="preserve">GEEL </t>
    </r>
    <r>
      <rPr>
        <b/>
        <sz val="14"/>
        <color rgb="FF0070C0"/>
        <rFont val="Calibri"/>
        <family val="2"/>
        <scheme val="minor"/>
      </rPr>
      <t xml:space="preserve">gekleurde vakjes dient een keuze gemaakt te worden. Ga op het vakje staan, klik rechts naast vakje en kies een optie.                              </t>
    </r>
  </si>
  <si>
    <r>
      <t xml:space="preserve">De gerealiseerde reductiepercentages staan in </t>
    </r>
    <r>
      <rPr>
        <b/>
        <sz val="14"/>
        <color rgb="FF00B050"/>
        <rFont val="Calibri"/>
        <family val="2"/>
        <scheme val="minor"/>
      </rPr>
      <t xml:space="preserve">GROENE </t>
    </r>
    <r>
      <rPr>
        <b/>
        <sz val="14"/>
        <color rgb="FF0070C0"/>
        <rFont val="Calibri"/>
        <family val="2"/>
        <scheme val="minor"/>
      </rPr>
      <t xml:space="preserve">blokjes vermeld. Helemaal rechts is het reductiepercentage van de combinatie van de fijnstofreducerende </t>
    </r>
  </si>
  <si>
    <r>
      <t xml:space="preserve">technieken weergegeven. Als combinaties niet mogelijk of zinvol zijn, verschijnt er tekst in </t>
    </r>
    <r>
      <rPr>
        <b/>
        <sz val="14"/>
        <color rgb="FFFF0000"/>
        <rFont val="Calibri"/>
        <family val="2"/>
        <scheme val="minor"/>
      </rPr>
      <t>ROOD</t>
    </r>
    <r>
      <rPr>
        <b/>
        <sz val="14"/>
        <color rgb="FF0070C0"/>
        <rFont val="Calibri"/>
        <family val="2"/>
        <scheme val="minor"/>
      </rPr>
      <t>. Bij 'niet mogelijk' dient u keuze(s) aan te passen.</t>
    </r>
  </si>
  <si>
    <t xml:space="preserve">Bij warmtewisselaar en stoffilter kan de ventilatiehoeveelheid door een techniek aangepast worden met de pijltjes omhoog/omlaag. </t>
  </si>
  <si>
    <t>CHEMISCHE WASSER 35%</t>
  </si>
  <si>
    <t>CHEMISCHE WASSER 70%</t>
  </si>
  <si>
    <t>Rekenmodel Vee-combistof - pluimvee (V2.0, 15 maart 2021)</t>
  </si>
  <si>
    <t>TOELICHTING GEBRUIK REKENMODEL (Er is online ook een handleiding beschikbaar).</t>
  </si>
  <si>
    <t>invullen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</si>
</sst>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00"/>
    <numFmt numFmtId="167" formatCode="0.0%"/>
    <numFmt numFmtId="168" formatCode="#,##0.00_ ;\-#,##0.00\ "/>
    <numFmt numFmtId="169" formatCode="0.000000"/>
    <numFmt numFmtId="170" formatCode="0.00000"/>
  </numFmts>
  <fonts count="63" x14ac:knownFonts="1">
    <font>
      <sz val="10"/>
      <name val="Arial"/>
    </font>
    <font>
      <sz val="11"/>
      <color theme="1"/>
      <name val="Calibri"/>
      <family val="2"/>
      <scheme val="minor"/>
    </font>
    <font>
      <sz val="10"/>
      <name val="Arial"/>
      <family val="2"/>
    </font>
    <font>
      <b/>
      <sz val="10"/>
      <name val="Arial"/>
      <family val="2"/>
    </font>
    <font>
      <b/>
      <i/>
      <sz val="10"/>
      <name val="Arial"/>
      <family val="2"/>
    </font>
    <font>
      <b/>
      <i/>
      <u/>
      <sz val="10"/>
      <name val="Arial"/>
      <family val="2"/>
    </font>
    <font>
      <sz val="12"/>
      <color theme="1"/>
      <name val="Calibri"/>
      <family val="2"/>
      <scheme val="minor"/>
    </font>
    <font>
      <b/>
      <sz val="14"/>
      <color theme="1"/>
      <name val="Calibri"/>
      <family val="2"/>
      <scheme val="minor"/>
    </font>
    <font>
      <b/>
      <sz val="12"/>
      <name val="Calibri"/>
      <family val="2"/>
      <scheme val="minor"/>
    </font>
    <font>
      <sz val="9"/>
      <color rgb="FF000000"/>
      <name val="Verdana"/>
      <family val="2"/>
    </font>
    <font>
      <b/>
      <sz val="12"/>
      <color theme="1"/>
      <name val="Calibri"/>
      <family val="2"/>
      <scheme val="minor"/>
    </font>
    <font>
      <sz val="12"/>
      <color theme="4" tint="0.59999389629810485"/>
      <name val="Calibri"/>
      <family val="2"/>
      <scheme val="minor"/>
    </font>
    <font>
      <sz val="12"/>
      <name val="Calibri"/>
      <family val="2"/>
      <scheme val="minor"/>
    </font>
    <font>
      <sz val="12"/>
      <color rgb="FFFF0000"/>
      <name val="Calibri"/>
      <family val="2"/>
      <scheme val="minor"/>
    </font>
    <font>
      <b/>
      <sz val="13"/>
      <color theme="1"/>
      <name val="Calibri"/>
      <family val="2"/>
      <scheme val="minor"/>
    </font>
    <font>
      <vertAlign val="superscript"/>
      <sz val="12"/>
      <color theme="1"/>
      <name val="Calibri"/>
      <family val="2"/>
      <scheme val="minor"/>
    </font>
    <font>
      <sz val="14"/>
      <name val="Calibri"/>
      <family val="2"/>
      <scheme val="minor"/>
    </font>
    <font>
      <sz val="18"/>
      <color theme="1"/>
      <name val="Calibri"/>
      <family val="2"/>
      <scheme val="minor"/>
    </font>
    <font>
      <sz val="10"/>
      <name val="Arial"/>
      <family val="2"/>
    </font>
    <font>
      <sz val="14"/>
      <color rgb="FFFF0000"/>
      <name val="Calibri"/>
      <family val="2"/>
      <scheme val="minor"/>
    </font>
    <font>
      <sz val="9"/>
      <color theme="1"/>
      <name val="Verdana"/>
      <family val="2"/>
    </font>
    <font>
      <b/>
      <u/>
      <sz val="9"/>
      <color theme="1"/>
      <name val="Verdana"/>
      <family val="2"/>
    </font>
    <font>
      <b/>
      <i/>
      <sz val="9"/>
      <color theme="1"/>
      <name val="Verdana"/>
      <family val="2"/>
    </font>
    <font>
      <u/>
      <sz val="9"/>
      <color theme="1"/>
      <name val="Verdana"/>
      <family val="2"/>
    </font>
    <font>
      <i/>
      <sz val="9"/>
      <color theme="1"/>
      <name val="Verdana"/>
      <family val="2"/>
    </font>
    <font>
      <b/>
      <sz val="14"/>
      <color rgb="FFFF0000"/>
      <name val="Calibri"/>
      <family val="2"/>
      <scheme val="minor"/>
    </font>
    <font>
      <b/>
      <sz val="12"/>
      <color rgb="FFFF0000"/>
      <name val="Calibri"/>
      <family val="2"/>
      <scheme val="minor"/>
    </font>
    <font>
      <sz val="14"/>
      <color theme="1"/>
      <name val="Calibri"/>
      <family val="2"/>
      <scheme val="minor"/>
    </font>
    <font>
      <sz val="12"/>
      <color theme="0"/>
      <name val="Calibri"/>
      <family val="2"/>
      <scheme val="minor"/>
    </font>
    <font>
      <vertAlign val="superscript"/>
      <sz val="12"/>
      <color theme="0"/>
      <name val="Calibri"/>
      <family val="2"/>
      <scheme val="minor"/>
    </font>
    <font>
      <sz val="12"/>
      <color theme="1"/>
      <name val="Calibri"/>
      <family val="2"/>
    </font>
    <font>
      <b/>
      <sz val="22"/>
      <color theme="1"/>
      <name val="Calibri"/>
      <family val="2"/>
      <scheme val="minor"/>
    </font>
    <font>
      <sz val="12"/>
      <name val="Arial"/>
      <family val="2"/>
    </font>
    <font>
      <b/>
      <sz val="14"/>
      <name val="Arial"/>
      <family val="2"/>
    </font>
    <font>
      <sz val="14"/>
      <name val="Arial"/>
      <family val="2"/>
    </font>
    <font>
      <b/>
      <sz val="13"/>
      <color rgb="FFFF0000"/>
      <name val="Calibri"/>
      <family val="2"/>
      <scheme val="minor"/>
    </font>
    <font>
      <sz val="23"/>
      <color theme="1"/>
      <name val="Calibri"/>
      <family val="2"/>
      <scheme val="minor"/>
    </font>
    <font>
      <b/>
      <sz val="24"/>
      <name val="Calibri"/>
      <family val="2"/>
      <scheme val="minor"/>
    </font>
    <font>
      <b/>
      <sz val="16"/>
      <color rgb="FFFF0000"/>
      <name val="Calibri"/>
      <family val="2"/>
      <scheme val="minor"/>
    </font>
    <font>
      <vertAlign val="subscript"/>
      <sz val="12"/>
      <color theme="0"/>
      <name val="Calibri"/>
      <family val="2"/>
      <scheme val="minor"/>
    </font>
    <font>
      <b/>
      <sz val="20"/>
      <color theme="3" tint="0.39997558519241921"/>
      <name val="Calibri"/>
      <family val="2"/>
      <scheme val="minor"/>
    </font>
    <font>
      <sz val="18"/>
      <name val="Calibri"/>
      <family val="2"/>
      <scheme val="minor"/>
    </font>
    <font>
      <b/>
      <sz val="14"/>
      <color theme="0" tint="-0.499984740745262"/>
      <name val="Calibri"/>
      <family val="2"/>
      <scheme val="minor"/>
    </font>
    <font>
      <b/>
      <vertAlign val="superscript"/>
      <sz val="14"/>
      <color theme="0" tint="-0.499984740745262"/>
      <name val="Calibri"/>
      <family val="2"/>
      <scheme val="minor"/>
    </font>
    <font>
      <b/>
      <sz val="14"/>
      <color rgb="FF0070C0"/>
      <name val="Calibri"/>
      <family val="2"/>
      <scheme val="minor"/>
    </font>
    <font>
      <b/>
      <sz val="14"/>
      <color rgb="FF00B050"/>
      <name val="Calibri"/>
      <family val="2"/>
      <scheme val="minor"/>
    </font>
    <font>
      <b/>
      <sz val="14"/>
      <name val="Calibri"/>
      <family val="2"/>
      <scheme val="minor"/>
    </font>
    <font>
      <b/>
      <sz val="14"/>
      <color rgb="FF002060"/>
      <name val="Calibri"/>
      <family val="2"/>
      <scheme val="minor"/>
    </font>
    <font>
      <b/>
      <vertAlign val="subscript"/>
      <sz val="24"/>
      <name val="Calibri"/>
      <family val="2"/>
      <scheme val="minor"/>
    </font>
    <font>
      <sz val="9"/>
      <color indexed="81"/>
      <name val="Tahoma"/>
      <family val="2"/>
    </font>
    <font>
      <b/>
      <sz val="9"/>
      <color indexed="81"/>
      <name val="Tahoma"/>
      <family val="2"/>
    </font>
    <font>
      <b/>
      <sz val="14"/>
      <color rgb="FFFFFF00"/>
      <name val="Calibri"/>
      <family val="2"/>
      <scheme val="minor"/>
    </font>
    <font>
      <b/>
      <sz val="15"/>
      <name val="Calibri"/>
      <family val="2"/>
      <scheme val="minor"/>
    </font>
    <font>
      <sz val="15"/>
      <name val="Arial"/>
      <family val="2"/>
    </font>
    <font>
      <b/>
      <sz val="12"/>
      <color rgb="FFFFFF00"/>
      <name val="Calibri"/>
      <family val="2"/>
      <scheme val="minor"/>
    </font>
    <font>
      <sz val="12"/>
      <color rgb="FFFFFF00"/>
      <name val="Calibri"/>
      <family val="2"/>
      <scheme val="minor"/>
    </font>
    <font>
      <b/>
      <sz val="14"/>
      <color rgb="FFFF0000"/>
      <name val="Arial"/>
      <family val="2"/>
    </font>
    <font>
      <b/>
      <sz val="12"/>
      <color rgb="FFFF0000"/>
      <name val="Verdana"/>
      <family val="2"/>
    </font>
    <font>
      <sz val="12"/>
      <color rgb="FF222222"/>
      <name val="Calibri"/>
      <family val="2"/>
      <scheme val="minor"/>
    </font>
    <font>
      <b/>
      <sz val="12"/>
      <color rgb="FF00B0F0"/>
      <name val="Calibri"/>
      <family val="2"/>
      <scheme val="minor"/>
    </font>
    <font>
      <b/>
      <sz val="10"/>
      <color rgb="FF00B0F0"/>
      <name val="Arial"/>
      <family val="2"/>
    </font>
    <font>
      <b/>
      <sz val="14"/>
      <color rgb="FF0070C0"/>
      <name val="Arial"/>
      <family val="2"/>
    </font>
    <font>
      <sz val="12"/>
      <color indexed="81"/>
      <name val="Calibri"/>
      <family val="2"/>
    </font>
  </fonts>
  <fills count="2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CC"/>
        <bgColor indexed="64"/>
      </patternFill>
    </fill>
    <fill>
      <patternFill patternType="solid">
        <fgColor indexed="13"/>
        <bgColor indexed="64"/>
      </patternFill>
    </fill>
    <fill>
      <patternFill patternType="solid">
        <fgColor rgb="FFCCFFCC"/>
        <bgColor indexed="64"/>
      </patternFill>
    </fill>
    <fill>
      <patternFill patternType="solid">
        <fgColor indexed="42"/>
        <bgColor indexed="64"/>
      </patternFill>
    </fill>
    <fill>
      <patternFill patternType="solid">
        <fgColor theme="7"/>
        <bgColor indexed="64"/>
      </patternFill>
    </fill>
    <fill>
      <patternFill patternType="solid">
        <fgColor rgb="FFFF0000"/>
        <bgColor indexed="64"/>
      </patternFill>
    </fill>
    <fill>
      <patternFill patternType="solid">
        <fgColor rgb="FF8064A2"/>
        <bgColor indexed="64"/>
      </patternFill>
    </fill>
    <fill>
      <patternFill patternType="solid">
        <fgColor rgb="FF0070C0"/>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auto="1"/>
      </left>
      <right/>
      <top style="hair">
        <color auto="1"/>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9" fontId="2" fillId="0" borderId="0" applyFont="0" applyFill="0" applyBorder="0" applyAlignment="0" applyProtection="0"/>
    <xf numFmtId="0" fontId="6" fillId="0" borderId="0"/>
    <xf numFmtId="0" fontId="1" fillId="0" borderId="0"/>
    <xf numFmtId="9" fontId="6" fillId="0" borderId="0" applyFont="0" applyFill="0" applyBorder="0" applyAlignment="0" applyProtection="0"/>
    <xf numFmtId="0" fontId="9" fillId="0" borderId="0"/>
    <xf numFmtId="164" fontId="18" fillId="0" borderId="0" applyFont="0" applyFill="0" applyBorder="0" applyAlignment="0" applyProtection="0"/>
    <xf numFmtId="0" fontId="20" fillId="0" borderId="0"/>
  </cellStyleXfs>
  <cellXfs count="267">
    <xf numFmtId="0" fontId="0" fillId="0" borderId="0" xfId="0"/>
    <xf numFmtId="0" fontId="0" fillId="0" borderId="0" xfId="0"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2" fontId="0" fillId="0" borderId="0" xfId="0" applyNumberFormat="1" applyAlignment="1">
      <alignment horizontal="center"/>
    </xf>
    <xf numFmtId="0" fontId="3" fillId="0" borderId="0" xfId="0" applyFont="1" applyAlignment="1">
      <alignment horizontal="center" vertical="top" wrapText="1"/>
    </xf>
    <xf numFmtId="167" fontId="2" fillId="0" borderId="0" xfId="1" applyNumberFormat="1" applyAlignment="1">
      <alignment horizontal="center"/>
    </xf>
    <xf numFmtId="0" fontId="3" fillId="0" borderId="0" xfId="0" applyFont="1" applyAlignment="1">
      <alignment vertical="top" wrapText="1"/>
    </xf>
    <xf numFmtId="0" fontId="0" fillId="2" borderId="0" xfId="0" applyFill="1" applyAlignment="1">
      <alignment horizontal="center"/>
    </xf>
    <xf numFmtId="0" fontId="3" fillId="2" borderId="0" xfId="0" applyFont="1" applyFill="1" applyAlignment="1">
      <alignment horizontal="center" vertical="top" wrapText="1"/>
    </xf>
    <xf numFmtId="2" fontId="0" fillId="2" borderId="0" xfId="0" applyNumberFormat="1" applyFill="1" applyAlignment="1">
      <alignment horizontal="center"/>
    </xf>
    <xf numFmtId="0" fontId="2" fillId="0" borderId="0" xfId="0" applyFont="1"/>
    <xf numFmtId="0" fontId="2" fillId="0" borderId="0" xfId="0" applyFont="1" applyAlignment="1">
      <alignment horizontal="center"/>
    </xf>
    <xf numFmtId="166" fontId="0" fillId="0" borderId="0" xfId="0" applyNumberFormat="1"/>
    <xf numFmtId="0" fontId="6" fillId="0" borderId="0" xfId="2"/>
    <xf numFmtId="0" fontId="6" fillId="4" borderId="0" xfId="2" applyFill="1"/>
    <xf numFmtId="9" fontId="6" fillId="0" borderId="0" xfId="2" applyNumberFormat="1"/>
    <xf numFmtId="1" fontId="6" fillId="0" borderId="0" xfId="2" applyNumberFormat="1"/>
    <xf numFmtId="0" fontId="6" fillId="0" borderId="0" xfId="2" applyAlignment="1">
      <alignment wrapText="1"/>
    </xf>
    <xf numFmtId="9" fontId="6" fillId="4" borderId="0" xfId="2" applyNumberFormat="1" applyFill="1"/>
    <xf numFmtId="2" fontId="6" fillId="4" borderId="0" xfId="2" applyNumberFormat="1" applyFill="1"/>
    <xf numFmtId="9" fontId="11" fillId="6" borderId="0" xfId="2" applyNumberFormat="1" applyFont="1" applyFill="1"/>
    <xf numFmtId="9" fontId="11" fillId="7" borderId="0" xfId="2" applyNumberFormat="1" applyFont="1" applyFill="1"/>
    <xf numFmtId="9" fontId="12" fillId="8" borderId="0" xfId="2" applyNumberFormat="1" applyFont="1" applyFill="1"/>
    <xf numFmtId="9" fontId="6" fillId="0" borderId="0" xfId="2" applyNumberFormat="1" applyFill="1"/>
    <xf numFmtId="9" fontId="6" fillId="8" borderId="0" xfId="2" applyNumberFormat="1" applyFill="1"/>
    <xf numFmtId="9" fontId="13" fillId="0" borderId="0" xfId="2" applyNumberFormat="1" applyFont="1" applyFill="1"/>
    <xf numFmtId="9" fontId="12" fillId="0" borderId="0" xfId="2" applyNumberFormat="1" applyFont="1" applyFill="1"/>
    <xf numFmtId="1" fontId="6" fillId="0" borderId="0" xfId="2" applyNumberFormat="1" applyFill="1"/>
    <xf numFmtId="1" fontId="13" fillId="0" borderId="0" xfId="2" applyNumberFormat="1" applyFont="1"/>
    <xf numFmtId="2" fontId="6" fillId="0" borderId="0" xfId="2" applyNumberFormat="1"/>
    <xf numFmtId="0" fontId="6" fillId="0" borderId="0" xfId="2" applyFill="1" applyBorder="1"/>
    <xf numFmtId="0" fontId="6" fillId="0" borderId="0" xfId="2" applyFill="1"/>
    <xf numFmtId="0" fontId="10" fillId="0" borderId="0" xfId="2" applyFont="1" applyFill="1" applyAlignment="1">
      <alignment horizontal="center"/>
    </xf>
    <xf numFmtId="2" fontId="10" fillId="0" borderId="0" xfId="2" applyNumberFormat="1" applyFont="1"/>
    <xf numFmtId="0" fontId="0" fillId="0" borderId="0" xfId="0" applyFill="1"/>
    <xf numFmtId="0" fontId="16" fillId="9" borderId="0" xfId="2" applyFont="1" applyFill="1" applyAlignment="1">
      <alignment horizontal="center"/>
    </xf>
    <xf numFmtId="0" fontId="19" fillId="0" borderId="0" xfId="2" applyFont="1"/>
    <xf numFmtId="0" fontId="21" fillId="0" borderId="0" xfId="7" applyFont="1"/>
    <xf numFmtId="0" fontId="20" fillId="0" borderId="0" xfId="7"/>
    <xf numFmtId="0" fontId="22" fillId="0" borderId="0" xfId="7" applyFont="1"/>
    <xf numFmtId="0" fontId="20" fillId="0" borderId="0" xfId="7" applyFont="1"/>
    <xf numFmtId="0" fontId="23" fillId="0" borderId="0" xfId="7" applyFont="1"/>
    <xf numFmtId="0" fontId="20" fillId="0" borderId="0" xfId="7" applyAlignment="1">
      <alignment horizontal="right"/>
    </xf>
    <xf numFmtId="166" fontId="20" fillId="0" borderId="0" xfId="7" applyNumberFormat="1"/>
    <xf numFmtId="0" fontId="20" fillId="3" borderId="0" xfId="7" applyFill="1"/>
    <xf numFmtId="2" fontId="20" fillId="0" borderId="0" xfId="7" applyNumberFormat="1"/>
    <xf numFmtId="0" fontId="24" fillId="0" borderId="0" xfId="7" applyFont="1"/>
    <xf numFmtId="9" fontId="24" fillId="0" borderId="0" xfId="7" applyNumberFormat="1" applyFont="1"/>
    <xf numFmtId="165" fontId="20" fillId="0" borderId="0" xfId="7" applyNumberFormat="1"/>
    <xf numFmtId="0" fontId="6" fillId="0" borderId="0" xfId="2" applyAlignment="1"/>
    <xf numFmtId="0" fontId="0" fillId="0" borderId="0" xfId="0" applyBorder="1" applyAlignment="1"/>
    <xf numFmtId="168" fontId="6" fillId="0" borderId="0" xfId="6" applyNumberFormat="1" applyFont="1"/>
    <xf numFmtId="0" fontId="16" fillId="4" borderId="9" xfId="2" applyFont="1" applyFill="1" applyBorder="1" applyAlignment="1">
      <alignment horizontal="center"/>
    </xf>
    <xf numFmtId="0" fontId="0" fillId="0" borderId="0" xfId="0" applyFill="1" applyBorder="1" applyAlignment="1">
      <alignment vertical="top"/>
    </xf>
    <xf numFmtId="0" fontId="10" fillId="3" borderId="10" xfId="3" applyFont="1" applyFill="1" applyBorder="1" applyAlignment="1" applyProtection="1">
      <alignment horizontal="center" vertical="center"/>
      <protection locked="0"/>
    </xf>
    <xf numFmtId="0" fontId="28" fillId="0" borderId="0" xfId="2" applyFont="1"/>
    <xf numFmtId="164" fontId="28" fillId="0" borderId="0" xfId="2" applyNumberFormat="1" applyFont="1"/>
    <xf numFmtId="0" fontId="25" fillId="0" borderId="0" xfId="2" applyFont="1" applyAlignment="1">
      <alignment horizontal="left"/>
    </xf>
    <xf numFmtId="0" fontId="30" fillId="0" borderId="0" xfId="2" applyFont="1"/>
    <xf numFmtId="0" fontId="0" fillId="11" borderId="0" xfId="0" applyFill="1"/>
    <xf numFmtId="0" fontId="6" fillId="11" borderId="0" xfId="2" applyFill="1"/>
    <xf numFmtId="9" fontId="6" fillId="11" borderId="0" xfId="1" applyFont="1" applyFill="1"/>
    <xf numFmtId="9" fontId="7" fillId="11" borderId="0" xfId="4" applyFont="1" applyFill="1"/>
    <xf numFmtId="2" fontId="6" fillId="11" borderId="0" xfId="2" applyNumberFormat="1" applyFill="1"/>
    <xf numFmtId="0" fontId="14" fillId="3" borderId="11" xfId="3" applyFont="1" applyFill="1" applyBorder="1" applyAlignment="1" applyProtection="1">
      <alignment horizontal="center" vertical="center" wrapText="1"/>
      <protection locked="0"/>
    </xf>
    <xf numFmtId="0" fontId="36" fillId="11" borderId="0" xfId="2" applyFont="1" applyFill="1"/>
    <xf numFmtId="0" fontId="38" fillId="0" borderId="0" xfId="2" applyFont="1" applyAlignment="1">
      <alignment wrapText="1"/>
    </xf>
    <xf numFmtId="0" fontId="27" fillId="0" borderId="0" xfId="2" applyFont="1" applyFill="1" applyBorder="1" applyAlignment="1">
      <alignment horizontal="center"/>
    </xf>
    <xf numFmtId="9" fontId="12" fillId="0" borderId="0" xfId="1" applyFont="1" applyFill="1" applyBorder="1" applyAlignment="1">
      <alignment horizontal="center"/>
    </xf>
    <xf numFmtId="0" fontId="6" fillId="12" borderId="0" xfId="2" applyFill="1"/>
    <xf numFmtId="0" fontId="0" fillId="12" borderId="0" xfId="0" applyFill="1"/>
    <xf numFmtId="9" fontId="0" fillId="12" borderId="0" xfId="4" applyFont="1" applyFill="1"/>
    <xf numFmtId="0" fontId="27" fillId="5" borderId="22" xfId="2" applyFont="1" applyFill="1" applyBorder="1" applyAlignment="1">
      <alignment horizontal="center" wrapText="1"/>
    </xf>
    <xf numFmtId="0" fontId="42" fillId="0" borderId="0" xfId="2" applyFont="1" applyAlignment="1">
      <alignment horizontal="left"/>
    </xf>
    <xf numFmtId="2" fontId="42" fillId="0" borderId="0" xfId="2" applyNumberFormat="1" applyFont="1"/>
    <xf numFmtId="0" fontId="42" fillId="0" borderId="0" xfId="2" applyFont="1"/>
    <xf numFmtId="9" fontId="31" fillId="2" borderId="11" xfId="1" applyNumberFormat="1" applyFont="1" applyFill="1" applyBorder="1" applyAlignment="1">
      <alignment horizontal="center"/>
    </xf>
    <xf numFmtId="0" fontId="6" fillId="2" borderId="10" xfId="2" applyFill="1" applyBorder="1"/>
    <xf numFmtId="0" fontId="6" fillId="0" borderId="0" xfId="2" quotePrefix="1"/>
    <xf numFmtId="0" fontId="46" fillId="4" borderId="17" xfId="2" applyFont="1" applyFill="1" applyBorder="1" applyProtection="1"/>
    <xf numFmtId="0" fontId="46" fillId="4" borderId="13" xfId="2" applyFont="1" applyFill="1" applyBorder="1" applyProtection="1"/>
    <xf numFmtId="14" fontId="47" fillId="4" borderId="19" xfId="2" applyNumberFormat="1" applyFont="1" applyFill="1" applyBorder="1" applyAlignment="1" applyProtection="1">
      <alignment horizontal="left"/>
    </xf>
    <xf numFmtId="14" fontId="47" fillId="4" borderId="20" xfId="2" applyNumberFormat="1" applyFont="1" applyFill="1" applyBorder="1" applyAlignment="1" applyProtection="1">
      <alignment horizontal="left"/>
    </xf>
    <xf numFmtId="2" fontId="2" fillId="0" borderId="0" xfId="0" applyNumberFormat="1" applyFont="1" applyAlignment="1">
      <alignment horizontal="center"/>
    </xf>
    <xf numFmtId="166" fontId="2" fillId="0" borderId="0" xfId="0" applyNumberFormat="1" applyFont="1" applyAlignment="1">
      <alignment horizontal="center"/>
    </xf>
    <xf numFmtId="166" fontId="0" fillId="0" borderId="0" xfId="1" applyNumberFormat="1" applyFont="1" applyAlignment="1">
      <alignment horizontal="center"/>
    </xf>
    <xf numFmtId="0" fontId="3" fillId="12" borderId="0" xfId="0" applyFont="1" applyFill="1"/>
    <xf numFmtId="0" fontId="33" fillId="12" borderId="0" xfId="0" applyFont="1" applyFill="1"/>
    <xf numFmtId="0" fontId="3" fillId="12" borderId="0" xfId="0" applyFont="1" applyFill="1" applyAlignment="1">
      <alignment horizontal="center"/>
    </xf>
    <xf numFmtId="166" fontId="3" fillId="0" borderId="0" xfId="0" applyNumberFormat="1" applyFont="1" applyAlignment="1">
      <alignment horizontal="center" vertical="top" wrapText="1"/>
    </xf>
    <xf numFmtId="0" fontId="3" fillId="6" borderId="0" xfId="0" applyFont="1" applyFill="1" applyAlignment="1">
      <alignment horizontal="center" vertical="top" wrapText="1"/>
    </xf>
    <xf numFmtId="0" fontId="3" fillId="0" borderId="0" xfId="0" applyFont="1" applyFill="1" applyAlignment="1">
      <alignment vertical="top"/>
    </xf>
    <xf numFmtId="9" fontId="3" fillId="3" borderId="0" xfId="0" applyNumberFormat="1" applyFont="1" applyFill="1" applyAlignment="1">
      <alignment horizontal="center" vertical="top" wrapText="1"/>
    </xf>
    <xf numFmtId="0" fontId="3" fillId="0" borderId="0" xfId="0" applyFont="1" applyAlignment="1">
      <alignment horizontal="left" vertical="top"/>
    </xf>
    <xf numFmtId="0" fontId="3" fillId="13" borderId="0" xfId="0" applyFont="1" applyFill="1" applyAlignment="1">
      <alignment horizontal="left" vertical="top"/>
    </xf>
    <xf numFmtId="9" fontId="3" fillId="3" borderId="0" xfId="1" applyFont="1" applyFill="1" applyAlignment="1">
      <alignment horizontal="center" vertical="top" wrapText="1"/>
    </xf>
    <xf numFmtId="0" fontId="3" fillId="0" borderId="0" xfId="0" applyFont="1" applyAlignment="1">
      <alignment horizontal="left" vertical="top" wrapText="1"/>
    </xf>
    <xf numFmtId="20" fontId="0" fillId="0" borderId="3" xfId="0" quotePrefix="1" applyNumberFormat="1" applyBorder="1" applyAlignment="1">
      <alignment horizontal="right"/>
    </xf>
    <xf numFmtId="20" fontId="2" fillId="0" borderId="4" xfId="0" quotePrefix="1" applyNumberFormat="1" applyFont="1" applyBorder="1" applyAlignment="1">
      <alignment horizontal="right"/>
    </xf>
    <xf numFmtId="0" fontId="0" fillId="0" borderId="5" xfId="0" applyBorder="1"/>
    <xf numFmtId="0" fontId="0" fillId="0" borderId="6" xfId="0" applyBorder="1"/>
    <xf numFmtId="0" fontId="3" fillId="0" borderId="21" xfId="0" applyFont="1" applyBorder="1"/>
    <xf numFmtId="0" fontId="3" fillId="0" borderId="3" xfId="0" applyFont="1" applyBorder="1" applyAlignment="1">
      <alignment horizontal="right"/>
    </xf>
    <xf numFmtId="0" fontId="3" fillId="0" borderId="4" xfId="0" applyFont="1" applyBorder="1" applyAlignment="1">
      <alignment horizontal="right"/>
    </xf>
    <xf numFmtId="0" fontId="3" fillId="0" borderId="0" xfId="0" applyFont="1" applyAlignment="1">
      <alignment vertical="top"/>
    </xf>
    <xf numFmtId="0" fontId="2" fillId="0" borderId="22" xfId="0" applyFont="1" applyBorder="1"/>
    <xf numFmtId="0" fontId="0" fillId="14" borderId="5" xfId="0" applyFill="1" applyBorder="1"/>
    <xf numFmtId="0" fontId="0" fillId="14" borderId="6" xfId="0" applyFill="1" applyBorder="1"/>
    <xf numFmtId="167" fontId="2" fillId="0" borderId="0" xfId="1" applyNumberFormat="1" applyFont="1" applyAlignment="1">
      <alignment horizontal="center"/>
    </xf>
    <xf numFmtId="0" fontId="0" fillId="0" borderId="22" xfId="0" applyBorder="1"/>
    <xf numFmtId="166" fontId="0" fillId="6" borderId="0" xfId="0" applyNumberFormat="1" applyFill="1" applyAlignment="1">
      <alignment horizontal="center"/>
    </xf>
    <xf numFmtId="167" fontId="0" fillId="0" borderId="0" xfId="1" applyNumberFormat="1" applyFont="1" applyAlignment="1">
      <alignment horizontal="center"/>
    </xf>
    <xf numFmtId="165" fontId="0" fillId="0" borderId="5" xfId="0" applyNumberFormat="1" applyBorder="1"/>
    <xf numFmtId="165" fontId="0" fillId="0" borderId="6" xfId="0" applyNumberFormat="1" applyBorder="1"/>
    <xf numFmtId="0" fontId="2" fillId="0" borderId="12" xfId="0" applyFont="1" applyBorder="1"/>
    <xf numFmtId="165" fontId="0" fillId="15" borderId="7" xfId="0" applyNumberFormat="1" applyFill="1" applyBorder="1"/>
    <xf numFmtId="165" fontId="0" fillId="16" borderId="8" xfId="0" applyNumberFormat="1" applyFill="1" applyBorder="1"/>
    <xf numFmtId="0" fontId="0" fillId="0" borderId="3" xfId="0" applyBorder="1"/>
    <xf numFmtId="0" fontId="0" fillId="0" borderId="4" xfId="0" applyBorder="1"/>
    <xf numFmtId="1" fontId="0" fillId="0" borderId="5" xfId="0" applyNumberFormat="1" applyBorder="1" applyAlignment="1"/>
    <xf numFmtId="1" fontId="0" fillId="0" borderId="6" xfId="0" applyNumberFormat="1" applyBorder="1" applyAlignment="1"/>
    <xf numFmtId="0" fontId="0" fillId="14" borderId="5" xfId="0" applyFill="1" applyBorder="1" applyAlignment="1"/>
    <xf numFmtId="0" fontId="0" fillId="14" borderId="6" xfId="0" applyFill="1" applyBorder="1" applyAlignment="1"/>
    <xf numFmtId="165" fontId="0" fillId="0" borderId="5" xfId="0" applyNumberFormat="1" applyBorder="1" applyAlignment="1"/>
    <xf numFmtId="165" fontId="0" fillId="0" borderId="6" xfId="0" applyNumberFormat="1" applyBorder="1" applyAlignment="1"/>
    <xf numFmtId="0" fontId="0" fillId="13" borderId="23" xfId="0" applyFill="1" applyBorder="1" applyAlignment="1">
      <alignment horizontal="center"/>
    </xf>
    <xf numFmtId="0" fontId="0" fillId="13" borderId="24" xfId="0" applyFill="1" applyBorder="1" applyAlignment="1">
      <alignment horizontal="center"/>
    </xf>
    <xf numFmtId="166" fontId="0" fillId="13" borderId="24" xfId="0" applyNumberFormat="1" applyFill="1" applyBorder="1" applyAlignment="1">
      <alignment horizontal="center"/>
    </xf>
    <xf numFmtId="2" fontId="0" fillId="13" borderId="24" xfId="0" applyNumberFormat="1" applyFill="1" applyBorder="1" applyAlignment="1">
      <alignment horizontal="center"/>
    </xf>
    <xf numFmtId="167" fontId="2" fillId="13" borderId="24" xfId="1" applyNumberFormat="1" applyFill="1" applyBorder="1" applyAlignment="1">
      <alignment horizontal="center"/>
    </xf>
    <xf numFmtId="0" fontId="3" fillId="0" borderId="25" xfId="0" applyFont="1" applyBorder="1" applyAlignment="1">
      <alignment horizontal="left"/>
    </xf>
    <xf numFmtId="165" fontId="0" fillId="15" borderId="1" xfId="0" applyNumberFormat="1" applyFill="1" applyBorder="1" applyAlignment="1">
      <alignment horizontal="right"/>
    </xf>
    <xf numFmtId="165" fontId="0" fillId="15" borderId="2" xfId="0" applyNumberFormat="1" applyFill="1" applyBorder="1" applyAlignment="1">
      <alignment horizontal="right"/>
    </xf>
    <xf numFmtId="0" fontId="3" fillId="0" borderId="0" xfId="0" applyFont="1" applyAlignment="1">
      <alignment horizontal="left"/>
    </xf>
    <xf numFmtId="9" fontId="0" fillId="0" borderId="0" xfId="1" applyFont="1" applyAlignment="1">
      <alignment horizontal="right"/>
    </xf>
    <xf numFmtId="0" fontId="4" fillId="0" borderId="0" xfId="0" applyFont="1" applyAlignment="1">
      <alignment horizontal="left"/>
    </xf>
    <xf numFmtId="167" fontId="4" fillId="6" borderId="0" xfId="1" applyNumberFormat="1" applyFont="1" applyFill="1" applyAlignment="1">
      <alignment horizontal="right"/>
    </xf>
    <xf numFmtId="9" fontId="0" fillId="0" borderId="0" xfId="0" applyNumberFormat="1" applyAlignment="1">
      <alignment horizontal="center"/>
    </xf>
    <xf numFmtId="2" fontId="0" fillId="6" borderId="0" xfId="0" applyNumberFormat="1" applyFill="1" applyAlignment="1">
      <alignment horizontal="center"/>
    </xf>
    <xf numFmtId="10" fontId="3" fillId="6" borderId="0" xfId="1" applyNumberFormat="1" applyFont="1" applyFill="1" applyAlignment="1">
      <alignment horizontal="center"/>
    </xf>
    <xf numFmtId="2" fontId="3" fillId="3" borderId="0" xfId="0" applyNumberFormat="1" applyFont="1" applyFill="1" applyAlignment="1">
      <alignment horizontal="center" vertical="top" wrapText="1"/>
    </xf>
    <xf numFmtId="0" fontId="17" fillId="0" borderId="9" xfId="2" applyFont="1" applyFill="1" applyBorder="1" applyAlignment="1">
      <alignment horizontal="center"/>
    </xf>
    <xf numFmtId="0" fontId="2" fillId="0" borderId="0" xfId="0" quotePrefix="1" applyFont="1" applyAlignment="1">
      <alignment horizontal="left"/>
    </xf>
    <xf numFmtId="9" fontId="6" fillId="0" borderId="0" xfId="1" applyFont="1"/>
    <xf numFmtId="0" fontId="2" fillId="0" borderId="0" xfId="0" applyFont="1" applyAlignment="1">
      <alignment horizontal="left" wrapText="1"/>
    </xf>
    <xf numFmtId="0" fontId="2" fillId="0" borderId="0" xfId="0" applyFont="1" applyAlignment="1">
      <alignment horizontal="center" wrapText="1"/>
    </xf>
    <xf numFmtId="0" fontId="6" fillId="0" borderId="0" xfId="2" applyAlignment="1">
      <alignment horizontal="left"/>
    </xf>
    <xf numFmtId="0" fontId="3" fillId="6" borderId="0" xfId="0" applyFont="1" applyFill="1" applyAlignment="1">
      <alignment horizontal="center" vertical="top" wrapText="1"/>
    </xf>
    <xf numFmtId="167" fontId="3" fillId="3" borderId="0" xfId="1" applyNumberFormat="1" applyFont="1" applyFill="1" applyAlignment="1">
      <alignment horizontal="center" vertical="top" wrapText="1"/>
    </xf>
    <xf numFmtId="167" fontId="2" fillId="0" borderId="0" xfId="0" applyNumberFormat="1" applyFont="1" applyAlignment="1">
      <alignment horizontal="center" wrapText="1"/>
    </xf>
    <xf numFmtId="9" fontId="10" fillId="2" borderId="0" xfId="1" applyFont="1" applyFill="1" applyAlignment="1">
      <alignment horizontal="center"/>
    </xf>
    <xf numFmtId="0" fontId="2" fillId="18" borderId="0" xfId="0" applyFont="1" applyFill="1" applyAlignment="1">
      <alignment horizontal="center" wrapText="1"/>
    </xf>
    <xf numFmtId="166" fontId="0" fillId="18" borderId="0" xfId="0" applyNumberFormat="1" applyFill="1" applyAlignment="1">
      <alignment horizontal="center"/>
    </xf>
    <xf numFmtId="0" fontId="0" fillId="18" borderId="0" xfId="0" applyFill="1" applyAlignment="1">
      <alignment horizontal="center"/>
    </xf>
    <xf numFmtId="0" fontId="2" fillId="18" borderId="0" xfId="0" applyFont="1" applyFill="1" applyAlignment="1">
      <alignment horizontal="center"/>
    </xf>
    <xf numFmtId="2" fontId="0" fillId="18" borderId="0" xfId="0" applyNumberFormat="1" applyFill="1" applyAlignment="1">
      <alignment horizontal="center"/>
    </xf>
    <xf numFmtId="10" fontId="3" fillId="18" borderId="0" xfId="1" applyNumberFormat="1" applyFont="1" applyFill="1" applyAlignment="1">
      <alignment horizontal="center"/>
    </xf>
    <xf numFmtId="166" fontId="0" fillId="4" borderId="0" xfId="0" applyNumberFormat="1" applyFill="1" applyAlignment="1">
      <alignment horizontal="center"/>
    </xf>
    <xf numFmtId="167" fontId="6" fillId="2" borderId="11" xfId="1" applyNumberFormat="1" applyFont="1" applyFill="1" applyBorder="1"/>
    <xf numFmtId="2" fontId="2" fillId="4" borderId="0" xfId="0" applyNumberFormat="1" applyFont="1" applyFill="1" applyAlignment="1">
      <alignment horizontal="center"/>
    </xf>
    <xf numFmtId="2" fontId="10" fillId="0" borderId="0" xfId="2" applyNumberFormat="1" applyFont="1" applyProtection="1">
      <protection locked="0"/>
    </xf>
    <xf numFmtId="2" fontId="35" fillId="0" borderId="0" xfId="2" applyNumberFormat="1" applyFont="1" applyAlignment="1" applyProtection="1">
      <protection locked="0"/>
    </xf>
    <xf numFmtId="0" fontId="6" fillId="0" borderId="0" xfId="2" applyProtection="1">
      <protection locked="0"/>
    </xf>
    <xf numFmtId="0" fontId="6" fillId="0" borderId="0" xfId="2" applyBorder="1"/>
    <xf numFmtId="2" fontId="6" fillId="0" borderId="0" xfId="2" applyNumberFormat="1" applyBorder="1"/>
    <xf numFmtId="9" fontId="10" fillId="2" borderId="10" xfId="1" applyNumberFormat="1" applyFont="1" applyFill="1" applyBorder="1" applyAlignment="1">
      <alignment horizontal="center"/>
    </xf>
    <xf numFmtId="9" fontId="10" fillId="2" borderId="11" xfId="3" applyNumberFormat="1" applyFont="1" applyFill="1" applyBorder="1" applyAlignment="1" applyProtection="1">
      <alignment horizontal="center" vertical="center"/>
      <protection locked="0"/>
    </xf>
    <xf numFmtId="0" fontId="6" fillId="4" borderId="14" xfId="2" applyFill="1" applyBorder="1" applyAlignment="1">
      <alignment wrapText="1"/>
    </xf>
    <xf numFmtId="0" fontId="0" fillId="4" borderId="14" xfId="0" applyFill="1" applyBorder="1" applyAlignment="1">
      <alignment wrapText="1"/>
    </xf>
    <xf numFmtId="0" fontId="6" fillId="4" borderId="14" xfId="2" applyFill="1" applyBorder="1"/>
    <xf numFmtId="0" fontId="6" fillId="4" borderId="20" xfId="2" applyFill="1" applyBorder="1"/>
    <xf numFmtId="10" fontId="6" fillId="11" borderId="0" xfId="2" quotePrefix="1" applyNumberFormat="1" applyFill="1"/>
    <xf numFmtId="0" fontId="0" fillId="2" borderId="0" xfId="0" applyFill="1" applyAlignment="1">
      <alignment wrapText="1"/>
    </xf>
    <xf numFmtId="166" fontId="0" fillId="2" borderId="0" xfId="1" applyNumberFormat="1" applyFont="1" applyFill="1" applyAlignment="1">
      <alignment horizontal="center"/>
    </xf>
    <xf numFmtId="167" fontId="3" fillId="2" borderId="0" xfId="1" applyNumberFormat="1" applyFont="1" applyFill="1" applyAlignment="1">
      <alignment horizontal="center" vertical="top" wrapText="1"/>
    </xf>
    <xf numFmtId="0" fontId="2" fillId="2" borderId="0" xfId="0" applyFont="1" applyFill="1" applyAlignment="1">
      <alignment horizontal="center"/>
    </xf>
    <xf numFmtId="166" fontId="0" fillId="2" borderId="0" xfId="0" applyNumberFormat="1" applyFill="1" applyAlignment="1">
      <alignment horizontal="center"/>
    </xf>
    <xf numFmtId="10" fontId="3" fillId="2" borderId="0" xfId="1" applyNumberFormat="1" applyFont="1" applyFill="1" applyAlignment="1">
      <alignment horizontal="center"/>
    </xf>
    <xf numFmtId="9" fontId="8" fillId="2" borderId="12" xfId="1" applyNumberFormat="1" applyFont="1" applyFill="1" applyBorder="1" applyAlignment="1">
      <alignment horizontal="center"/>
    </xf>
    <xf numFmtId="0" fontId="6" fillId="12" borderId="0" xfId="2" applyFill="1" applyBorder="1"/>
    <xf numFmtId="0" fontId="10" fillId="3" borderId="0" xfId="3" applyFont="1" applyFill="1" applyBorder="1" applyAlignment="1" applyProtection="1">
      <alignment horizontal="center" vertical="center"/>
      <protection locked="0"/>
    </xf>
    <xf numFmtId="0" fontId="6" fillId="3" borderId="27" xfId="2" applyFill="1" applyBorder="1"/>
    <xf numFmtId="0" fontId="6" fillId="3" borderId="28" xfId="2" applyFill="1" applyBorder="1"/>
    <xf numFmtId="0" fontId="6" fillId="3" borderId="29" xfId="2" applyFill="1" applyBorder="1"/>
    <xf numFmtId="169" fontId="0" fillId="2" borderId="0" xfId="0" applyNumberFormat="1" applyFill="1" applyAlignment="1">
      <alignment horizontal="center"/>
    </xf>
    <xf numFmtId="166" fontId="2" fillId="2" borderId="0" xfId="0" applyNumberFormat="1" applyFont="1" applyFill="1" applyAlignment="1">
      <alignment horizontal="center"/>
    </xf>
    <xf numFmtId="166" fontId="3" fillId="2" borderId="0" xfId="0" applyNumberFormat="1" applyFont="1" applyFill="1" applyAlignment="1">
      <alignment horizontal="center" vertical="top" wrapText="1"/>
    </xf>
    <xf numFmtId="167" fontId="2" fillId="2" borderId="0" xfId="0" applyNumberFormat="1" applyFont="1" applyFill="1" applyAlignment="1">
      <alignment horizontal="center"/>
    </xf>
    <xf numFmtId="2" fontId="3" fillId="3" borderId="0" xfId="1" applyNumberFormat="1" applyFont="1" applyFill="1" applyAlignment="1">
      <alignment horizontal="center" vertical="top" wrapText="1"/>
    </xf>
    <xf numFmtId="167" fontId="3" fillId="2" borderId="0" xfId="0" applyNumberFormat="1" applyFont="1" applyFill="1" applyAlignment="1">
      <alignment horizontal="center" vertical="top" wrapText="1"/>
    </xf>
    <xf numFmtId="166" fontId="2" fillId="4" borderId="0" xfId="0" applyNumberFormat="1" applyFont="1" applyFill="1" applyAlignment="1">
      <alignment horizontal="center"/>
    </xf>
    <xf numFmtId="0" fontId="26" fillId="0" borderId="0" xfId="2" applyFont="1"/>
    <xf numFmtId="0" fontId="0" fillId="0" borderId="0" xfId="0" applyFill="1" applyBorder="1" applyAlignment="1">
      <alignment horizontal="center"/>
    </xf>
    <xf numFmtId="0" fontId="8" fillId="12" borderId="0" xfId="2" applyFont="1" applyFill="1"/>
    <xf numFmtId="0" fontId="6" fillId="10" borderId="0" xfId="2" applyFill="1"/>
    <xf numFmtId="0" fontId="40" fillId="10" borderId="0" xfId="0" applyFont="1" applyFill="1"/>
    <xf numFmtId="0" fontId="41" fillId="10" borderId="0" xfId="0" applyFont="1" applyFill="1"/>
    <xf numFmtId="0" fontId="6" fillId="0" borderId="0" xfId="2" applyFont="1" applyFill="1"/>
    <xf numFmtId="0" fontId="7" fillId="0" borderId="0" xfId="2" applyFont="1" applyFill="1"/>
    <xf numFmtId="0" fontId="8" fillId="0" borderId="0" xfId="2" applyFont="1" applyFill="1"/>
    <xf numFmtId="0" fontId="54" fillId="19" borderId="26" xfId="2" applyFont="1" applyFill="1" applyBorder="1"/>
    <xf numFmtId="0" fontId="55" fillId="17" borderId="11" xfId="2" applyFont="1" applyFill="1" applyBorder="1" applyAlignment="1">
      <alignment horizontal="center"/>
    </xf>
    <xf numFmtId="0" fontId="51" fillId="20" borderId="9" xfId="2" applyFont="1" applyFill="1" applyBorder="1" applyAlignment="1">
      <alignment horizontal="center"/>
    </xf>
    <xf numFmtId="9" fontId="0" fillId="0" borderId="0" xfId="1" applyFont="1" applyAlignment="1">
      <alignment horizontal="center"/>
    </xf>
    <xf numFmtId="10" fontId="0" fillId="0" borderId="0" xfId="0" applyNumberFormat="1" applyAlignment="1">
      <alignment horizontal="center"/>
    </xf>
    <xf numFmtId="0" fontId="51" fillId="20" borderId="21" xfId="2" applyFont="1" applyFill="1" applyBorder="1" applyAlignment="1">
      <alignment horizontal="center"/>
    </xf>
    <xf numFmtId="0" fontId="55" fillId="17" borderId="12" xfId="2" applyFont="1" applyFill="1" applyBorder="1" applyAlignment="1">
      <alignment horizontal="center"/>
    </xf>
    <xf numFmtId="0" fontId="57" fillId="12" borderId="0" xfId="0" applyFont="1" applyFill="1"/>
    <xf numFmtId="0" fontId="6" fillId="12" borderId="0" xfId="2" quotePrefix="1" applyFill="1"/>
    <xf numFmtId="0" fontId="25" fillId="0" borderId="0" xfId="2" applyFont="1"/>
    <xf numFmtId="0" fontId="58" fillId="0" borderId="0" xfId="0" applyFont="1"/>
    <xf numFmtId="0" fontId="25" fillId="0" borderId="0" xfId="2" applyFont="1" applyBorder="1" applyAlignment="1">
      <alignment horizontal="center" vertical="center" wrapText="1"/>
    </xf>
    <xf numFmtId="0" fontId="25" fillId="0" borderId="0" xfId="2" applyFont="1" applyBorder="1" applyAlignment="1">
      <alignment vertical="center" wrapText="1"/>
    </xf>
    <xf numFmtId="0" fontId="33" fillId="0" borderId="0" xfId="0" applyFont="1" applyAlignment="1">
      <alignment vertical="center"/>
    </xf>
    <xf numFmtId="0" fontId="34" fillId="0" borderId="0" xfId="0" applyFont="1" applyBorder="1" applyAlignment="1">
      <alignment horizontal="center" vertical="center"/>
    </xf>
    <xf numFmtId="0" fontId="53" fillId="11" borderId="0" xfId="0" applyFont="1" applyFill="1" applyAlignment="1">
      <alignment horizontal="left"/>
    </xf>
    <xf numFmtId="0" fontId="59" fillId="0" borderId="0" xfId="2" quotePrefix="1" applyFont="1"/>
    <xf numFmtId="0" fontId="44" fillId="4" borderId="19" xfId="2" applyFont="1" applyFill="1" applyBorder="1"/>
    <xf numFmtId="0" fontId="0" fillId="4" borderId="14" xfId="0" applyFill="1" applyBorder="1"/>
    <xf numFmtId="170" fontId="0" fillId="0" borderId="0" xfId="0" applyNumberFormat="1" applyAlignment="1">
      <alignment horizontal="center"/>
    </xf>
    <xf numFmtId="10" fontId="3" fillId="18" borderId="0" xfId="1" applyNumberFormat="1" applyFont="1" applyFill="1" applyAlignment="1">
      <alignment horizontal="center" vertical="top" wrapText="1"/>
    </xf>
    <xf numFmtId="2" fontId="20" fillId="2" borderId="0" xfId="7" applyNumberFormat="1" applyFill="1"/>
    <xf numFmtId="0" fontId="46" fillId="3" borderId="16" xfId="2" applyFont="1" applyFill="1" applyBorder="1" applyProtection="1">
      <protection locked="0"/>
    </xf>
    <xf numFmtId="0" fontId="46" fillId="3" borderId="18" xfId="2" applyFont="1" applyFill="1" applyBorder="1" applyProtection="1">
      <protection locked="0"/>
    </xf>
    <xf numFmtId="9" fontId="6" fillId="0" borderId="0" xfId="1" applyFont="1" applyAlignment="1">
      <alignment horizontal="center" vertical="top"/>
    </xf>
    <xf numFmtId="0" fontId="44" fillId="4" borderId="18" xfId="2" applyFont="1" applyFill="1" applyBorder="1" applyAlignment="1"/>
    <xf numFmtId="0" fontId="61" fillId="4" borderId="13" xfId="0" applyFont="1" applyFill="1" applyBorder="1" applyAlignment="1"/>
    <xf numFmtId="0" fontId="44" fillId="4" borderId="18" xfId="2" applyFont="1" applyFill="1" applyBorder="1" applyAlignment="1">
      <alignment horizontal="left" vertical="center"/>
    </xf>
    <xf numFmtId="0" fontId="34" fillId="4" borderId="13" xfId="0" applyFont="1" applyFill="1" applyBorder="1" applyAlignment="1">
      <alignment horizontal="left" vertical="center"/>
    </xf>
    <xf numFmtId="0" fontId="34" fillId="4" borderId="0" xfId="0" applyFont="1" applyFill="1" applyBorder="1" applyAlignment="1"/>
    <xf numFmtId="0" fontId="34" fillId="4" borderId="0" xfId="0" applyFont="1" applyFill="1" applyBorder="1" applyAlignment="1">
      <alignment horizontal="left" vertical="center"/>
    </xf>
    <xf numFmtId="0" fontId="61" fillId="4" borderId="0" xfId="0" applyFont="1" applyFill="1" applyBorder="1" applyAlignment="1"/>
    <xf numFmtId="0" fontId="34" fillId="4" borderId="13" xfId="0" applyFont="1" applyFill="1" applyBorder="1" applyAlignment="1"/>
    <xf numFmtId="0" fontId="7" fillId="4" borderId="16" xfId="2" applyFont="1" applyFill="1" applyBorder="1"/>
    <xf numFmtId="0" fontId="6" fillId="4" borderId="15" xfId="2" applyFill="1" applyBorder="1"/>
    <xf numFmtId="0" fontId="6" fillId="4" borderId="17" xfId="2" applyFill="1" applyBorder="1"/>
    <xf numFmtId="0" fontId="25" fillId="0" borderId="0" xfId="2" applyFont="1" applyAlignment="1">
      <alignment vertical="center" wrapText="1"/>
    </xf>
    <xf numFmtId="0" fontId="0" fillId="0" borderId="0" xfId="0" applyAlignment="1">
      <alignment wrapText="1"/>
    </xf>
    <xf numFmtId="0" fontId="10" fillId="0" borderId="0" xfId="2" applyFont="1" applyBorder="1" applyAlignment="1">
      <alignment wrapText="1"/>
    </xf>
    <xf numFmtId="0" fontId="3" fillId="0" borderId="0" xfId="0" applyFont="1" applyAlignment="1">
      <alignment wrapText="1"/>
    </xf>
    <xf numFmtId="0" fontId="59" fillId="0" borderId="0" xfId="2" applyFont="1" applyAlignment="1">
      <alignment horizontal="left" wrapText="1"/>
    </xf>
    <xf numFmtId="0" fontId="60" fillId="0" borderId="0" xfId="0" applyFont="1" applyAlignment="1">
      <alignment horizontal="left" wrapText="1"/>
    </xf>
    <xf numFmtId="165" fontId="25" fillId="0" borderId="5" xfId="2" applyNumberFormat="1" applyFont="1" applyBorder="1" applyAlignment="1">
      <alignment horizontal="center" wrapText="1"/>
    </xf>
    <xf numFmtId="0" fontId="56" fillId="0" borderId="0" xfId="0" applyFont="1" applyAlignment="1">
      <alignment wrapText="1"/>
    </xf>
    <xf numFmtId="0" fontId="56" fillId="0" borderId="13" xfId="0" applyFont="1" applyBorder="1" applyAlignment="1">
      <alignment wrapText="1"/>
    </xf>
    <xf numFmtId="0" fontId="37" fillId="2" borderId="9" xfId="2" applyFont="1" applyFill="1" applyBorder="1" applyAlignment="1">
      <alignment horizontal="center" vertical="center" textRotation="180"/>
    </xf>
    <xf numFmtId="0" fontId="0" fillId="0" borderId="11" xfId="0" applyBorder="1" applyAlignment="1"/>
    <xf numFmtId="0" fontId="14" fillId="0" borderId="0" xfId="3" applyFont="1" applyFill="1" applyBorder="1" applyAlignment="1" applyProtection="1">
      <alignment horizontal="center" vertical="center" wrapText="1"/>
      <protection locked="0"/>
    </xf>
    <xf numFmtId="0" fontId="0" fillId="0" borderId="0" xfId="0" applyFill="1" applyAlignment="1">
      <alignment horizontal="center" wrapText="1"/>
    </xf>
    <xf numFmtId="0" fontId="0" fillId="0" borderId="14" xfId="0" applyFill="1" applyBorder="1" applyAlignment="1">
      <alignment horizontal="center"/>
    </xf>
    <xf numFmtId="0" fontId="26" fillId="9" borderId="0" xfId="2" applyFont="1" applyFill="1" applyAlignment="1">
      <alignment horizontal="center" vertical="center" wrapText="1"/>
    </xf>
    <xf numFmtId="0" fontId="32" fillId="0" borderId="0" xfId="0" applyFont="1" applyAlignment="1">
      <alignment vertical="center" wrapText="1"/>
    </xf>
    <xf numFmtId="0" fontId="52" fillId="11" borderId="0" xfId="0" applyFont="1" applyFill="1" applyAlignment="1">
      <alignment horizontal="left" wrapText="1"/>
    </xf>
    <xf numFmtId="0" fontId="0" fillId="0" borderId="0" xfId="0" applyAlignment="1">
      <alignment horizontal="left" wrapText="1"/>
    </xf>
    <xf numFmtId="0" fontId="0" fillId="0" borderId="0" xfId="0" applyAlignment="1"/>
    <xf numFmtId="0" fontId="25" fillId="0" borderId="0" xfId="2" applyFont="1" applyAlignment="1">
      <alignment wrapText="1"/>
    </xf>
    <xf numFmtId="165" fontId="25" fillId="0" borderId="0" xfId="0" applyNumberFormat="1" applyFont="1" applyBorder="1" applyAlignment="1">
      <alignment horizontal="center" wrapText="1"/>
    </xf>
    <xf numFmtId="0" fontId="25" fillId="0" borderId="0" xfId="0" applyFont="1" applyAlignment="1">
      <alignment wrapText="1"/>
    </xf>
    <xf numFmtId="0" fontId="25" fillId="0" borderId="13" xfId="0" applyFont="1" applyBorder="1" applyAlignment="1">
      <alignment wrapText="1"/>
    </xf>
    <xf numFmtId="0" fontId="25" fillId="0" borderId="18" xfId="2" quotePrefix="1" applyFont="1" applyBorder="1" applyAlignment="1">
      <alignment wrapText="1"/>
    </xf>
    <xf numFmtId="0" fontId="33" fillId="0" borderId="0" xfId="0" applyFont="1" applyAlignment="1"/>
    <xf numFmtId="0" fontId="33" fillId="0" borderId="0" xfId="0" applyFont="1" applyBorder="1" applyAlignment="1"/>
    <xf numFmtId="0" fontId="0" fillId="0" borderId="18" xfId="0" applyBorder="1" applyAlignment="1"/>
    <xf numFmtId="0" fontId="3" fillId="13" borderId="0" xfId="0" applyFont="1" applyFill="1" applyAlignment="1">
      <alignment horizontal="left" vertical="top"/>
    </xf>
    <xf numFmtId="0" fontId="3" fillId="0" borderId="0" xfId="0" applyFont="1" applyFill="1" applyAlignment="1">
      <alignment horizontal="center" vertical="top" wrapText="1"/>
    </xf>
    <xf numFmtId="0" fontId="3" fillId="6" borderId="0" xfId="0" applyFont="1" applyFill="1" applyAlignment="1">
      <alignment horizontal="center" vertical="top" wrapText="1"/>
    </xf>
  </cellXfs>
  <cellStyles count="8">
    <cellStyle name="Komma" xfId="6" builtinId="3"/>
    <cellStyle name="Procent" xfId="1" builtinId="5"/>
    <cellStyle name="Procent 2" xfId="4"/>
    <cellStyle name="Standaard" xfId="0" builtinId="0"/>
    <cellStyle name="Standaard 2" xfId="2"/>
    <cellStyle name="Standaard 2 2" xfId="3"/>
    <cellStyle name="Standaard 3" xfId="5"/>
    <cellStyle name="Standaard 4" xfId="7"/>
  </cellStyles>
  <dxfs count="0"/>
  <tableStyles count="0" defaultTableStyle="TableStyleMedium2" defaultPivotStyle="PivotStyleLight16"/>
  <colors>
    <mruColors>
      <color rgb="FF0070C0"/>
      <color rgb="FF8064A2"/>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Spin" dx="26" fmlaLink="$D$14" inc="5" max="620" page="10" val="0"/>
</file>

<file path=xl/ctrlProps/ctrlProp2.xml><?xml version="1.0" encoding="utf-8"?>
<formControlPr xmlns="http://schemas.microsoft.com/office/spreadsheetml/2009/9/main" objectType="Spin" dx="26" fmlaLink="$D$19" inc="5" max="615" page="10" val="0"/>
</file>

<file path=xl/ctrlProps/ctrlProp3.xml><?xml version="1.0" encoding="utf-8"?>
<formControlPr xmlns="http://schemas.microsoft.com/office/spreadsheetml/2009/9/main" objectType="Spin" dx="26" inc="5" max="620" page="10" val="15"/>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293077</xdr:colOff>
      <xdr:row>20</xdr:row>
      <xdr:rowOff>279246</xdr:rowOff>
    </xdr:from>
    <xdr:to>
      <xdr:col>7</xdr:col>
      <xdr:colOff>1974512</xdr:colOff>
      <xdr:row>22</xdr:row>
      <xdr:rowOff>166082</xdr:rowOff>
    </xdr:to>
    <xdr:sp macro="" textlink="">
      <xdr:nvSpPr>
        <xdr:cNvPr id="3" name="Gebogen pijl 2">
          <a:extLst>
            <a:ext uri="{FF2B5EF4-FFF2-40B4-BE49-F238E27FC236}">
              <a16:creationId xmlns:a16="http://schemas.microsoft.com/office/drawing/2014/main" id="{00000000-0008-0000-0000-000003000000}"/>
            </a:ext>
          </a:extLst>
        </xdr:cNvPr>
        <xdr:cNvSpPr/>
      </xdr:nvSpPr>
      <xdr:spPr>
        <a:xfrm rot="5400000">
          <a:off x="4956415" y="5424215"/>
          <a:ext cx="756298" cy="1681435"/>
        </a:xfrm>
        <a:prstGeom prst="bentArrow">
          <a:avLst>
            <a:gd name="adj1" fmla="val 25000"/>
            <a:gd name="adj2" fmla="val 22210"/>
            <a:gd name="adj3" fmla="val 25000"/>
            <a:gd name="adj4" fmla="val 4375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5</xdr:col>
      <xdr:colOff>23082</xdr:colOff>
      <xdr:row>20</xdr:row>
      <xdr:rowOff>39255</xdr:rowOff>
    </xdr:from>
    <xdr:to>
      <xdr:col>11</xdr:col>
      <xdr:colOff>38589</xdr:colOff>
      <xdr:row>21</xdr:row>
      <xdr:rowOff>278861</xdr:rowOff>
    </xdr:to>
    <xdr:sp macro="" textlink="">
      <xdr:nvSpPr>
        <xdr:cNvPr id="5" name="Pijl-rechts 4">
          <a:extLst>
            <a:ext uri="{FF2B5EF4-FFF2-40B4-BE49-F238E27FC236}">
              <a16:creationId xmlns:a16="http://schemas.microsoft.com/office/drawing/2014/main" id="{00000000-0008-0000-0000-000005000000}"/>
            </a:ext>
          </a:extLst>
        </xdr:cNvPr>
        <xdr:cNvSpPr/>
      </xdr:nvSpPr>
      <xdr:spPr>
        <a:xfrm>
          <a:off x="2895236" y="5646793"/>
          <a:ext cx="5818430" cy="747606"/>
        </a:xfrm>
        <a:prstGeom prst="rightArrow">
          <a:avLst/>
        </a:prstGeom>
        <a:solidFill>
          <a:schemeClr val="tx2">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203790</xdr:colOff>
      <xdr:row>7</xdr:row>
      <xdr:rowOff>45720</xdr:rowOff>
    </xdr:from>
    <xdr:to>
      <xdr:col>5</xdr:col>
      <xdr:colOff>-1</xdr:colOff>
      <xdr:row>12</xdr:row>
      <xdr:rowOff>0</xdr:rowOff>
    </xdr:to>
    <xdr:sp macro="" textlink="">
      <xdr:nvSpPr>
        <xdr:cNvPr id="6" name="Gelijkbenige driehoek 5">
          <a:extLst>
            <a:ext uri="{FF2B5EF4-FFF2-40B4-BE49-F238E27FC236}">
              <a16:creationId xmlns:a16="http://schemas.microsoft.com/office/drawing/2014/main" id="{00000000-0008-0000-0000-000006000000}"/>
            </a:ext>
          </a:extLst>
        </xdr:cNvPr>
        <xdr:cNvSpPr/>
      </xdr:nvSpPr>
      <xdr:spPr>
        <a:xfrm>
          <a:off x="447630" y="1706880"/>
          <a:ext cx="2379389" cy="1874520"/>
        </a:xfrm>
        <a:prstGeom prst="triangle">
          <a:avLst>
            <a:gd name="adj" fmla="val 50000"/>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3447</xdr:colOff>
      <xdr:row>12</xdr:row>
      <xdr:rowOff>1</xdr:rowOff>
    </xdr:from>
    <xdr:to>
      <xdr:col>5</xdr:col>
      <xdr:colOff>0</xdr:colOff>
      <xdr:row>22</xdr:row>
      <xdr:rowOff>235858</xdr:rowOff>
    </xdr:to>
    <xdr:sp macro="" textlink="">
      <xdr:nvSpPr>
        <xdr:cNvPr id="7" name="Rechthoek 6">
          <a:extLst>
            <a:ext uri="{FF2B5EF4-FFF2-40B4-BE49-F238E27FC236}">
              <a16:creationId xmlns:a16="http://schemas.microsoft.com/office/drawing/2014/main" id="{00000000-0008-0000-0000-000007000000}"/>
            </a:ext>
          </a:extLst>
        </xdr:cNvPr>
        <xdr:cNvSpPr/>
      </xdr:nvSpPr>
      <xdr:spPr>
        <a:xfrm>
          <a:off x="466090" y="2966358"/>
          <a:ext cx="2418624" cy="326571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5715</xdr:colOff>
      <xdr:row>12</xdr:row>
      <xdr:rowOff>201084</xdr:rowOff>
    </xdr:from>
    <xdr:to>
      <xdr:col>6</xdr:col>
      <xdr:colOff>628651</xdr:colOff>
      <xdr:row>14</xdr:row>
      <xdr:rowOff>132504</xdr:rowOff>
    </xdr:to>
    <xdr:sp macro="" textlink="">
      <xdr:nvSpPr>
        <xdr:cNvPr id="8" name="Pijl-rechts 7">
          <a:extLst>
            <a:ext uri="{FF2B5EF4-FFF2-40B4-BE49-F238E27FC236}">
              <a16:creationId xmlns:a16="http://schemas.microsoft.com/office/drawing/2014/main" id="{00000000-0008-0000-0000-000008000000}"/>
            </a:ext>
          </a:extLst>
        </xdr:cNvPr>
        <xdr:cNvSpPr/>
      </xdr:nvSpPr>
      <xdr:spPr>
        <a:xfrm>
          <a:off x="2877869" y="3698469"/>
          <a:ext cx="1297013" cy="498035"/>
        </a:xfrm>
        <a:prstGeom prst="rightArrow">
          <a:avLst/>
        </a:prstGeom>
        <a:solidFill>
          <a:srgbClr val="FFFF00">
            <a:alpha val="4392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9770</xdr:colOff>
      <xdr:row>9</xdr:row>
      <xdr:rowOff>138699</xdr:rowOff>
    </xdr:from>
    <xdr:to>
      <xdr:col>15</xdr:col>
      <xdr:colOff>1990727</xdr:colOff>
      <xdr:row>11</xdr:row>
      <xdr:rowOff>91840</xdr:rowOff>
    </xdr:to>
    <xdr:sp macro="" textlink="">
      <xdr:nvSpPr>
        <xdr:cNvPr id="11" name="Pijl-omhoog 10">
          <a:extLst>
            <a:ext uri="{FF2B5EF4-FFF2-40B4-BE49-F238E27FC236}">
              <a16:creationId xmlns:a16="http://schemas.microsoft.com/office/drawing/2014/main" id="{00000000-0008-0000-0000-00000B000000}"/>
            </a:ext>
          </a:extLst>
        </xdr:cNvPr>
        <xdr:cNvSpPr/>
      </xdr:nvSpPr>
      <xdr:spPr>
        <a:xfrm rot="5400000">
          <a:off x="10291503" y="-1799134"/>
          <a:ext cx="429391" cy="8305557"/>
        </a:xfrm>
        <a:prstGeom prst="upArrow">
          <a:avLst/>
        </a:prstGeom>
        <a:solidFill>
          <a:schemeClr val="accent5">
            <a:lumMod val="20000"/>
            <a:lumOff val="80000"/>
            <a:alpha val="2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1615996</xdr:colOff>
      <xdr:row>19</xdr:row>
      <xdr:rowOff>293077</xdr:rowOff>
    </xdr:from>
    <xdr:to>
      <xdr:col>16</xdr:col>
      <xdr:colOff>9525</xdr:colOff>
      <xdr:row>23</xdr:row>
      <xdr:rowOff>142875</xdr:rowOff>
    </xdr:to>
    <xdr:sp macro="" textlink="">
      <xdr:nvSpPr>
        <xdr:cNvPr id="12" name="Gebogen pijl 11">
          <a:extLst>
            <a:ext uri="{FF2B5EF4-FFF2-40B4-BE49-F238E27FC236}">
              <a16:creationId xmlns:a16="http://schemas.microsoft.com/office/drawing/2014/main" id="{00000000-0008-0000-0000-00000C000000}"/>
            </a:ext>
          </a:extLst>
        </xdr:cNvPr>
        <xdr:cNvSpPr/>
      </xdr:nvSpPr>
      <xdr:spPr>
        <a:xfrm rot="10800000" flipH="1">
          <a:off x="5749846" y="4979377"/>
          <a:ext cx="8166179" cy="1221398"/>
        </a:xfrm>
        <a:prstGeom prst="bentArrow">
          <a:avLst>
            <a:gd name="adj1" fmla="val 25000"/>
            <a:gd name="adj2" fmla="val 21747"/>
            <a:gd name="adj3" fmla="val 25000"/>
            <a:gd name="adj4" fmla="val 4375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11</xdr:col>
      <xdr:colOff>1127352</xdr:colOff>
      <xdr:row>26</xdr:row>
      <xdr:rowOff>86741</xdr:rowOff>
    </xdr:from>
    <xdr:to>
      <xdr:col>14</xdr:col>
      <xdr:colOff>145677</xdr:colOff>
      <xdr:row>29</xdr:row>
      <xdr:rowOff>324970</xdr:rowOff>
    </xdr:to>
    <xdr:sp macro="[0]!Macro1" textlink="">
      <xdr:nvSpPr>
        <xdr:cNvPr id="13" name="Afgeronde rechthoek 12">
          <a:extLst>
            <a:ext uri="{FF2B5EF4-FFF2-40B4-BE49-F238E27FC236}">
              <a16:creationId xmlns:a16="http://schemas.microsoft.com/office/drawing/2014/main" id="{00000000-0008-0000-0000-00000D000000}"/>
            </a:ext>
          </a:extLst>
        </xdr:cNvPr>
        <xdr:cNvSpPr/>
      </xdr:nvSpPr>
      <xdr:spPr>
        <a:xfrm>
          <a:off x="9767087" y="6765447"/>
          <a:ext cx="2178384" cy="910582"/>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t>Opslaan als PDF</a:t>
          </a:r>
        </a:p>
        <a:p>
          <a:pPr algn="l"/>
          <a:r>
            <a:rPr lang="en-GB" sz="1400"/>
            <a:t>(</a:t>
          </a:r>
          <a:r>
            <a:rPr lang="en-GB" sz="1200"/>
            <a:t>Sla eerst </a:t>
          </a:r>
          <a:r>
            <a:rPr lang="en-GB" sz="1200" baseline="0"/>
            <a:t>Excelfile op. PDF komt in dezelfde map.)</a:t>
          </a:r>
          <a:r>
            <a:rPr lang="en-GB" sz="1400"/>
            <a:t> </a:t>
          </a:r>
        </a:p>
      </xdr:txBody>
    </xdr:sp>
    <xdr:clientData/>
  </xdr:twoCellAnchor>
  <xdr:twoCellAnchor editAs="oneCell">
    <xdr:from>
      <xdr:col>13</xdr:col>
      <xdr:colOff>142268</xdr:colOff>
      <xdr:row>29</xdr:row>
      <xdr:rowOff>193057</xdr:rowOff>
    </xdr:from>
    <xdr:to>
      <xdr:col>13</xdr:col>
      <xdr:colOff>582784</xdr:colOff>
      <xdr:row>30</xdr:row>
      <xdr:rowOff>79533</xdr:rowOff>
    </xdr:to>
    <xdr:pic macro="[0]!Macro1">
      <xdr:nvPicPr>
        <xdr:cNvPr id="14" name="Afbeelding 13" descr="Afbeeldingsresultaat voor handje muisklik">
          <a:extLst>
            <a:ext uri="{FF2B5EF4-FFF2-40B4-BE49-F238E27FC236}">
              <a16:creationId xmlns:a16="http://schemas.microsoft.com/office/drawing/2014/main" id="{00000000-0008-0000-0000-00000E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031" t="49567"/>
        <a:stretch/>
      </xdr:blipFill>
      <xdr:spPr bwMode="auto">
        <a:xfrm>
          <a:off x="11343668" y="7635257"/>
          <a:ext cx="440516" cy="445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243354</xdr:colOff>
      <xdr:row>26</xdr:row>
      <xdr:rowOff>14645</xdr:rowOff>
    </xdr:from>
    <xdr:to>
      <xdr:col>11</xdr:col>
      <xdr:colOff>38100</xdr:colOff>
      <xdr:row>29</xdr:row>
      <xdr:rowOff>335181</xdr:rowOff>
    </xdr:to>
    <xdr:pic>
      <xdr:nvPicPr>
        <xdr:cNvPr id="15" name="Afbeelding 14">
          <a:extLst>
            <a:ext uri="{FF2B5EF4-FFF2-40B4-BE49-F238E27FC236}">
              <a16:creationId xmlns:a16="http://schemas.microsoft.com/office/drawing/2014/main" id="{00000000-0008-0000-0000-00000F000000}"/>
            </a:ext>
          </a:extLst>
        </xdr:cNvPr>
        <xdr:cNvPicPr/>
      </xdr:nvPicPr>
      <xdr:blipFill rotWithShape="1">
        <a:blip xmlns:r="http://schemas.openxmlformats.org/officeDocument/2006/relationships" r:embed="rId2"/>
        <a:srcRect l="8846" t="26044" r="79683" b="33170"/>
        <a:stretch/>
      </xdr:blipFill>
      <xdr:spPr bwMode="auto">
        <a:xfrm>
          <a:off x="8101479" y="6720245"/>
          <a:ext cx="585321" cy="996811"/>
        </a:xfrm>
        <a:prstGeom prst="rect">
          <a:avLst/>
        </a:prstGeom>
        <a:ln>
          <a:noFill/>
        </a:ln>
        <a:extLst>
          <a:ext uri="{53640926-AAD7-44D8-BBD7-CCE9431645EC}">
            <a14:shadowObscured xmlns:a14="http://schemas.microsoft.com/office/drawing/2010/main"/>
          </a:ext>
        </a:extLst>
      </xdr:spPr>
    </xdr:pic>
    <xdr:clientData/>
  </xdr:twoCellAnchor>
  <xdr:twoCellAnchor>
    <xdr:from>
      <xdr:col>11</xdr:col>
      <xdr:colOff>2132609</xdr:colOff>
      <xdr:row>17</xdr:row>
      <xdr:rowOff>141516</xdr:rowOff>
    </xdr:from>
    <xdr:to>
      <xdr:col>15</xdr:col>
      <xdr:colOff>2002970</xdr:colOff>
      <xdr:row>18</xdr:row>
      <xdr:rowOff>340672</xdr:rowOff>
    </xdr:to>
    <xdr:sp macro="" textlink="">
      <xdr:nvSpPr>
        <xdr:cNvPr id="16" name="Pijl-omhoog 15">
          <a:extLst>
            <a:ext uri="{FF2B5EF4-FFF2-40B4-BE49-F238E27FC236}">
              <a16:creationId xmlns:a16="http://schemas.microsoft.com/office/drawing/2014/main" id="{00000000-0008-0000-0000-000010000000}"/>
            </a:ext>
          </a:extLst>
        </xdr:cNvPr>
        <xdr:cNvSpPr/>
      </xdr:nvSpPr>
      <xdr:spPr>
        <a:xfrm rot="5400000">
          <a:off x="13703012" y="2025856"/>
          <a:ext cx="460413" cy="4747161"/>
        </a:xfrm>
        <a:prstGeom prst="upArrow">
          <a:avLst/>
        </a:prstGeom>
        <a:solidFill>
          <a:schemeClr val="accent5">
            <a:lumMod val="20000"/>
            <a:lumOff val="80000"/>
            <a:alpha val="2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xdr:from>
          <xdr:col>6</xdr:col>
          <xdr:colOff>76200</xdr:colOff>
          <xdr:row>11</xdr:row>
          <xdr:rowOff>47625</xdr:rowOff>
        </xdr:from>
        <xdr:to>
          <xdr:col>6</xdr:col>
          <xdr:colOff>361950</xdr:colOff>
          <xdr:row>13</xdr:row>
          <xdr:rowOff>19050</xdr:rowOff>
        </xdr:to>
        <xdr:sp macro="" textlink="">
          <xdr:nvSpPr>
            <xdr:cNvPr id="3077" name="Spinner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5</xdr:col>
      <xdr:colOff>19050</xdr:colOff>
      <xdr:row>18</xdr:row>
      <xdr:rowOff>284529</xdr:rowOff>
    </xdr:from>
    <xdr:to>
      <xdr:col>7</xdr:col>
      <xdr:colOff>3811</xdr:colOff>
      <xdr:row>20</xdr:row>
      <xdr:rowOff>92124</xdr:rowOff>
    </xdr:to>
    <xdr:sp macro="" textlink="">
      <xdr:nvSpPr>
        <xdr:cNvPr id="19" name="Pijl-rechts 18">
          <a:extLst>
            <a:ext uri="{FF2B5EF4-FFF2-40B4-BE49-F238E27FC236}">
              <a16:creationId xmlns:a16="http://schemas.microsoft.com/office/drawing/2014/main" id="{00000000-0008-0000-0000-000013000000}"/>
            </a:ext>
          </a:extLst>
        </xdr:cNvPr>
        <xdr:cNvSpPr/>
      </xdr:nvSpPr>
      <xdr:spPr>
        <a:xfrm>
          <a:off x="2891204" y="5276606"/>
          <a:ext cx="1313376" cy="491441"/>
        </a:xfrm>
        <a:prstGeom prst="rightArrow">
          <a:avLst/>
        </a:prstGeom>
        <a:solidFill>
          <a:srgbClr val="FFFF00">
            <a:alpha val="4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xdr:from>
          <xdr:col>6</xdr:col>
          <xdr:colOff>19050</xdr:colOff>
          <xdr:row>17</xdr:row>
          <xdr:rowOff>209550</xdr:rowOff>
        </xdr:from>
        <xdr:to>
          <xdr:col>6</xdr:col>
          <xdr:colOff>323850</xdr:colOff>
          <xdr:row>19</xdr:row>
          <xdr:rowOff>38100</xdr:rowOff>
        </xdr:to>
        <xdr:sp macro="" textlink="">
          <xdr:nvSpPr>
            <xdr:cNvPr id="3080" name="Spinner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4</xdr:col>
      <xdr:colOff>931786</xdr:colOff>
      <xdr:row>7</xdr:row>
      <xdr:rowOff>122395</xdr:rowOff>
    </xdr:from>
    <xdr:to>
      <xdr:col>4</xdr:col>
      <xdr:colOff>2270125</xdr:colOff>
      <xdr:row>11</xdr:row>
      <xdr:rowOff>153001</xdr:rowOff>
    </xdr:to>
    <xdr:pic>
      <xdr:nvPicPr>
        <xdr:cNvPr id="17" name="Afbeelding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79461" y="1760695"/>
          <a:ext cx="1338339" cy="868806"/>
        </a:xfrm>
        <a:prstGeom prst="rect">
          <a:avLst/>
        </a:prstGeom>
        <a:effectLst>
          <a:outerShdw blurRad="50800" dist="50800" dir="5400000" algn="ctr" rotWithShape="0">
            <a:srgbClr val="000000"/>
          </a:outerShdw>
        </a:effectLst>
      </xdr:spPr>
    </xdr:pic>
    <xdr:clientData/>
  </xdr:twoCellAnchor>
  <xdr:twoCellAnchor>
    <xdr:from>
      <xdr:col>8</xdr:col>
      <xdr:colOff>19537</xdr:colOff>
      <xdr:row>13</xdr:row>
      <xdr:rowOff>28615</xdr:rowOff>
    </xdr:from>
    <xdr:to>
      <xdr:col>11</xdr:col>
      <xdr:colOff>1299305</xdr:colOff>
      <xdr:row>17</xdr:row>
      <xdr:rowOff>38382</xdr:rowOff>
    </xdr:to>
    <xdr:sp macro="" textlink="">
      <xdr:nvSpPr>
        <xdr:cNvPr id="22" name="Gebogen pijl 2">
          <a:extLst>
            <a:ext uri="{FF2B5EF4-FFF2-40B4-BE49-F238E27FC236}">
              <a16:creationId xmlns:a16="http://schemas.microsoft.com/office/drawing/2014/main" id="{00000000-0008-0000-0000-000016000000}"/>
            </a:ext>
          </a:extLst>
        </xdr:cNvPr>
        <xdr:cNvSpPr/>
      </xdr:nvSpPr>
      <xdr:spPr>
        <a:xfrm rot="5400000">
          <a:off x="7742115" y="1977576"/>
          <a:ext cx="1094152" cy="3624383"/>
        </a:xfrm>
        <a:prstGeom prst="bentArrow">
          <a:avLst>
            <a:gd name="adj1" fmla="val 25000"/>
            <a:gd name="adj2" fmla="val 31654"/>
            <a:gd name="adj3" fmla="val 25000"/>
            <a:gd name="adj4" fmla="val 43750"/>
          </a:avLst>
        </a:prstGeom>
        <a:solidFill>
          <a:schemeClr val="accent1">
            <a:alpha val="6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15</xdr:col>
          <xdr:colOff>1123950</xdr:colOff>
          <xdr:row>6</xdr:row>
          <xdr:rowOff>57150</xdr:rowOff>
        </xdr:from>
        <xdr:to>
          <xdr:col>15</xdr:col>
          <xdr:colOff>1447800</xdr:colOff>
          <xdr:row>8</xdr:row>
          <xdr:rowOff>171450</xdr:rowOff>
        </xdr:to>
        <xdr:sp macro="" textlink="">
          <xdr:nvSpPr>
            <xdr:cNvPr id="3093" name="Spinner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5</xdr:col>
      <xdr:colOff>147954</xdr:colOff>
      <xdr:row>15</xdr:row>
      <xdr:rowOff>245432</xdr:rowOff>
    </xdr:from>
    <xdr:to>
      <xdr:col>6</xdr:col>
      <xdr:colOff>2221</xdr:colOff>
      <xdr:row>17</xdr:row>
      <xdr:rowOff>79922</xdr:rowOff>
    </xdr:to>
    <xdr:pic macro="[0]!ZetventilatieWWenstoffilteropnul">
      <xdr:nvPicPr>
        <xdr:cNvPr id="21" name="Afbeelding 13" descr="Afbeeldingsresultaat voor handje muisklik">
          <a:extLst>
            <a:ext uri="{FF2B5EF4-FFF2-40B4-BE49-F238E27FC236}">
              <a16:creationId xmlns:a16="http://schemas.microsoft.com/office/drawing/2014/main" id="{00000000-0008-0000-0000-00001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031" t="49567"/>
        <a:stretch/>
      </xdr:blipFill>
      <xdr:spPr bwMode="auto">
        <a:xfrm rot="10800000">
          <a:off x="2976879" y="3779207"/>
          <a:ext cx="521017" cy="493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581025</xdr:colOff>
      <xdr:row>11</xdr:row>
      <xdr:rowOff>66675</xdr:rowOff>
    </xdr:from>
    <xdr:ext cx="65" cy="172227"/>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439150" y="2543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nl-NL"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320040</xdr:colOff>
      <xdr:row>6</xdr:row>
      <xdr:rowOff>0</xdr:rowOff>
    </xdr:from>
    <xdr:to>
      <xdr:col>17</xdr:col>
      <xdr:colOff>0</xdr:colOff>
      <xdr:row>16</xdr:row>
      <xdr:rowOff>22860</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449580" y="3581400"/>
          <a:ext cx="3848100" cy="32080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281940</xdr:colOff>
      <xdr:row>6</xdr:row>
      <xdr:rowOff>0</xdr:rowOff>
    </xdr:from>
    <xdr:to>
      <xdr:col>4</xdr:col>
      <xdr:colOff>304800</xdr:colOff>
      <xdr:row>8</xdr:row>
      <xdr:rowOff>160020</xdr:rowOff>
    </xdr:to>
    <xdr:sp macro="" textlink="">
      <xdr:nvSpPr>
        <xdr:cNvPr id="4" name="Tekstvak 3">
          <a:extLst>
            <a:ext uri="{FF2B5EF4-FFF2-40B4-BE49-F238E27FC236}">
              <a16:creationId xmlns:a16="http://schemas.microsoft.com/office/drawing/2014/main" id="{00000000-0008-0000-0100-000004000000}"/>
            </a:ext>
          </a:extLst>
        </xdr:cNvPr>
        <xdr:cNvSpPr txBox="1"/>
      </xdr:nvSpPr>
      <xdr:spPr>
        <a:xfrm>
          <a:off x="281940" y="1150620"/>
          <a:ext cx="2461260" cy="556260"/>
        </a:xfrm>
        <a:prstGeom prst="rect">
          <a:avLst/>
        </a:prstGeom>
        <a:solidFill>
          <a:schemeClr val="lt1"/>
        </a:solidFill>
        <a:ln w="254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t>Opfok leghennen kooi/kolonie</a:t>
          </a:r>
        </a:p>
      </xdr:txBody>
    </xdr:sp>
    <xdr:clientData/>
  </xdr:twoCellAnchor>
  <xdr:twoCellAnchor>
    <xdr:from>
      <xdr:col>0</xdr:col>
      <xdr:colOff>289560</xdr:colOff>
      <xdr:row>9</xdr:row>
      <xdr:rowOff>167640</xdr:rowOff>
    </xdr:from>
    <xdr:to>
      <xdr:col>4</xdr:col>
      <xdr:colOff>312420</xdr:colOff>
      <xdr:row>12</xdr:row>
      <xdr:rowOff>129540</xdr:rowOff>
    </xdr:to>
    <xdr:sp macro="" textlink="">
      <xdr:nvSpPr>
        <xdr:cNvPr id="5" name="Tekstvak 4">
          <a:extLst>
            <a:ext uri="{FF2B5EF4-FFF2-40B4-BE49-F238E27FC236}">
              <a16:creationId xmlns:a16="http://schemas.microsoft.com/office/drawing/2014/main" id="{00000000-0008-0000-0100-000005000000}"/>
            </a:ext>
          </a:extLst>
        </xdr:cNvPr>
        <xdr:cNvSpPr txBox="1"/>
      </xdr:nvSpPr>
      <xdr:spPr>
        <a:xfrm>
          <a:off x="289560" y="1912620"/>
          <a:ext cx="2461260" cy="556260"/>
        </a:xfrm>
        <a:prstGeom prst="rect">
          <a:avLst/>
        </a:prstGeom>
        <a:solidFill>
          <a:schemeClr val="lt1"/>
        </a:solidFill>
        <a:ln w="254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t>Opfok leghennen GRONDHUISVESTING</a:t>
          </a:r>
        </a:p>
      </xdr:txBody>
    </xdr:sp>
    <xdr:clientData/>
  </xdr:twoCellAnchor>
  <xdr:twoCellAnchor>
    <xdr:from>
      <xdr:col>0</xdr:col>
      <xdr:colOff>304800</xdr:colOff>
      <xdr:row>13</xdr:row>
      <xdr:rowOff>160020</xdr:rowOff>
    </xdr:from>
    <xdr:to>
      <xdr:col>4</xdr:col>
      <xdr:colOff>327660</xdr:colOff>
      <xdr:row>16</xdr:row>
      <xdr:rowOff>121920</xdr:rowOff>
    </xdr:to>
    <xdr:sp macro="" textlink="">
      <xdr:nvSpPr>
        <xdr:cNvPr id="6" name="Tekstvak 5">
          <a:extLst>
            <a:ext uri="{FF2B5EF4-FFF2-40B4-BE49-F238E27FC236}">
              <a16:creationId xmlns:a16="http://schemas.microsoft.com/office/drawing/2014/main" id="{00000000-0008-0000-0100-000006000000}"/>
            </a:ext>
          </a:extLst>
        </xdr:cNvPr>
        <xdr:cNvSpPr txBox="1"/>
      </xdr:nvSpPr>
      <xdr:spPr>
        <a:xfrm>
          <a:off x="304800" y="2697480"/>
          <a:ext cx="2461260" cy="556260"/>
        </a:xfrm>
        <a:prstGeom prst="rect">
          <a:avLst/>
        </a:prstGeom>
        <a:solidFill>
          <a:schemeClr val="lt1"/>
        </a:solidFill>
        <a:ln w="254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t>Opfok leghennen VOLIERE</a:t>
          </a:r>
        </a:p>
      </xdr:txBody>
    </xdr:sp>
    <xdr:clientData/>
  </xdr:twoCellAnchor>
  <xdr:twoCellAnchor>
    <xdr:from>
      <xdr:col>8</xdr:col>
      <xdr:colOff>15240</xdr:colOff>
      <xdr:row>5</xdr:row>
      <xdr:rowOff>152400</xdr:rowOff>
    </xdr:from>
    <xdr:to>
      <xdr:col>12</xdr:col>
      <xdr:colOff>38100</xdr:colOff>
      <xdr:row>8</xdr:row>
      <xdr:rowOff>114300</xdr:rowOff>
    </xdr:to>
    <xdr:sp macro="" textlink="">
      <xdr:nvSpPr>
        <xdr:cNvPr id="7" name="Tekstvak 6">
          <a:extLst>
            <a:ext uri="{FF2B5EF4-FFF2-40B4-BE49-F238E27FC236}">
              <a16:creationId xmlns:a16="http://schemas.microsoft.com/office/drawing/2014/main" id="{00000000-0008-0000-0100-000007000000}"/>
            </a:ext>
          </a:extLst>
        </xdr:cNvPr>
        <xdr:cNvSpPr txBox="1"/>
      </xdr:nvSpPr>
      <xdr:spPr>
        <a:xfrm>
          <a:off x="4892040" y="1104900"/>
          <a:ext cx="2461260" cy="556260"/>
        </a:xfrm>
        <a:prstGeom prst="rect">
          <a:avLst/>
        </a:prstGeom>
        <a:solidFill>
          <a:schemeClr val="lt1"/>
        </a:solidFill>
        <a:ln w="254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t>VLEESKUIKENS</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AW69"/>
  <sheetViews>
    <sheetView showGridLines="0" tabSelected="1" zoomScale="73" zoomScaleNormal="73" zoomScaleSheetLayoutView="77" workbookViewId="0">
      <selection activeCell="E4" sqref="E4"/>
    </sheetView>
  </sheetViews>
  <sheetFormatPr defaultColWidth="8.85546875" defaultRowHeight="15.75" x14ac:dyDescent="0.25"/>
  <cols>
    <col min="1" max="1" width="1" style="14" customWidth="1"/>
    <col min="2" max="2" width="2.5703125" style="14" customWidth="1"/>
    <col min="3" max="3" width="3" style="14" customWidth="1"/>
    <col min="4" max="4" width="20.28515625" style="14" hidden="1" customWidth="1"/>
    <col min="5" max="5" width="46.28515625" style="14" customWidth="1"/>
    <col min="6" max="6" width="9.7109375" style="14" customWidth="1"/>
    <col min="7" max="7" width="9.28515625" style="14" customWidth="1"/>
    <col min="8" max="8" width="32.28515625" style="14" customWidth="1"/>
    <col min="9" max="9" width="12.85546875" style="14" customWidth="1"/>
    <col min="10" max="10" width="9.28515625" style="14" customWidth="1"/>
    <col min="11" max="11" width="11.5703125" style="14" customWidth="1"/>
    <col min="12" max="12" width="31.28515625" style="14" customWidth="1"/>
    <col min="13" max="13" width="13" style="14" customWidth="1"/>
    <col min="14" max="14" width="8.85546875" style="14" customWidth="1"/>
    <col min="15" max="15" width="17.85546875" style="14" customWidth="1"/>
    <col min="16" max="16" width="29.5703125" style="14" customWidth="1"/>
    <col min="17" max="17" width="14.7109375" style="14" customWidth="1"/>
    <col min="18" max="18" width="4.28515625" style="14" customWidth="1"/>
    <col min="19" max="20" width="9.7109375" style="14" bestFit="1" customWidth="1"/>
    <col min="21" max="16384" width="8.85546875" style="14"/>
  </cols>
  <sheetData>
    <row r="1" spans="1:49" ht="25.15" customHeight="1" x14ac:dyDescent="0.4">
      <c r="A1" s="195"/>
      <c r="B1" s="195"/>
      <c r="C1" s="195"/>
      <c r="D1" s="195"/>
      <c r="E1" s="196" t="s">
        <v>211</v>
      </c>
      <c r="F1" s="195"/>
      <c r="G1" s="195"/>
      <c r="H1" s="195"/>
      <c r="I1" s="195"/>
      <c r="J1" s="197" t="s">
        <v>128</v>
      </c>
      <c r="K1" s="195"/>
      <c r="L1" s="195"/>
      <c r="M1" s="61"/>
      <c r="N1" s="61"/>
      <c r="O1" s="61"/>
      <c r="P1" s="61"/>
      <c r="Q1" s="61"/>
      <c r="R1" s="195"/>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row>
    <row r="2" spans="1:49" ht="6" customHeight="1" thickBot="1" x14ac:dyDescent="0.3">
      <c r="A2" s="195"/>
      <c r="B2" s="195"/>
      <c r="C2" s="195"/>
      <c r="D2" s="195"/>
      <c r="E2" s="195"/>
      <c r="F2" s="195"/>
      <c r="G2" s="195"/>
      <c r="H2" s="195"/>
      <c r="I2" s="195"/>
      <c r="J2" s="195"/>
      <c r="K2" s="195"/>
      <c r="L2" s="195"/>
      <c r="M2" s="61"/>
      <c r="N2" s="61"/>
      <c r="O2" s="61"/>
      <c r="P2" s="61"/>
      <c r="Q2" s="61"/>
      <c r="R2" s="195"/>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row>
    <row r="3" spans="1:49" ht="21.6" customHeight="1" thickBot="1" x14ac:dyDescent="0.35">
      <c r="F3" s="70"/>
      <c r="G3" s="70"/>
      <c r="H3" s="234" t="s">
        <v>212</v>
      </c>
      <c r="I3" s="235"/>
      <c r="J3" s="235"/>
      <c r="K3" s="235"/>
      <c r="L3" s="235"/>
      <c r="M3" s="235"/>
      <c r="N3" s="235"/>
      <c r="O3" s="235"/>
      <c r="P3" s="235"/>
      <c r="Q3" s="236"/>
      <c r="R3" s="70"/>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row>
    <row r="4" spans="1:49" ht="18" customHeight="1" x14ac:dyDescent="0.3">
      <c r="E4" s="223" t="s">
        <v>213</v>
      </c>
      <c r="F4" s="80" t="s">
        <v>123</v>
      </c>
      <c r="H4" s="226" t="s">
        <v>205</v>
      </c>
      <c r="I4" s="230"/>
      <c r="J4" s="230"/>
      <c r="K4" s="230"/>
      <c r="L4" s="230"/>
      <c r="M4" s="230"/>
      <c r="N4" s="230"/>
      <c r="O4" s="230"/>
      <c r="P4" s="230"/>
      <c r="Q4" s="233"/>
      <c r="R4" s="70"/>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row>
    <row r="5" spans="1:49" ht="18" customHeight="1" x14ac:dyDescent="0.3">
      <c r="E5" s="224" t="s">
        <v>213</v>
      </c>
      <c r="F5" s="81" t="s">
        <v>124</v>
      </c>
      <c r="H5" s="228" t="s">
        <v>206</v>
      </c>
      <c r="I5" s="231"/>
      <c r="J5" s="231"/>
      <c r="K5" s="231"/>
      <c r="L5" s="231"/>
      <c r="M5" s="231"/>
      <c r="N5" s="231"/>
      <c r="O5" s="231"/>
      <c r="P5" s="231"/>
      <c r="Q5" s="229"/>
      <c r="R5" s="70"/>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row>
    <row r="6" spans="1:49" ht="17.45" customHeight="1" thickBot="1" x14ac:dyDescent="0.35">
      <c r="E6" s="82">
        <f ca="1">TODAY()</f>
        <v>44267</v>
      </c>
      <c r="F6" s="83" t="s">
        <v>0</v>
      </c>
      <c r="H6" s="226" t="s">
        <v>207</v>
      </c>
      <c r="I6" s="232"/>
      <c r="J6" s="232"/>
      <c r="K6" s="232"/>
      <c r="L6" s="232"/>
      <c r="M6" s="232"/>
      <c r="N6" s="232"/>
      <c r="O6" s="232"/>
      <c r="P6" s="232"/>
      <c r="Q6" s="227"/>
      <c r="R6" s="70"/>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row>
    <row r="7" spans="1:49" ht="18" customHeight="1" thickBot="1" x14ac:dyDescent="0.35">
      <c r="E7" s="14" t="s">
        <v>3</v>
      </c>
      <c r="H7" s="218" t="s">
        <v>208</v>
      </c>
      <c r="I7" s="219"/>
      <c r="J7" s="219"/>
      <c r="K7" s="168"/>
      <c r="L7" s="169"/>
      <c r="M7" s="170"/>
      <c r="N7" s="170"/>
      <c r="O7" s="170"/>
      <c r="P7" s="170"/>
      <c r="Q7" s="171"/>
      <c r="R7" s="70"/>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row>
    <row r="8" spans="1:49" ht="13.15" customHeight="1" x14ac:dyDescent="0.25">
      <c r="F8" s="79"/>
      <c r="H8" s="212"/>
      <c r="I8" s="213"/>
      <c r="J8" s="214"/>
      <c r="K8" s="214"/>
      <c r="R8" s="70"/>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row>
    <row r="9" spans="1:49" ht="15" customHeight="1" thickBot="1" x14ac:dyDescent="0.4">
      <c r="E9" s="33"/>
      <c r="F9" s="217"/>
      <c r="H9" s="215"/>
      <c r="I9" s="214"/>
      <c r="J9" s="214"/>
      <c r="K9" s="214"/>
      <c r="L9" s="237"/>
      <c r="M9" s="238"/>
      <c r="N9" s="238"/>
      <c r="O9" s="67"/>
      <c r="R9" s="70"/>
      <c r="S9" s="61"/>
      <c r="T9" s="172"/>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row>
    <row r="10" spans="1:49" ht="19.899999999999999" customHeight="1" x14ac:dyDescent="0.3">
      <c r="C10" s="59" t="s">
        <v>110</v>
      </c>
      <c r="E10" s="33"/>
      <c r="H10" s="203" t="str">
        <f>IF(F14+H16=0,"Geen warmtewisselaar","Warmtewisselaar")</f>
        <v>Geen warmtewisselaar</v>
      </c>
      <c r="I10" s="54"/>
      <c r="J10" s="52"/>
      <c r="L10" s="58"/>
      <c r="Q10" s="246" t="s">
        <v>125</v>
      </c>
      <c r="R10" s="70"/>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row>
    <row r="11" spans="1:49" ht="18" customHeight="1" thickBot="1" x14ac:dyDescent="0.3">
      <c r="F11" s="34"/>
      <c r="H11" s="202" t="str">
        <f>IF(H10="warmtewisselaar","Reductiepercentage WW 80%","   ")</f>
        <v xml:space="preserve">   </v>
      </c>
      <c r="I11" s="31"/>
      <c r="J11" s="30">
        <f>IF(L20="geen techniek",F14+H16,IF(J13="ja",0,F14+H16))</f>
        <v>0</v>
      </c>
      <c r="K11" s="147" t="s">
        <v>198</v>
      </c>
      <c r="L11" s="256" t="str">
        <f>IF(L20="Biofilter",IF(H15="ja",IF(J14&gt;0,"Deze combinatie met WW stoffilter is toepasbaar, maar niet zinvol","     "),"  "),IF(L20="bio wasser 60%",IF(H15="ja",IF(J14&gt;0,"Deze combinatie met WW stoffilter is toepasbaar, maar niet zinvol","   "),"   "),IF(L20="bio wasser 75%",IF(H15="ja",IF(J14&gt;0,"Deze combinatie met WW stoffilter is toepasbaar, maar niet zinvol","   "),"    "),"   ")))</f>
        <v xml:space="preserve">   </v>
      </c>
      <c r="M11" s="244"/>
      <c r="N11" s="244"/>
      <c r="O11" s="244"/>
      <c r="Q11" s="247"/>
      <c r="R11" s="70"/>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row>
    <row r="12" spans="1:49" ht="19.149999999999999" customHeight="1" thickBot="1" x14ac:dyDescent="0.3">
      <c r="H12" s="167">
        <f>ROUND(IF(H15="nee",'wisselend debiet en reductie'!$O$8*(1-E23),'wisselend debiet en reductie'!$Q$8*(1-E23)),2)</f>
        <v>0</v>
      </c>
      <c r="I12" s="182" t="str">
        <f>"Lucht WW door overige techniek?"</f>
        <v>Lucht WW door overige techniek?</v>
      </c>
      <c r="J12" s="183"/>
      <c r="K12" s="184"/>
      <c r="L12" s="244"/>
      <c r="M12" s="244"/>
      <c r="N12" s="244"/>
      <c r="O12" s="244"/>
      <c r="Q12" s="247"/>
      <c r="R12" s="70"/>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row>
    <row r="13" spans="1:49" ht="19.149999999999999" customHeight="1" x14ac:dyDescent="0.35">
      <c r="E13" s="142" t="s">
        <v>2</v>
      </c>
      <c r="H13" s="201" t="s">
        <v>188</v>
      </c>
      <c r="I13" s="180"/>
      <c r="J13" s="181" t="s">
        <v>82</v>
      </c>
      <c r="L13" s="244"/>
      <c r="M13" s="244"/>
      <c r="N13" s="244"/>
      <c r="O13" s="244"/>
      <c r="Q13" s="247"/>
      <c r="R13" s="70"/>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row>
    <row r="14" spans="1:49" ht="21" customHeight="1" x14ac:dyDescent="0.25">
      <c r="D14" s="163">
        <v>0</v>
      </c>
      <c r="E14" s="248" t="s">
        <v>97</v>
      </c>
      <c r="F14" s="161">
        <f>MAX(0,IF(D14+D19&gt;J25*100,(J25-F20),D14/100))</f>
        <v>0</v>
      </c>
      <c r="G14" s="14" t="s">
        <v>198</v>
      </c>
      <c r="H14" s="202" t="str">
        <f>IF(F15=0,"    ","Reductie% stoffilter 99%")</f>
        <v>Reductie% stoffilter 99%</v>
      </c>
      <c r="J14" s="165">
        <f>IF(L20="geen techniek",0,IF(J13="ja",F14+H16,0))</f>
        <v>0</v>
      </c>
      <c r="K14" s="164" t="s">
        <v>198</v>
      </c>
      <c r="Q14" s="247"/>
      <c r="R14" s="70"/>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row>
    <row r="15" spans="1:49" ht="25.15" customHeight="1" thickBot="1" x14ac:dyDescent="0.35">
      <c r="D15" s="163">
        <v>75</v>
      </c>
      <c r="E15" s="249"/>
      <c r="F15" s="14" t="s">
        <v>186</v>
      </c>
      <c r="H15" s="55" t="s">
        <v>82</v>
      </c>
      <c r="I15" s="239" t="str">
        <f>IF(J13="nee","     ",IF(L20="geen techniek",IF(J13="ja","Indien 'geen techniek', dan is er geen luchtstroom"),"   "))</f>
        <v xml:space="preserve">     </v>
      </c>
      <c r="J15" s="240"/>
      <c r="K15" s="240"/>
      <c r="N15" s="16"/>
      <c r="O15" s="68"/>
      <c r="Q15" s="247"/>
      <c r="R15" s="70"/>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row>
    <row r="16" spans="1:49" ht="19.5" customHeight="1" thickBot="1" x14ac:dyDescent="0.3">
      <c r="E16" s="250"/>
      <c r="F16" s="225">
        <f>F14/J25</f>
        <v>0</v>
      </c>
      <c r="G16" s="241" t="str">
        <f>IF(F14&gt;0,"Reset: Zet ventilatie door WW en/of stoffilter in 1 klik op 0 m3",IF(F20&gt;0,"Zet ventilatie door WW en/of stoffilter in 1 klik op 0 m3","  "))</f>
        <v xml:space="preserve">  </v>
      </c>
      <c r="H16" s="242"/>
      <c r="I16" s="240"/>
      <c r="J16" s="240"/>
      <c r="K16" s="240"/>
      <c r="Q16" s="247"/>
      <c r="R16" s="70"/>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row>
    <row r="17" spans="3:49" ht="32.450000000000003" customHeight="1" thickBot="1" x14ac:dyDescent="0.35">
      <c r="E17" s="193"/>
      <c r="F17" s="192"/>
      <c r="G17" s="242"/>
      <c r="H17" s="242"/>
      <c r="I17" s="256" t="str">
        <f>IF(J11=0,"   ",IF(L20="chemische wasser 35%","Alle lucht moet door overige techniek vanwege ammoniak en/of geur",IF(L20="chemische wasser 70%","Alle lucht moet door overige techniek vanwege ammoniak en/of geur",IF(L20="Bio wasser 60%","Alle lucht moet door overige techniek vanwege ammoniak en/of geur",IF(L20="Bio wasser 75%","Alle lucht moet door overige techniek vanwege ammoniak en/of geur",IF(L20="Biofilter","Alle lucht moet door overige techniek vanwege ammoniak en/of geur",IF(L20="Luchtconditioneringsunit","    ","   ")))))))</f>
        <v xml:space="preserve">   </v>
      </c>
      <c r="J17" s="244"/>
      <c r="K17" s="244"/>
      <c r="M17" s="256" t="str">
        <f>IF(F14&gt;0,IF(L20="Luchtconditioneringsunit","Twee keer eenzelfde type techniek in de uitgaande luchtstroom is niet logisch","    "),"   ")</f>
        <v xml:space="preserve">   </v>
      </c>
      <c r="N17" s="244"/>
      <c r="O17" s="244"/>
      <c r="P17" s="245"/>
      <c r="Q17" s="247"/>
      <c r="R17" s="70"/>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row>
    <row r="18" spans="3:49" ht="20.45" customHeight="1" x14ac:dyDescent="0.3">
      <c r="E18" s="53" t="s">
        <v>76</v>
      </c>
      <c r="H18" s="203" t="str">
        <f>IF(F20=0,"Geen stoffilter","Droog stoffilter")</f>
        <v>Geen stoffilter</v>
      </c>
      <c r="I18" s="244"/>
      <c r="J18" s="244"/>
      <c r="K18" s="244"/>
      <c r="L18" s="206" t="s">
        <v>120</v>
      </c>
      <c r="M18" s="51"/>
      <c r="N18" s="51"/>
      <c r="Q18" s="247"/>
      <c r="R18" s="70"/>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row>
    <row r="19" spans="3:49" ht="31.9" customHeight="1" x14ac:dyDescent="0.3">
      <c r="D19" s="162">
        <v>0</v>
      </c>
      <c r="E19" s="65" t="s">
        <v>101</v>
      </c>
      <c r="H19" s="202" t="str">
        <f>IF(F20=0,"    ","Reductie% stoffilter 99%")</f>
        <v xml:space="preserve">    </v>
      </c>
      <c r="I19" s="260"/>
      <c r="J19" s="261"/>
      <c r="K19" s="262"/>
      <c r="L19" s="207" t="str">
        <f>IF(L20="chemische wasser 35%","potentieel reductie: 35%",IF(L20="chemische wasser 70%","potentieel reductie: 70%",IF(L20="bio wasser 60%","potentieel reductie: 60%",IF(L20="bio wasser 75%","potentieel reductie: 75%",IF(L20="biofilter","potentieel reductie: 80%",IF(L20="waterluchtwassysteem","potentieel reductie: 33%",IF(L20="droogfilterwand","potentieel reductie: 40%",IF(L20="ionisatiefilter","potentieel reductie: 57%",IF(L20="luchtconditioneringsunit","potentieel reductie: 80%","  ")))))))))</f>
        <v xml:space="preserve">  </v>
      </c>
      <c r="M19" s="257" t="str">
        <f>IF(F20&gt;0,IF(L20="chemische wasser 35%","Alle lucht moet door de luchtwasser of biofilter. De combinatie met een stoffilter is daarom niet mogelijk.",IF(L20="chemische wasser 70%","Alle lucht moet door de luchtwasser of biofilter. De combinatie met een stoffilter is daarom niet mogelijk.",IF(L20="bio wasser 60%","Alle lucht moet door de luchtwasser of biofilter. De combinatie met een stoffilter is daarom niet mogelijk.",IF(L20="bio wasser 75%","Alle lucht moet door de luchtwasser of biofilter. De combinatie met een stoffilter is daarom niet mogelijk.",IF(L20="biofilter","Alle lucht moet door de luchtwasser of biofilter. De combinatie met een stoffilter is daarom niet mogelijk.","  "))))),"   ")</f>
        <v xml:space="preserve">   </v>
      </c>
      <c r="N19" s="258"/>
      <c r="O19" s="258"/>
      <c r="P19" s="259"/>
      <c r="Q19" s="247"/>
      <c r="R19" s="70"/>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row>
    <row r="20" spans="3:49" ht="24" customHeight="1" thickBot="1" x14ac:dyDescent="0.35">
      <c r="E20" s="251" t="str">
        <f>IF(E19="geen staltechniek","    ",IF(E19="negatieve ionisatie",IF(E14="vleeskuikens","   ","Deze techniek kan alleen bij vleeskuikens"),IF(E19="strooiselschuif",IF(E14="leghennen voliere","   ","Deze techniek kan alleen bij leghennen voliere"),IF(E19="oliefilm bij voliere dmv leidingen",IF(E14="leghennen voliere","   ",IF(E14="opfok leghennen voliere","     ",IF(E14="Vleeskuikenouderdieren voliere","    ","Deze techniek kan alleen bij (opfok)leghennen en vleeskuikenouderdieren voliere"))),IF(E19="strooiselschuif icm oliefilm bij voliere dmv leidingen",IF(E14="leghennen voliere","   ","Deze techniek kan alleen bij leghennen voliere"),IF(E19="oliefilm dmv olierobot",IF(E14="opfok leghennen grondhuisvesting","    ",IF(E14="leghennen grondhuisvesting","    ",IF(E14="vleeskuikenouderdieren grondhuisvesting","    ","Deze techniek kan alleen bij (opfok)leghennen en vleeskuikenouderdieren grondhuisvesting"))),"   "))))))</f>
        <v xml:space="preserve">    </v>
      </c>
      <c r="F20" s="162">
        <f>MAX(0,IF(D14+D19&gt;J25*100,(J25*100-D14)/100,D19/100))</f>
        <v>0</v>
      </c>
      <c r="G20" s="14" t="s">
        <v>198</v>
      </c>
      <c r="H20" s="166">
        <f>ROUNDDOWN(IF(F14=0,'wisselend debiet en reductie'!$M$8*(1-E23),'wisselend debiet en reductie'!$P$8*(1-E23)),2)</f>
        <v>0</v>
      </c>
      <c r="I20" s="263"/>
      <c r="J20" s="255"/>
      <c r="K20" s="255"/>
      <c r="L20" s="55" t="s">
        <v>104</v>
      </c>
      <c r="M20" s="258"/>
      <c r="N20" s="258"/>
      <c r="O20" s="258"/>
      <c r="P20" s="259"/>
      <c r="Q20" s="247"/>
      <c r="R20" s="70"/>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row>
    <row r="21" spans="3:49" ht="40.15" customHeight="1" x14ac:dyDescent="0.3">
      <c r="E21" s="252"/>
      <c r="F21" s="34">
        <f>J25-F14-F20</f>
        <v>6.1761991606700297</v>
      </c>
      <c r="G21" s="14" t="s">
        <v>198</v>
      </c>
      <c r="H21" s="56"/>
      <c r="J21" s="30">
        <f>IF(L20="geen techniek",0,F21)</f>
        <v>0</v>
      </c>
      <c r="K21" s="50" t="s">
        <v>198</v>
      </c>
      <c r="L21" s="73" t="s">
        <v>127</v>
      </c>
      <c r="M21" s="243" t="str">
        <f>IF(L20="luchtconditioneringsunit","   ",IF(L20="geen techniek","    ",IF(L20="chemische wasser 35%","    ",IF(L20="chemische wasser 70%","    ",IF(L20="bio wasser 60%","    ",IF(L20="bio wasser 75%","    ",IF(L20="waterluchtwassysteem","   ",IF(L25="biofilter","    ",IF(L20="Droogfilterwand","   ",IF(L20="ionisatiefilter",IF(E19="ionisatiesysteem met negatieve coronadraden","Combinatie van ionisatietechnieken is niet zinvol",IF(E19="ionisatie d.m.v. koolstofborsteltjes","Combinatie van ionisatietechnieken is niet zinvol",IF(E19="ionisatie d.m.v. coronadraden","Combinatie van ionisatietechnieken is niet zinvol",IF(E19="ionisatie d.m.v. ionisatie-units","Combinatie van ionisatietechnieken is niet zinvol","   ")))),"  "))))))))))</f>
        <v xml:space="preserve">    </v>
      </c>
      <c r="N21" s="244"/>
      <c r="O21" s="244"/>
      <c r="P21" s="245"/>
      <c r="Q21" s="247"/>
      <c r="R21" s="70"/>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row>
    <row r="22" spans="3:49" ht="24.4" customHeight="1" x14ac:dyDescent="0.45">
      <c r="C22" s="32"/>
      <c r="D22" s="32"/>
      <c r="E22" s="36" t="s">
        <v>126</v>
      </c>
      <c r="F22" s="56" t="s">
        <v>102</v>
      </c>
      <c r="G22" s="56"/>
      <c r="H22" s="56" t="s">
        <v>3</v>
      </c>
      <c r="J22" s="30"/>
      <c r="L22" s="179">
        <f>IF(M17="Twee keer eenzelfde type techniek in de uitgaande luchtstroom is niet logisch","error",(IF(I17="Alle lucht moet door overige techniek vanwege ammoniak en/of geur","error",IF(M19="Alle lucht moet door de luchtwasser of biofilter. De combinatie met een stoffilter is daarom niet mogelijk.","error",IF(L11="Combinatie met warmtewisselaar is niet toegestaan","error",IF(F20=0,IF(J13="ja",'wisselend debiet en reductie'!$U$8*(1-E23),'wisselend debiet en reductie'!$S$8*(1-E23)),IF(F14=0,'wisselend debiet en reductie'!$T$8*(1-E23),IF(F14&gt;0,IF(F20&gt;0,IF(J14=0,'wisselend debiet en reductie'!$V$8*(1-E23),IF(J14&gt;0,'wisselend debiet en reductie'!$U$8*(1-E23),'wisselend debiet en reductie'!$W$8*(1-E23))))))))))))</f>
        <v>0</v>
      </c>
      <c r="N22" s="144"/>
      <c r="O22" s="69"/>
      <c r="Q22" s="77">
        <f>ROUNDDOWN(100%-(1-E23)+(H20+H12)+L22,2)</f>
        <v>0</v>
      </c>
      <c r="R22" s="70"/>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row>
    <row r="23" spans="3:49" ht="19.899999999999999" customHeight="1" x14ac:dyDescent="0.25">
      <c r="C23" s="32"/>
      <c r="D23" s="32"/>
      <c r="E23" s="151">
        <f>IF(E19="ionisatieSYSTEEM MET NEGATIEVE CORONADRADEN",49%,IF(E19="ionisatie d.m.v. koolstofborsteltjes",31%,IF(E19="ionisatie d.m.v. coronadraden",52%,IF(E19="ionisatie d.m.v. ionisatie-units",16%,0))))</f>
        <v>0</v>
      </c>
      <c r="F23" s="30"/>
      <c r="G23" s="57">
        <f>J11+J14+J21+J23</f>
        <v>6.1761991606700297</v>
      </c>
      <c r="H23" s="56"/>
      <c r="J23" s="30">
        <f>F20+F21-H16-J21</f>
        <v>6.1761991606700297</v>
      </c>
      <c r="K23" s="14" t="s">
        <v>198</v>
      </c>
      <c r="L23" s="144"/>
      <c r="Q23" s="159"/>
      <c r="R23" s="70"/>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row>
    <row r="24" spans="3:49" ht="19.149999999999999" customHeight="1" thickBot="1" x14ac:dyDescent="0.35">
      <c r="C24" s="32"/>
      <c r="D24" s="32"/>
      <c r="E24" s="208"/>
      <c r="F24" s="210" t="str">
        <f>IF(L20="Luchtconditioneringsunit",IF(H20&gt;0,"Niet alle lucht gaat door luchtconditioneringsunit, dus niet combineren met droog stoffilter","    "),"   ")</f>
        <v xml:space="preserve">   </v>
      </c>
      <c r="Q24" s="78"/>
      <c r="R24" s="70"/>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row>
    <row r="25" spans="3:49" ht="21" x14ac:dyDescent="0.3">
      <c r="C25" s="32"/>
      <c r="D25" s="32" t="s">
        <v>101</v>
      </c>
      <c r="F25" s="71"/>
      <c r="G25" s="72"/>
      <c r="H25" s="74" t="s">
        <v>121</v>
      </c>
      <c r="J25" s="75">
        <f>'Max waarden'!$B$10</f>
        <v>6.1761991606700297</v>
      </c>
      <c r="K25" s="76" t="s">
        <v>199</v>
      </c>
      <c r="L25" s="209"/>
      <c r="R25" s="70"/>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row>
    <row r="26" spans="3:49" ht="15.6" customHeight="1" x14ac:dyDescent="0.3">
      <c r="C26" s="32"/>
      <c r="D26" s="198" t="s">
        <v>202</v>
      </c>
      <c r="E26" s="32"/>
      <c r="F26" s="32"/>
      <c r="G26" s="32"/>
      <c r="H26" s="32"/>
      <c r="I26" s="32"/>
      <c r="J26" s="37" t="str">
        <f>IF(G23&lt;&gt;J25,"Optelsom debiet klopt niet","   ")</f>
        <v xml:space="preserve">   </v>
      </c>
      <c r="K26" s="32"/>
      <c r="L26" s="32"/>
      <c r="M26" s="32"/>
      <c r="N26" s="32"/>
      <c r="O26" s="32"/>
      <c r="P26" s="32"/>
      <c r="Q26" s="32"/>
      <c r="R26" s="70"/>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row>
    <row r="27" spans="3:49" ht="16.5" x14ac:dyDescent="0.3">
      <c r="C27" s="32"/>
      <c r="D27" s="211" t="s">
        <v>203</v>
      </c>
      <c r="E27" s="253" t="s">
        <v>196</v>
      </c>
      <c r="F27" s="254"/>
      <c r="G27" s="254"/>
      <c r="H27" s="254"/>
      <c r="I27" s="255"/>
      <c r="J27" s="61"/>
      <c r="K27" s="61"/>
      <c r="L27" s="61"/>
      <c r="M27" s="61"/>
      <c r="N27" s="61"/>
      <c r="O27" s="62"/>
      <c r="P27" s="61"/>
      <c r="Q27" s="61"/>
      <c r="R27" s="70"/>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row>
    <row r="28" spans="3:49" ht="18.75" x14ac:dyDescent="0.25">
      <c r="C28" s="32"/>
      <c r="D28" s="211" t="s">
        <v>204</v>
      </c>
      <c r="E28" s="216"/>
      <c r="F28" s="216"/>
      <c r="G28" s="216"/>
      <c r="H28" s="216"/>
      <c r="I28" s="61"/>
      <c r="J28" s="61"/>
      <c r="K28" s="61"/>
      <c r="L28" s="61"/>
      <c r="M28" s="61"/>
      <c r="N28" s="61"/>
      <c r="O28" s="62"/>
      <c r="P28" s="61"/>
      <c r="Q28" s="61"/>
      <c r="R28" s="70"/>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row>
    <row r="29" spans="3:49" ht="18.75" x14ac:dyDescent="0.3">
      <c r="C29" s="199"/>
      <c r="D29" s="211" t="s">
        <v>201</v>
      </c>
      <c r="E29" s="60"/>
      <c r="F29" s="60"/>
      <c r="G29" s="63"/>
      <c r="H29" s="64"/>
      <c r="I29" s="61"/>
      <c r="J29" s="61"/>
      <c r="K29" s="61"/>
      <c r="L29" s="61"/>
      <c r="M29" s="61"/>
      <c r="N29" s="61"/>
      <c r="O29" s="61"/>
      <c r="P29" s="61"/>
      <c r="Q29" s="61"/>
      <c r="R29" s="70"/>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row>
    <row r="30" spans="3:49" ht="43.9" customHeight="1" x14ac:dyDescent="0.45">
      <c r="C30" s="32"/>
      <c r="E30" s="66"/>
      <c r="F30" s="60"/>
      <c r="G30" s="61"/>
      <c r="H30" s="61" t="s">
        <v>3</v>
      </c>
      <c r="I30" s="61"/>
      <c r="J30" s="61"/>
      <c r="K30" s="61"/>
      <c r="L30" s="61"/>
      <c r="M30" s="61"/>
      <c r="N30" s="61"/>
      <c r="O30" s="61"/>
      <c r="P30" s="61"/>
      <c r="Q30" s="61"/>
      <c r="R30" s="70"/>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row>
    <row r="31" spans="3:49" x14ac:dyDescent="0.25">
      <c r="C31" s="200"/>
      <c r="D31" s="32"/>
      <c r="E31" s="35"/>
      <c r="F31" s="35"/>
      <c r="G31" s="200"/>
      <c r="H31" s="32"/>
      <c r="I31" s="32"/>
      <c r="J31" s="32"/>
      <c r="K31" s="32"/>
      <c r="L31" s="32"/>
      <c r="M31" s="32"/>
      <c r="N31" s="32"/>
      <c r="O31" s="32"/>
      <c r="P31" s="32"/>
      <c r="Q31" s="32"/>
      <c r="R31" s="70"/>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row>
    <row r="32" spans="3:49" x14ac:dyDescent="0.25">
      <c r="C32" s="70"/>
      <c r="D32" s="194">
        <f>IF(H19="zonder stoffilter",IF(D33="opfok leghennen",IF(H12="warmtewisselaar 13%",0.2,IF(H12="warmtewisselaar 31%",0.43,IF(H12="warmtewisselaar 37%",0.55,IF(H12="warmtewisselaar 50%",0.78)))),IF(D33="leghennen",IF(H12="warmtewisselaar 13%",0.4,IF(H12="warmtewisselaar 31%",1,IF(H12="warmtewisselaar 37%",1.25,IF(H12="warmtewisselaar 50%",1.8)))),IF(E14="opfok vleeskuikenouderdieren",IF(H12="warmtewisselaar 13%",0.4,IF(H12="warmtewisselaar 31%",1,IF(H12="warmtewisselaar 37%",1.3,IF(H12="warmtewisselaar 50%",1.9)))),IF(D33="vleeskuikenouderdieren",IF(H12="warmtewisselaar 13%",0.6,IF(H12="warmtewisselaar 31%",1.5,IF(H12="warmtewisselaar 37%",1.85,IF(H12="warmtewisselaar 50%",2.9))))))+IF(E14="vleeskuikens",IF(H12="warmtewisselaar 13%",0.35,IF(H12="warmtewisselaar 31%",1,IF(H12="warmtewisselaar 37%",1.3,IF(H12="warmtewisselaar 50%",2,0)))))+IF(E14="vleeseenden",IF(H12="warmtewisselaar 13%",0.8,IF(H12="warmtewisselaar 31%",2.3,IF(H12="warmtewisselaar 37%",3.15,IF(H12="warmtewisselaar 50%",4.8)))))))+IF(E14="kalkoen hennen",IF(H12="warmtewisselaar 13%",1.1,IF(H12="warmtewisselaar 31%",3,IF(H12="warmtewisselaar 37%",3.85,IF(H12="warmtewisselaar 50%",5.6)))))+IF(E14="kalkoen hanen",IF(H12="warmtewisselaar 13%",2.5,IF(H12="warmtewisselaar 31%",6.2,IF(H12="warmtewisselaar 37%",8.2,IF(H12="warmtewisselaar 50%",11.7))))),0)+IF(H19="met stoffilter",IF(D33="opfok leghennen",IF(H12="warmtewisselaar 13%",0.15,IF(H12="warmtewisselaar 31%",0.35,IF(H12="warmtewisselaar 37%",0.4,IF(H12="warmtewisselaar 50%",0.6)))),IF(D33="leghennen",IF(H12="warmtewisselaar 13%",0.35,IF(H12="warmtewisselaar 31%",0.85,IF(H12="warmtewisselaar 37%",1,IF(H12="warmtewisselaar 50%",1.4)))),IF(E14="leghennen grondhuisvesting",IF(H12="warmtewisselaar 13%",0.35,IF(H12="warmtewisselaar 31%",0.85,IF(H12="warmtewisselaar 37%",1,IF(H12="warmtewisselaar 50%",1.4)))),IF(E14="opfok vleeskuikenouderdieren",IF(H12="warmtewisselaar 13%",0.35,IF(H12="warmtewisselaar 31%",0.85,IF(H12="warmtewisselaar 37%",1.1,IF(H12="warmtewisselaar 50%",1.45)))),IF(D33="vleeskuikenouderdieren",IF(H12="warmtewisselaar 13%",0.5,IF(H12="warmtewisselaar 31%",1.2,IF(H12="warmtewisselaar 37%",1.5,IF(H12="warmtewisselaar 50%",2.1))))))+IF(E14="vleeskuikens",IF(H12="warmtewisselaar 13%",0.3,IF(H12="warmtewisselaar 31%",0.75,IF(H12="warmtewisselaar 37%",1,IF(H12="warmtewisselaar 50%",1.45,0)))))+IF(E14="vleeseenden",IF(H12="warmtewisselaar 13%",0.7,IF(H12="warmtewisselaar 31%",1.9,IF(H12="warmtewisselaar 37%",2.3,IF(H12="warmtewisselaar 50%",3.6)))))))+IF(E14="kalkoen hennen",IF(H12="warmtewisselaar 13%",0.9,IF(H12="warmtewisselaar 31%",2.5,IF(H12="warmtewisselaar 37%",3,IF(H12="warmtewisselaar 50%",4.3)))))+IF(E14="kalkoen hanen",IF(H12="warmtewisselaar 13%",2.2,IF(H12="warmtewisselaar 31%",5.3,IF(H12="warmtewisselaar 37%",6.2,IF(H12="warmtewisselaar 50%",9)))))),0)</f>
        <v>0</v>
      </c>
      <c r="E32" s="70"/>
      <c r="F32" s="71"/>
      <c r="G32" s="70"/>
      <c r="H32" s="70"/>
      <c r="I32" s="70"/>
      <c r="J32" s="70"/>
      <c r="K32" s="70" t="s">
        <v>3</v>
      </c>
      <c r="L32" s="70"/>
      <c r="M32" s="70"/>
      <c r="N32" s="70"/>
      <c r="O32" s="70"/>
      <c r="P32" s="70"/>
      <c r="Q32" s="70"/>
      <c r="R32" s="70"/>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row>
    <row r="33" spans="3:49" x14ac:dyDescent="0.25">
      <c r="C33" s="70"/>
      <c r="D33" s="70">
        <f>IF(E14="OPFOK LEGHENNEN KOOI/KOLONIE","opfok leghennen",IF(E14="opfok leghennen grondhuisvesting","opfok leghennen",IF(E14="opfok leghennen voliere","opfok leghennen",IF(E14="leghennen verrijkte kooi/kolonie","leghennen",IF(E14="leghennen grondhuisvesting","leghennen",IF(E14="leghennen voliere","leghennen",IF(E14="vleeskuikenouderdieren groepskooi","vleeskuikenouderdieren",IF(E14="vleeskuikenouderdieren grondhuisvesting","vleeskuikenouderdieren",IF(E14="vleeskuikenouderdieren voliere","vleeskuikenouderdieren",0)))))))))</f>
        <v>0</v>
      </c>
      <c r="E33" s="70"/>
      <c r="F33" s="70"/>
      <c r="G33" s="70"/>
      <c r="H33" s="70"/>
      <c r="I33" s="70"/>
      <c r="J33" s="70"/>
      <c r="K33" s="70"/>
      <c r="L33" s="70"/>
      <c r="M33" s="70"/>
      <c r="N33" s="70"/>
      <c r="O33" s="70"/>
      <c r="P33" s="70"/>
      <c r="Q33" s="70"/>
      <c r="R33" s="70"/>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row>
    <row r="34" spans="3:49" x14ac:dyDescent="0.25">
      <c r="C34" s="70"/>
      <c r="D34" s="70"/>
      <c r="E34" s="70"/>
      <c r="F34" s="70"/>
      <c r="G34" s="70"/>
      <c r="H34" s="70"/>
      <c r="I34" s="70"/>
      <c r="J34" s="70"/>
      <c r="K34" s="70"/>
      <c r="L34" s="70"/>
      <c r="M34" s="70"/>
      <c r="N34" s="70"/>
      <c r="O34" s="70"/>
      <c r="P34" s="70"/>
      <c r="Q34" s="70"/>
      <c r="R34" s="70"/>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row>
    <row r="35" spans="3:49" x14ac:dyDescent="0.25">
      <c r="R35" s="70"/>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row>
    <row r="36" spans="3:49" x14ac:dyDescent="0.25">
      <c r="R36" s="70"/>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row>
    <row r="37" spans="3:49" x14ac:dyDescent="0.25">
      <c r="R37" s="70"/>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row>
    <row r="38" spans="3:49" x14ac:dyDescent="0.25">
      <c r="R38" s="70"/>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row>
    <row r="39" spans="3:49" x14ac:dyDescent="0.25">
      <c r="R39" s="70"/>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row>
    <row r="40" spans="3:49" x14ac:dyDescent="0.25">
      <c r="R40" s="70"/>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row>
    <row r="41" spans="3:49" x14ac:dyDescent="0.25">
      <c r="R41" s="70"/>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row>
    <row r="42" spans="3:49" ht="18.75" x14ac:dyDescent="0.35">
      <c r="L42" s="56" t="s">
        <v>114</v>
      </c>
      <c r="R42" s="70"/>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row>
    <row r="43" spans="3:49" x14ac:dyDescent="0.25">
      <c r="R43" s="70"/>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row>
    <row r="44" spans="3:49" x14ac:dyDescent="0.25">
      <c r="R44" s="70"/>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row>
    <row r="45" spans="3:49" x14ac:dyDescent="0.25">
      <c r="R45" s="70"/>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row>
    <row r="46" spans="3:49" x14ac:dyDescent="0.25">
      <c r="R46" s="70"/>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row>
    <row r="47" spans="3:49" x14ac:dyDescent="0.25">
      <c r="R47" s="70"/>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row>
    <row r="48" spans="3:49" x14ac:dyDescent="0.25">
      <c r="R48" s="70"/>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row>
    <row r="49" spans="18:49" x14ac:dyDescent="0.25">
      <c r="R49" s="70"/>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row>
    <row r="50" spans="18:49" x14ac:dyDescent="0.25">
      <c r="R50" s="70"/>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row>
    <row r="51" spans="18:49" x14ac:dyDescent="0.25">
      <c r="R51" s="70"/>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row>
    <row r="52" spans="18:49" x14ac:dyDescent="0.25">
      <c r="R52" s="70"/>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row>
    <row r="53" spans="18:49" x14ac:dyDescent="0.25">
      <c r="R53" s="70"/>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row>
    <row r="54" spans="18:49" x14ac:dyDescent="0.25">
      <c r="R54" s="70"/>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row>
    <row r="55" spans="18:49" x14ac:dyDescent="0.25">
      <c r="R55" s="70"/>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row>
    <row r="56" spans="18:49" x14ac:dyDescent="0.25">
      <c r="R56" s="70"/>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row>
    <row r="57" spans="18:49" x14ac:dyDescent="0.25">
      <c r="R57" s="70"/>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row>
    <row r="58" spans="18:49" x14ac:dyDescent="0.25">
      <c r="R58" s="70"/>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row>
    <row r="59" spans="18:49" x14ac:dyDescent="0.25">
      <c r="R59" s="70"/>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row>
    <row r="60" spans="18:49" x14ac:dyDescent="0.25">
      <c r="R60" s="70"/>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row>
    <row r="61" spans="18:49" x14ac:dyDescent="0.25">
      <c r="R61" s="70"/>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row>
    <row r="62" spans="18:49" x14ac:dyDescent="0.25">
      <c r="R62" s="70"/>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row>
    <row r="63" spans="18:49" x14ac:dyDescent="0.25">
      <c r="R63" s="70"/>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row>
    <row r="64" spans="18:49" x14ac:dyDescent="0.25">
      <c r="R64" s="70"/>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row>
    <row r="65" spans="18:49" x14ac:dyDescent="0.25">
      <c r="R65" s="70"/>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row>
    <row r="66" spans="18:49" x14ac:dyDescent="0.25">
      <c r="R66" s="70"/>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row>
    <row r="67" spans="18:49" x14ac:dyDescent="0.25">
      <c r="R67" s="70"/>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row>
    <row r="68" spans="18:49" x14ac:dyDescent="0.25">
      <c r="R68" s="70"/>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row>
    <row r="69" spans="18:49" x14ac:dyDescent="0.25">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row>
  </sheetData>
  <sheetProtection algorithmName="SHA-512" hashValue="ZD1yM3eGeAig2EaCOHTHJwhkO4V/MyhTI6Sz4Tqm+N3bCQaPWLcNA5p6ZeRji6Xjl64J2O384frMHt+hqvMk7g==" saltValue="+fPdLd0ruofhczB8g07CiQ==" spinCount="100000" sheet="1" objects="1" scenarios="1"/>
  <mergeCells count="13">
    <mergeCell ref="E14:E16"/>
    <mergeCell ref="E20:E21"/>
    <mergeCell ref="E27:I27"/>
    <mergeCell ref="L11:O13"/>
    <mergeCell ref="I17:K18"/>
    <mergeCell ref="M19:P20"/>
    <mergeCell ref="I19:K20"/>
    <mergeCell ref="M17:P17"/>
    <mergeCell ref="L9:N9"/>
    <mergeCell ref="I15:K16"/>
    <mergeCell ref="G16:H17"/>
    <mergeCell ref="M21:P21"/>
    <mergeCell ref="Q10:Q21"/>
  </mergeCells>
  <dataValidations count="1">
    <dataValidation type="list" allowBlank="1" showInputMessage="1" showErrorMessage="1" errorTitle="Keuze onjuist" error="Vul dit in met ja of nee." sqref="E19">
      <formula1>$D$25:$D$29</formula1>
    </dataValidation>
  </dataValidations>
  <pageMargins left="0.7" right="0.7" top="0.75" bottom="0.75" header="0.3" footer="0.3"/>
  <pageSetup paperSize="9" scale="52" orientation="landscape" r:id="rId1"/>
  <rowBreaks count="1" manualBreakCount="1">
    <brk id="34" max="16383" man="1"/>
  </rowBreaks>
  <ignoredErrors>
    <ignoredError sqref="F14 F20 H12" unlockedFormula="1"/>
    <ignoredError sqref="Q2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77" r:id="rId4" name="Spinner 5">
              <controlPr defaultSize="0" autoPict="0">
                <anchor moveWithCells="1" sizeWithCells="1">
                  <from>
                    <xdr:col>6</xdr:col>
                    <xdr:colOff>76200</xdr:colOff>
                    <xdr:row>11</xdr:row>
                    <xdr:rowOff>47625</xdr:rowOff>
                  </from>
                  <to>
                    <xdr:col>6</xdr:col>
                    <xdr:colOff>361950</xdr:colOff>
                    <xdr:row>13</xdr:row>
                    <xdr:rowOff>19050</xdr:rowOff>
                  </to>
                </anchor>
              </controlPr>
            </control>
          </mc:Choice>
        </mc:AlternateContent>
        <mc:AlternateContent xmlns:mc="http://schemas.openxmlformats.org/markup-compatibility/2006">
          <mc:Choice Requires="x14">
            <control shapeId="3080" r:id="rId5" name="Spinner 8">
              <controlPr defaultSize="0" autoPict="0">
                <anchor moveWithCells="1" sizeWithCells="1">
                  <from>
                    <xdr:col>6</xdr:col>
                    <xdr:colOff>19050</xdr:colOff>
                    <xdr:row>17</xdr:row>
                    <xdr:rowOff>209550</xdr:rowOff>
                  </from>
                  <to>
                    <xdr:col>6</xdr:col>
                    <xdr:colOff>323850</xdr:colOff>
                    <xdr:row>19</xdr:row>
                    <xdr:rowOff>38100</xdr:rowOff>
                  </to>
                </anchor>
              </controlPr>
            </control>
          </mc:Choice>
        </mc:AlternateContent>
        <mc:AlternateContent xmlns:mc="http://schemas.openxmlformats.org/markup-compatibility/2006">
          <mc:Choice Requires="x14">
            <control shapeId="3093" r:id="rId6" name="Spinner 21">
              <controlPr defaultSize="0" autoPict="0">
                <anchor moveWithCells="1" sizeWithCells="1">
                  <from>
                    <xdr:col>15</xdr:col>
                    <xdr:colOff>1123950</xdr:colOff>
                    <xdr:row>6</xdr:row>
                    <xdr:rowOff>57150</xdr:rowOff>
                  </from>
                  <to>
                    <xdr:col>15</xdr:col>
                    <xdr:colOff>1447800</xdr:colOff>
                    <xdr:row>8</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errorTitle="Keuze onjuist" error="Vul dit in met ja of nee.">
          <x14:formula1>
            <xm:f>Reductietechnieken!$B$51:$B$52</xm:f>
          </x14:formula1>
          <xm:sqref>H15</xm:sqref>
        </x14:dataValidation>
        <x14:dataValidation type="list" allowBlank="1" showInputMessage="1" showErrorMessage="1" errorTitle="Keuze onjuist" error="Vul dit in met ja of nee.">
          <x14:formula1>
            <xm:f>Reductietechnieken!$C$51:$C$52</xm:f>
          </x14:formula1>
          <xm:sqref>J13</xm:sqref>
        </x14:dataValidation>
        <x14:dataValidation type="list" allowBlank="1" showInputMessage="1" showErrorMessage="1" errorTitle="Keuze onjuist" error="Vul dit in met ja of nee.">
          <x14:formula1>
            <xm:f>Reductietechnieken!$B$32:$B$41</xm:f>
          </x14:formula1>
          <xm:sqref>L20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58"/>
  <sheetViews>
    <sheetView workbookViewId="0">
      <selection activeCell="C23" sqref="C23"/>
    </sheetView>
  </sheetViews>
  <sheetFormatPr defaultRowHeight="12.75" x14ac:dyDescent="0.2"/>
  <sheetData>
    <row r="1" spans="1:23" x14ac:dyDescent="0.2">
      <c r="A1" s="71"/>
      <c r="B1" s="71"/>
      <c r="C1" s="71"/>
      <c r="D1" s="71"/>
      <c r="E1" s="71"/>
      <c r="F1" s="71"/>
      <c r="G1" s="71"/>
      <c r="H1" s="71"/>
      <c r="I1" s="71"/>
      <c r="J1" s="71"/>
      <c r="K1" s="71"/>
      <c r="L1" s="71"/>
      <c r="M1" s="71"/>
      <c r="N1" s="71"/>
      <c r="O1" s="71"/>
      <c r="P1" s="71"/>
      <c r="Q1" s="71"/>
      <c r="R1" s="71"/>
      <c r="S1" s="71"/>
      <c r="T1" s="71"/>
      <c r="U1" s="71"/>
      <c r="V1" s="71"/>
      <c r="W1" s="71"/>
    </row>
    <row r="2" spans="1:23" x14ac:dyDescent="0.2">
      <c r="B2" s="71"/>
      <c r="C2" s="71"/>
      <c r="D2" s="71"/>
      <c r="E2" s="71"/>
      <c r="F2" s="71"/>
      <c r="G2" s="71"/>
      <c r="H2" s="71"/>
      <c r="I2" s="71"/>
      <c r="J2" s="71"/>
      <c r="K2" s="71"/>
      <c r="L2" s="71"/>
      <c r="M2" s="71"/>
      <c r="N2" s="71"/>
      <c r="O2" s="71"/>
      <c r="P2" s="71"/>
      <c r="Q2" s="71"/>
      <c r="R2" s="71"/>
      <c r="S2" s="71"/>
      <c r="T2" s="71"/>
      <c r="U2" s="71"/>
      <c r="V2" s="71"/>
      <c r="W2" s="71"/>
    </row>
    <row r="3" spans="1:23" ht="18" x14ac:dyDescent="0.25">
      <c r="A3" s="71"/>
      <c r="B3" s="71"/>
      <c r="C3" s="88" t="s">
        <v>129</v>
      </c>
      <c r="D3" s="71"/>
      <c r="E3" s="71"/>
      <c r="F3" s="71"/>
      <c r="G3" s="71"/>
      <c r="H3" s="71"/>
      <c r="I3" s="88" t="s">
        <v>130</v>
      </c>
      <c r="J3" s="71"/>
      <c r="K3" s="71"/>
      <c r="L3" s="71"/>
      <c r="N3" s="71"/>
      <c r="O3" s="71"/>
      <c r="P3" s="14" t="s">
        <v>122</v>
      </c>
      <c r="Q3" s="71"/>
      <c r="R3" s="71"/>
      <c r="S3" s="71"/>
      <c r="T3" s="71"/>
      <c r="U3" s="71"/>
      <c r="V3" s="71"/>
      <c r="W3" s="71"/>
    </row>
    <row r="4" spans="1:23" ht="15.75" x14ac:dyDescent="0.25">
      <c r="A4" s="71"/>
      <c r="B4" s="71"/>
      <c r="C4" s="89" t="s">
        <v>131</v>
      </c>
      <c r="D4" s="71"/>
      <c r="E4" s="71"/>
      <c r="F4" s="87" t="s">
        <v>132</v>
      </c>
      <c r="G4" s="71"/>
      <c r="H4" s="71"/>
      <c r="I4" s="71"/>
      <c r="J4" s="71"/>
      <c r="K4" s="71"/>
      <c r="L4" s="71"/>
      <c r="N4" s="71"/>
      <c r="O4" s="71"/>
      <c r="P4" s="14" t="s">
        <v>105</v>
      </c>
      <c r="Q4" s="71"/>
      <c r="R4" s="71"/>
      <c r="S4" s="71"/>
      <c r="T4" s="71"/>
      <c r="U4" s="71"/>
      <c r="V4" s="71"/>
      <c r="W4" s="71"/>
    </row>
    <row r="5" spans="1:23" ht="15.75" x14ac:dyDescent="0.25">
      <c r="A5" s="71"/>
      <c r="B5" s="71"/>
      <c r="C5" s="71"/>
      <c r="D5" s="71"/>
      <c r="E5" s="71"/>
      <c r="F5" s="71"/>
      <c r="G5" s="71"/>
      <c r="H5" s="71"/>
      <c r="I5" s="71"/>
      <c r="J5" s="71"/>
      <c r="K5" s="71"/>
      <c r="L5" s="71"/>
      <c r="N5" s="71"/>
      <c r="O5" s="71"/>
      <c r="P5" s="14" t="s">
        <v>106</v>
      </c>
      <c r="Q5" s="71"/>
      <c r="R5" s="71"/>
      <c r="S5" s="71"/>
      <c r="T5" s="71"/>
      <c r="U5" s="71"/>
      <c r="V5" s="71"/>
      <c r="W5" s="71"/>
    </row>
    <row r="6" spans="1:23" ht="15.75" x14ac:dyDescent="0.25">
      <c r="A6" s="71"/>
      <c r="B6" s="71"/>
      <c r="C6" s="71"/>
      <c r="D6" s="71"/>
      <c r="E6" s="71"/>
      <c r="F6" s="71"/>
      <c r="G6" s="71"/>
      <c r="H6" s="71"/>
      <c r="I6" s="71"/>
      <c r="J6" s="71"/>
      <c r="K6" s="71"/>
      <c r="L6" s="71"/>
      <c r="N6" s="71"/>
      <c r="O6" s="71"/>
      <c r="P6" s="14" t="s">
        <v>103</v>
      </c>
      <c r="Q6" s="71"/>
      <c r="R6" s="71"/>
      <c r="S6" s="71"/>
      <c r="T6" s="71"/>
      <c r="U6" s="71"/>
      <c r="V6" s="71"/>
      <c r="W6" s="71"/>
    </row>
    <row r="7" spans="1:23" ht="15.75" x14ac:dyDescent="0.25">
      <c r="A7" s="71"/>
      <c r="B7" s="71"/>
      <c r="C7" s="71"/>
      <c r="D7" s="71"/>
      <c r="E7" s="71"/>
      <c r="F7" s="71"/>
      <c r="G7" s="71"/>
      <c r="H7" s="71"/>
      <c r="I7" s="71"/>
      <c r="J7" s="71"/>
      <c r="K7" s="71"/>
      <c r="L7" s="71"/>
      <c r="N7" s="71"/>
      <c r="O7" s="71"/>
      <c r="P7" s="14" t="s">
        <v>95</v>
      </c>
      <c r="Q7" s="71"/>
      <c r="R7" s="71"/>
      <c r="S7" s="71"/>
      <c r="T7" s="71"/>
      <c r="U7" s="71"/>
      <c r="V7" s="71"/>
      <c r="W7" s="71"/>
    </row>
    <row r="8" spans="1:23" ht="15.75" x14ac:dyDescent="0.25">
      <c r="A8" s="71"/>
      <c r="B8" s="71"/>
      <c r="C8" s="71"/>
      <c r="D8" s="71"/>
      <c r="E8" s="71"/>
      <c r="F8" s="71"/>
      <c r="G8" s="71"/>
      <c r="H8" s="71"/>
      <c r="I8" s="71"/>
      <c r="J8" s="71"/>
      <c r="K8" s="71"/>
      <c r="L8" s="71"/>
      <c r="N8" s="71"/>
      <c r="O8" s="71"/>
      <c r="P8" s="14" t="s">
        <v>94</v>
      </c>
      <c r="Q8" s="71"/>
      <c r="R8" s="71"/>
      <c r="S8" s="71"/>
      <c r="T8" s="71"/>
      <c r="U8" s="71"/>
      <c r="V8" s="71"/>
      <c r="W8" s="71"/>
    </row>
    <row r="9" spans="1:23" ht="15.75" x14ac:dyDescent="0.25">
      <c r="A9" s="71"/>
      <c r="B9" s="71"/>
      <c r="C9" s="71"/>
      <c r="D9" s="71"/>
      <c r="E9" s="71"/>
      <c r="F9" s="71"/>
      <c r="G9" s="71"/>
      <c r="H9" s="71"/>
      <c r="I9" s="71"/>
      <c r="J9" s="71"/>
      <c r="K9" s="71"/>
      <c r="L9" s="71"/>
      <c r="N9" s="71"/>
      <c r="O9" s="71"/>
      <c r="P9" s="14" t="s">
        <v>96</v>
      </c>
      <c r="Q9" s="71"/>
      <c r="R9" s="71"/>
      <c r="S9" s="71"/>
      <c r="T9" s="71"/>
      <c r="U9" s="71"/>
      <c r="V9" s="71"/>
      <c r="W9" s="71"/>
    </row>
    <row r="10" spans="1:23" ht="15.75" x14ac:dyDescent="0.25">
      <c r="A10" s="71"/>
      <c r="B10" s="71"/>
      <c r="C10" s="71"/>
      <c r="D10" s="71"/>
      <c r="E10" s="71"/>
      <c r="F10" s="71"/>
      <c r="G10" s="71"/>
      <c r="H10" s="71"/>
      <c r="I10" s="71"/>
      <c r="J10" s="71"/>
      <c r="K10" s="71"/>
      <c r="L10" s="71"/>
      <c r="N10" s="71"/>
      <c r="O10" s="71"/>
      <c r="P10" s="14" t="s">
        <v>107</v>
      </c>
      <c r="Q10" s="71"/>
      <c r="R10" s="71"/>
      <c r="S10" s="71"/>
      <c r="T10" s="71"/>
      <c r="U10" s="71"/>
      <c r="V10" s="71"/>
      <c r="W10" s="71"/>
    </row>
    <row r="11" spans="1:23" ht="15.75" x14ac:dyDescent="0.25">
      <c r="A11" s="71"/>
      <c r="B11" s="71"/>
      <c r="C11" s="71"/>
      <c r="D11" s="71"/>
      <c r="E11" s="71"/>
      <c r="F11" s="71"/>
      <c r="G11" s="71"/>
      <c r="H11" s="71"/>
      <c r="I11" s="71"/>
      <c r="J11" s="71"/>
      <c r="K11" s="71"/>
      <c r="L11" s="71"/>
      <c r="N11" s="71"/>
      <c r="O11" s="71"/>
      <c r="P11" s="14" t="s">
        <v>108</v>
      </c>
      <c r="Q11" s="71"/>
      <c r="R11" s="71"/>
      <c r="S11" s="71"/>
      <c r="T11" s="71"/>
      <c r="U11" s="71"/>
      <c r="V11" s="71"/>
      <c r="W11" s="71"/>
    </row>
    <row r="12" spans="1:23" ht="15.75" x14ac:dyDescent="0.25">
      <c r="A12" s="71"/>
      <c r="B12" s="71"/>
      <c r="C12" s="71"/>
      <c r="D12" s="71"/>
      <c r="E12" s="71"/>
      <c r="F12" s="71"/>
      <c r="G12" s="71"/>
      <c r="H12" s="71"/>
      <c r="I12" s="71"/>
      <c r="J12" s="71"/>
      <c r="K12" s="71"/>
      <c r="L12" s="71"/>
      <c r="N12" s="71"/>
      <c r="O12" s="71"/>
      <c r="P12" s="14" t="s">
        <v>109</v>
      </c>
      <c r="Q12" s="71"/>
      <c r="R12" s="71"/>
      <c r="S12" s="71"/>
      <c r="T12" s="71"/>
      <c r="U12" s="71"/>
      <c r="V12" s="71"/>
      <c r="W12" s="71"/>
    </row>
    <row r="13" spans="1:23" ht="15.75" x14ac:dyDescent="0.25">
      <c r="A13" s="71"/>
      <c r="B13" s="71"/>
      <c r="C13" s="71"/>
      <c r="D13" s="71"/>
      <c r="E13" s="71"/>
      <c r="F13" s="71"/>
      <c r="G13" s="71"/>
      <c r="H13" s="71"/>
      <c r="I13" s="71"/>
      <c r="J13" s="71"/>
      <c r="K13" s="71"/>
      <c r="L13" s="71"/>
      <c r="N13" s="71"/>
      <c r="O13" s="71"/>
      <c r="P13" s="14" t="s">
        <v>97</v>
      </c>
      <c r="Q13" s="71"/>
      <c r="R13" s="71"/>
      <c r="S13" s="71"/>
      <c r="T13" s="71"/>
      <c r="U13" s="71"/>
      <c r="V13" s="71"/>
      <c r="W13" s="71"/>
    </row>
    <row r="14" spans="1:23" ht="15.75" x14ac:dyDescent="0.25">
      <c r="A14" s="71"/>
      <c r="B14" s="71"/>
      <c r="C14" s="71"/>
      <c r="D14" s="71"/>
      <c r="E14" s="71"/>
      <c r="F14" s="71"/>
      <c r="G14" s="71"/>
      <c r="H14" s="71"/>
      <c r="I14" s="71"/>
      <c r="J14" s="71"/>
      <c r="K14" s="71"/>
      <c r="L14" s="71"/>
      <c r="N14" s="71"/>
      <c r="O14" s="71"/>
      <c r="P14" s="14" t="s">
        <v>99</v>
      </c>
      <c r="Q14" s="71"/>
      <c r="R14" s="71"/>
      <c r="S14" s="71"/>
      <c r="T14" s="71"/>
      <c r="U14" s="71"/>
      <c r="V14" s="71"/>
      <c r="W14" s="71"/>
    </row>
    <row r="15" spans="1:23" ht="15.75" x14ac:dyDescent="0.25">
      <c r="A15" s="71"/>
      <c r="B15" s="71"/>
      <c r="C15" s="71"/>
      <c r="D15" s="71"/>
      <c r="E15" s="71"/>
      <c r="F15" s="71"/>
      <c r="G15" s="71"/>
      <c r="H15" s="71"/>
      <c r="I15" s="71"/>
      <c r="J15" s="71"/>
      <c r="K15" s="71"/>
      <c r="L15" s="71"/>
      <c r="N15" s="71"/>
      <c r="O15" s="71"/>
      <c r="P15" s="32" t="s">
        <v>98</v>
      </c>
      <c r="Q15" s="71"/>
      <c r="R15" s="71"/>
      <c r="S15" s="71"/>
      <c r="T15" s="71"/>
      <c r="U15" s="71"/>
      <c r="V15" s="71"/>
      <c r="W15" s="71"/>
    </row>
    <row r="16" spans="1:23" ht="15.75" x14ac:dyDescent="0.25">
      <c r="A16" s="71"/>
      <c r="B16" s="71"/>
      <c r="C16" s="71"/>
      <c r="D16" s="71"/>
      <c r="E16" s="71"/>
      <c r="F16" s="71"/>
      <c r="G16" s="71"/>
      <c r="H16" s="71"/>
      <c r="I16" s="71"/>
      <c r="J16" s="71"/>
      <c r="K16" s="71"/>
      <c r="L16" s="71"/>
      <c r="N16" s="71"/>
      <c r="O16" s="71"/>
      <c r="P16" s="32" t="s">
        <v>100</v>
      </c>
      <c r="Q16" s="71"/>
      <c r="R16" s="71"/>
      <c r="S16" s="71"/>
      <c r="T16" s="71"/>
      <c r="U16" s="71"/>
      <c r="V16" s="71"/>
      <c r="W16" s="71"/>
    </row>
    <row r="17" spans="1:23" x14ac:dyDescent="0.2">
      <c r="A17" s="71"/>
      <c r="B17" s="71"/>
      <c r="C17" s="71"/>
      <c r="D17" s="71"/>
      <c r="E17" s="71"/>
      <c r="F17" s="71"/>
      <c r="G17" s="71"/>
      <c r="H17" s="71"/>
      <c r="I17" s="71"/>
      <c r="J17" s="71"/>
      <c r="K17" s="71"/>
      <c r="L17" s="71"/>
      <c r="M17" s="71"/>
      <c r="N17" s="71"/>
      <c r="O17" s="71"/>
      <c r="P17" s="71"/>
      <c r="Q17" s="71"/>
      <c r="R17" s="71"/>
      <c r="S17" s="71"/>
      <c r="T17" s="71"/>
      <c r="U17" s="71"/>
      <c r="V17" s="71"/>
      <c r="W17" s="71"/>
    </row>
    <row r="18" spans="1:23" x14ac:dyDescent="0.2">
      <c r="A18" s="71"/>
      <c r="B18" s="71"/>
      <c r="C18" s="71"/>
      <c r="D18" s="71"/>
      <c r="E18" s="71"/>
      <c r="F18" s="71"/>
      <c r="G18" s="71"/>
      <c r="H18" s="71"/>
      <c r="I18" s="71"/>
      <c r="J18" s="71"/>
      <c r="K18" s="71"/>
      <c r="L18" s="71"/>
      <c r="M18" s="71"/>
      <c r="N18" s="71"/>
      <c r="O18" s="71"/>
      <c r="P18" s="71"/>
      <c r="Q18" s="71"/>
      <c r="R18" s="71"/>
      <c r="S18" s="71"/>
      <c r="T18" s="71"/>
      <c r="U18" s="71"/>
      <c r="V18" s="71"/>
      <c r="W18" s="71"/>
    </row>
    <row r="19" spans="1:23" x14ac:dyDescent="0.2">
      <c r="A19" s="71"/>
      <c r="B19" s="71"/>
      <c r="C19" s="71"/>
      <c r="D19" s="71"/>
      <c r="E19" s="71"/>
      <c r="F19" s="71"/>
      <c r="G19" s="71"/>
      <c r="H19" s="71"/>
      <c r="I19" s="71"/>
      <c r="J19" s="71"/>
      <c r="K19" s="71"/>
      <c r="L19" s="71"/>
      <c r="M19" s="71"/>
      <c r="N19" s="71"/>
      <c r="O19" s="71"/>
      <c r="P19" s="71"/>
      <c r="Q19" s="71"/>
      <c r="R19" s="71"/>
      <c r="S19" s="71"/>
      <c r="T19" s="71"/>
      <c r="U19" s="71"/>
      <c r="V19" s="71"/>
      <c r="W19" s="71"/>
    </row>
    <row r="20" spans="1:23" x14ac:dyDescent="0.2">
      <c r="A20" s="71"/>
      <c r="B20" s="71"/>
      <c r="C20" s="71"/>
      <c r="D20" s="71"/>
      <c r="E20" s="71"/>
      <c r="F20" s="71"/>
      <c r="G20" s="71"/>
      <c r="H20" s="71"/>
      <c r="I20" s="71"/>
      <c r="J20" s="71"/>
      <c r="K20" s="71"/>
      <c r="L20" s="71"/>
      <c r="M20" s="71"/>
      <c r="N20" s="71"/>
      <c r="O20" s="71"/>
      <c r="P20" s="71"/>
      <c r="Q20" s="71"/>
      <c r="R20" s="71"/>
      <c r="S20" s="71"/>
      <c r="T20" s="71"/>
      <c r="U20" s="71"/>
      <c r="V20" s="71"/>
      <c r="W20" s="71"/>
    </row>
    <row r="21" spans="1:23" x14ac:dyDescent="0.2">
      <c r="A21" s="71"/>
      <c r="B21" s="71"/>
      <c r="C21" s="71"/>
      <c r="D21" s="71"/>
      <c r="E21" s="71"/>
      <c r="F21" s="71"/>
      <c r="G21" s="71"/>
      <c r="H21" s="71"/>
      <c r="I21" s="71"/>
      <c r="J21" s="71"/>
      <c r="K21" s="71"/>
      <c r="L21" s="71"/>
      <c r="M21" s="71"/>
      <c r="N21" s="71"/>
      <c r="O21" s="71"/>
      <c r="P21" s="71"/>
      <c r="Q21" s="71"/>
      <c r="R21" s="71"/>
      <c r="S21" s="71"/>
      <c r="T21" s="71"/>
      <c r="U21" s="71"/>
      <c r="V21" s="71"/>
      <c r="W21" s="71"/>
    </row>
    <row r="22" spans="1:23" x14ac:dyDescent="0.2">
      <c r="A22" s="71"/>
      <c r="B22" s="71"/>
      <c r="C22" s="71"/>
      <c r="D22" s="71"/>
      <c r="E22" s="71"/>
      <c r="F22" s="71"/>
      <c r="G22" s="71"/>
      <c r="H22" s="71"/>
      <c r="I22" s="71"/>
      <c r="J22" s="71"/>
      <c r="K22" s="71"/>
      <c r="L22" s="71"/>
      <c r="M22" s="71"/>
      <c r="N22" s="71"/>
      <c r="O22" s="71"/>
      <c r="P22" s="71"/>
      <c r="Q22" s="71"/>
      <c r="R22" s="71"/>
      <c r="S22" s="71"/>
      <c r="T22" s="71"/>
      <c r="U22" s="71"/>
      <c r="V22" s="71"/>
      <c r="W22" s="71"/>
    </row>
    <row r="23" spans="1:23" x14ac:dyDescent="0.2">
      <c r="A23" s="71"/>
      <c r="B23" s="71"/>
      <c r="C23" s="71"/>
      <c r="D23" s="71"/>
      <c r="E23" s="71"/>
      <c r="F23" s="71"/>
      <c r="G23" s="71"/>
      <c r="H23" s="71"/>
      <c r="I23" s="71"/>
      <c r="J23" s="71"/>
      <c r="K23" s="71"/>
      <c r="L23" s="71"/>
      <c r="M23" s="71"/>
      <c r="N23" s="71"/>
      <c r="O23" s="71"/>
      <c r="P23" s="71"/>
      <c r="Q23" s="71"/>
      <c r="R23" s="71"/>
      <c r="S23" s="71"/>
      <c r="T23" s="71"/>
      <c r="U23" s="71"/>
      <c r="V23" s="71"/>
      <c r="W23" s="71"/>
    </row>
    <row r="24" spans="1:23" x14ac:dyDescent="0.2">
      <c r="A24" s="71"/>
      <c r="B24" s="71"/>
      <c r="C24" s="71"/>
      <c r="D24" s="71"/>
      <c r="E24" s="71"/>
      <c r="F24" s="71"/>
      <c r="G24" s="71"/>
      <c r="H24" s="71"/>
      <c r="I24" s="71"/>
      <c r="J24" s="71"/>
      <c r="K24" s="71"/>
      <c r="L24" s="71"/>
      <c r="M24" s="71"/>
      <c r="N24" s="71"/>
      <c r="O24" s="71"/>
      <c r="P24" s="71"/>
      <c r="Q24" s="71"/>
      <c r="R24" s="71"/>
      <c r="S24" s="71"/>
      <c r="T24" s="71"/>
      <c r="U24" s="71"/>
      <c r="V24" s="71"/>
      <c r="W24" s="71"/>
    </row>
    <row r="25" spans="1:23" x14ac:dyDescent="0.2">
      <c r="A25" s="71"/>
      <c r="B25" s="71"/>
      <c r="C25" s="71"/>
      <c r="D25" s="71"/>
      <c r="E25" s="71"/>
      <c r="F25" s="71"/>
      <c r="G25" s="71"/>
      <c r="H25" s="71"/>
      <c r="I25" s="71"/>
      <c r="J25" s="71"/>
      <c r="K25" s="71"/>
      <c r="L25" s="71"/>
      <c r="M25" s="71"/>
      <c r="N25" s="71"/>
      <c r="O25" s="71"/>
      <c r="P25" s="71"/>
      <c r="Q25" s="71"/>
      <c r="R25" s="71"/>
      <c r="S25" s="71"/>
      <c r="T25" s="71"/>
      <c r="U25" s="71"/>
      <c r="V25" s="71"/>
      <c r="W25" s="71"/>
    </row>
    <row r="26" spans="1:23" x14ac:dyDescent="0.2">
      <c r="A26" s="71"/>
      <c r="B26" s="71"/>
      <c r="C26" s="71"/>
      <c r="D26" s="71"/>
      <c r="E26" s="71"/>
      <c r="F26" s="71"/>
      <c r="G26" s="71"/>
      <c r="H26" s="71"/>
      <c r="I26" s="71"/>
      <c r="J26" s="71"/>
      <c r="K26" s="71"/>
      <c r="L26" s="71"/>
      <c r="M26" s="71"/>
      <c r="N26" s="71"/>
      <c r="O26" s="71"/>
      <c r="P26" s="71"/>
      <c r="Q26" s="71"/>
      <c r="R26" s="71"/>
      <c r="S26" s="71"/>
      <c r="T26" s="71"/>
      <c r="U26" s="71"/>
      <c r="V26" s="71"/>
      <c r="W26" s="71"/>
    </row>
    <row r="27" spans="1:23" x14ac:dyDescent="0.2">
      <c r="A27" s="71"/>
      <c r="B27" s="71"/>
      <c r="C27" s="71"/>
      <c r="D27" s="71"/>
      <c r="E27" s="71"/>
      <c r="F27" s="71"/>
      <c r="G27" s="71"/>
      <c r="H27" s="71"/>
      <c r="I27" s="71"/>
      <c r="J27" s="71"/>
      <c r="K27" s="71"/>
      <c r="L27" s="71"/>
      <c r="M27" s="71"/>
      <c r="N27" s="71"/>
      <c r="O27" s="71"/>
      <c r="P27" s="71"/>
      <c r="Q27" s="71"/>
      <c r="R27" s="71"/>
      <c r="S27" s="71"/>
      <c r="T27" s="71"/>
      <c r="U27" s="71"/>
      <c r="V27" s="71"/>
      <c r="W27" s="71"/>
    </row>
    <row r="28" spans="1:23" x14ac:dyDescent="0.2">
      <c r="A28" s="71"/>
      <c r="B28" s="71"/>
      <c r="C28" s="71"/>
      <c r="D28" s="71"/>
      <c r="E28" s="71"/>
      <c r="F28" s="71"/>
      <c r="G28" s="71"/>
      <c r="H28" s="71"/>
      <c r="I28" s="71"/>
      <c r="J28" s="71"/>
      <c r="K28" s="71"/>
      <c r="L28" s="71"/>
      <c r="M28" s="71"/>
      <c r="N28" s="71"/>
      <c r="O28" s="71"/>
      <c r="P28" s="71"/>
      <c r="Q28" s="71"/>
      <c r="R28" s="71"/>
      <c r="S28" s="71"/>
      <c r="T28" s="71"/>
      <c r="U28" s="71"/>
      <c r="V28" s="71"/>
      <c r="W28" s="71"/>
    </row>
    <row r="29" spans="1:23" x14ac:dyDescent="0.2">
      <c r="A29" s="71"/>
      <c r="B29" s="71"/>
      <c r="C29" s="71"/>
      <c r="D29" s="71"/>
      <c r="E29" s="71"/>
      <c r="F29" s="71"/>
      <c r="G29" s="71"/>
      <c r="H29" s="71"/>
      <c r="I29" s="71"/>
      <c r="J29" s="71"/>
      <c r="K29" s="71"/>
      <c r="L29" s="71"/>
      <c r="M29" s="71"/>
      <c r="N29" s="71"/>
      <c r="O29" s="71"/>
      <c r="P29" s="71"/>
      <c r="Q29" s="71"/>
      <c r="R29" s="71"/>
      <c r="S29" s="71"/>
      <c r="T29" s="71"/>
      <c r="U29" s="71"/>
      <c r="V29" s="71"/>
      <c r="W29" s="71"/>
    </row>
    <row r="30" spans="1:23" x14ac:dyDescent="0.2">
      <c r="A30" s="71"/>
      <c r="B30" s="71"/>
      <c r="C30" s="71"/>
      <c r="D30" s="71"/>
      <c r="E30" s="71"/>
      <c r="F30" s="71"/>
      <c r="G30" s="71"/>
      <c r="H30" s="71"/>
      <c r="I30" s="71"/>
      <c r="J30" s="71"/>
      <c r="K30" s="71"/>
      <c r="L30" s="71"/>
      <c r="M30" s="71"/>
      <c r="N30" s="71"/>
      <c r="O30" s="71"/>
      <c r="P30" s="71"/>
      <c r="Q30" s="71"/>
      <c r="R30" s="71"/>
      <c r="S30" s="71"/>
      <c r="T30" s="71"/>
      <c r="U30" s="71"/>
      <c r="V30" s="71"/>
      <c r="W30" s="71"/>
    </row>
    <row r="31" spans="1:23" x14ac:dyDescent="0.2">
      <c r="A31" s="71"/>
      <c r="B31" s="71"/>
      <c r="C31" s="71"/>
      <c r="D31" s="71"/>
      <c r="E31" s="71"/>
      <c r="F31" s="71"/>
      <c r="G31" s="71"/>
      <c r="H31" s="71"/>
      <c r="I31" s="71"/>
      <c r="J31" s="71"/>
      <c r="K31" s="71"/>
      <c r="L31" s="71"/>
      <c r="M31" s="71"/>
      <c r="N31" s="71"/>
      <c r="O31" s="71"/>
      <c r="P31" s="71"/>
      <c r="Q31" s="71"/>
      <c r="R31" s="71"/>
      <c r="S31" s="71"/>
      <c r="T31" s="71"/>
      <c r="U31" s="71"/>
      <c r="V31" s="71"/>
      <c r="W31" s="71"/>
    </row>
    <row r="32" spans="1:23" x14ac:dyDescent="0.2">
      <c r="A32" s="71"/>
      <c r="B32" s="71"/>
      <c r="C32" s="71"/>
      <c r="D32" s="71"/>
      <c r="E32" s="71"/>
      <c r="F32" s="71"/>
      <c r="G32" s="71"/>
      <c r="H32" s="71"/>
      <c r="I32" s="71"/>
      <c r="J32" s="71"/>
      <c r="K32" s="71"/>
      <c r="L32" s="71"/>
      <c r="M32" s="71"/>
      <c r="N32" s="71"/>
      <c r="O32" s="71"/>
      <c r="P32" s="71"/>
      <c r="Q32" s="71"/>
      <c r="R32" s="71"/>
      <c r="S32" s="71"/>
      <c r="T32" s="71"/>
      <c r="U32" s="71"/>
      <c r="V32" s="71"/>
      <c r="W32" s="71"/>
    </row>
    <row r="33" spans="1:23" x14ac:dyDescent="0.2">
      <c r="A33" s="71"/>
      <c r="B33" s="71"/>
      <c r="C33" s="71"/>
      <c r="D33" s="71"/>
      <c r="E33" s="71"/>
      <c r="F33" s="71"/>
      <c r="G33" s="71"/>
      <c r="H33" s="71"/>
      <c r="I33" s="71"/>
      <c r="J33" s="71"/>
      <c r="K33" s="71"/>
      <c r="L33" s="71"/>
      <c r="M33" s="71"/>
      <c r="N33" s="71"/>
      <c r="O33" s="71"/>
      <c r="P33" s="71"/>
      <c r="Q33" s="71"/>
      <c r="R33" s="71"/>
      <c r="S33" s="71"/>
      <c r="T33" s="71"/>
      <c r="U33" s="71"/>
      <c r="V33" s="71"/>
      <c r="W33" s="71"/>
    </row>
    <row r="34" spans="1:23" x14ac:dyDescent="0.2">
      <c r="A34" s="71"/>
      <c r="B34" s="71"/>
      <c r="C34" s="71"/>
      <c r="D34" s="71"/>
      <c r="E34" s="71"/>
      <c r="F34" s="71"/>
      <c r="G34" s="71"/>
      <c r="H34" s="71"/>
      <c r="I34" s="71"/>
      <c r="J34" s="71"/>
      <c r="K34" s="71"/>
      <c r="L34" s="71"/>
      <c r="M34" s="71"/>
      <c r="N34" s="71"/>
      <c r="O34" s="71"/>
      <c r="P34" s="71"/>
      <c r="Q34" s="71"/>
      <c r="R34" s="71"/>
      <c r="S34" s="71"/>
      <c r="T34" s="71"/>
      <c r="U34" s="71"/>
      <c r="V34" s="71"/>
      <c r="W34" s="71"/>
    </row>
    <row r="35" spans="1:23" x14ac:dyDescent="0.2">
      <c r="A35" s="71"/>
      <c r="B35" s="71"/>
      <c r="C35" s="71"/>
      <c r="D35" s="71"/>
      <c r="E35" s="71"/>
      <c r="F35" s="71"/>
      <c r="G35" s="71"/>
      <c r="H35" s="71"/>
      <c r="I35" s="71"/>
      <c r="J35" s="71"/>
      <c r="K35" s="71"/>
      <c r="L35" s="71"/>
      <c r="M35" s="71"/>
      <c r="N35" s="71"/>
      <c r="O35" s="71"/>
      <c r="P35" s="71"/>
      <c r="Q35" s="71"/>
      <c r="R35" s="71"/>
      <c r="S35" s="71"/>
      <c r="T35" s="71"/>
      <c r="U35" s="71"/>
      <c r="V35" s="71"/>
      <c r="W35" s="71"/>
    </row>
    <row r="36" spans="1:23" x14ac:dyDescent="0.2">
      <c r="A36" s="71"/>
      <c r="B36" s="71"/>
      <c r="C36" s="71"/>
      <c r="D36" s="71"/>
      <c r="E36" s="71"/>
      <c r="F36" s="71"/>
      <c r="G36" s="71"/>
      <c r="H36" s="71"/>
      <c r="I36" s="71"/>
      <c r="J36" s="71"/>
      <c r="K36" s="71"/>
      <c r="L36" s="71"/>
      <c r="M36" s="71"/>
      <c r="N36" s="71"/>
      <c r="O36" s="71"/>
      <c r="P36" s="71"/>
      <c r="Q36" s="71"/>
      <c r="R36" s="71"/>
      <c r="S36" s="71"/>
      <c r="T36" s="71"/>
      <c r="U36" s="71"/>
      <c r="V36" s="71"/>
      <c r="W36" s="71"/>
    </row>
    <row r="37" spans="1:23" x14ac:dyDescent="0.2">
      <c r="A37" s="71"/>
      <c r="B37" s="71"/>
      <c r="C37" s="71"/>
      <c r="D37" s="71"/>
      <c r="E37" s="71"/>
      <c r="F37" s="71"/>
      <c r="G37" s="71"/>
      <c r="H37" s="71"/>
      <c r="I37" s="71"/>
      <c r="J37" s="71"/>
      <c r="K37" s="71"/>
      <c r="L37" s="71"/>
      <c r="M37" s="71"/>
      <c r="N37" s="71"/>
      <c r="O37" s="71"/>
      <c r="P37" s="71"/>
      <c r="Q37" s="71"/>
      <c r="R37" s="71"/>
      <c r="S37" s="71"/>
      <c r="T37" s="71"/>
      <c r="U37" s="71"/>
      <c r="V37" s="71"/>
      <c r="W37" s="71"/>
    </row>
    <row r="38" spans="1:23" x14ac:dyDescent="0.2">
      <c r="A38" s="71"/>
      <c r="B38" s="71"/>
      <c r="C38" s="71"/>
      <c r="D38" s="71"/>
      <c r="E38" s="71"/>
      <c r="F38" s="71"/>
      <c r="G38" s="71"/>
      <c r="H38" s="71"/>
      <c r="I38" s="71"/>
      <c r="J38" s="71"/>
      <c r="K38" s="71"/>
      <c r="L38" s="71"/>
      <c r="M38" s="71"/>
      <c r="N38" s="71"/>
      <c r="O38" s="71"/>
      <c r="P38" s="71"/>
      <c r="Q38" s="71"/>
      <c r="R38" s="71"/>
      <c r="S38" s="71"/>
      <c r="T38" s="71"/>
      <c r="U38" s="71"/>
      <c r="V38" s="71"/>
      <c r="W38" s="71"/>
    </row>
    <row r="39" spans="1:23" x14ac:dyDescent="0.2">
      <c r="A39" s="71"/>
      <c r="B39" s="71"/>
      <c r="C39" s="71"/>
      <c r="D39" s="71"/>
      <c r="E39" s="71"/>
      <c r="F39" s="71"/>
      <c r="G39" s="71"/>
      <c r="H39" s="71"/>
      <c r="I39" s="71"/>
      <c r="J39" s="71"/>
      <c r="K39" s="71"/>
      <c r="L39" s="71"/>
      <c r="M39" s="71"/>
      <c r="N39" s="71"/>
      <c r="O39" s="71"/>
      <c r="P39" s="71"/>
      <c r="Q39" s="71"/>
      <c r="R39" s="71"/>
      <c r="S39" s="71"/>
      <c r="T39" s="71"/>
      <c r="U39" s="71"/>
      <c r="V39" s="71"/>
      <c r="W39" s="71"/>
    </row>
    <row r="40" spans="1:23" x14ac:dyDescent="0.2">
      <c r="A40" s="71"/>
      <c r="B40" s="71"/>
      <c r="C40" s="71"/>
      <c r="D40" s="71"/>
      <c r="E40" s="71"/>
      <c r="F40" s="71"/>
      <c r="G40" s="71"/>
      <c r="H40" s="71"/>
      <c r="I40" s="71"/>
      <c r="J40" s="71"/>
      <c r="K40" s="71"/>
      <c r="L40" s="71"/>
      <c r="M40" s="71"/>
      <c r="N40" s="71"/>
      <c r="O40" s="71"/>
      <c r="P40" s="71"/>
      <c r="Q40" s="71"/>
      <c r="R40" s="71"/>
      <c r="S40" s="71"/>
      <c r="T40" s="71"/>
      <c r="U40" s="71"/>
      <c r="V40" s="71"/>
      <c r="W40" s="71"/>
    </row>
    <row r="41" spans="1:23" x14ac:dyDescent="0.2">
      <c r="A41" s="71"/>
      <c r="B41" s="71"/>
      <c r="C41" s="71"/>
      <c r="D41" s="71"/>
      <c r="E41" s="71"/>
      <c r="F41" s="71"/>
      <c r="G41" s="71"/>
      <c r="H41" s="71"/>
      <c r="I41" s="71"/>
      <c r="J41" s="71"/>
      <c r="K41" s="71"/>
      <c r="L41" s="71"/>
      <c r="M41" s="71"/>
      <c r="N41" s="71"/>
      <c r="O41" s="71"/>
      <c r="P41" s="71"/>
      <c r="Q41" s="71"/>
      <c r="R41" s="71"/>
      <c r="S41" s="71"/>
      <c r="T41" s="71"/>
      <c r="U41" s="71"/>
      <c r="V41" s="71"/>
      <c r="W41" s="71"/>
    </row>
    <row r="42" spans="1:23" x14ac:dyDescent="0.2">
      <c r="A42" s="71"/>
      <c r="B42" s="71"/>
      <c r="C42" s="71"/>
      <c r="D42" s="71"/>
      <c r="E42" s="71"/>
      <c r="F42" s="71"/>
      <c r="G42" s="71"/>
      <c r="H42" s="71"/>
      <c r="I42" s="71"/>
      <c r="J42" s="71"/>
      <c r="K42" s="71"/>
      <c r="L42" s="71"/>
      <c r="M42" s="71"/>
      <c r="N42" s="71"/>
      <c r="O42" s="71"/>
      <c r="P42" s="71"/>
      <c r="Q42" s="71"/>
      <c r="R42" s="71"/>
      <c r="S42" s="71"/>
      <c r="T42" s="71"/>
      <c r="U42" s="71"/>
      <c r="V42" s="71"/>
      <c r="W42" s="71"/>
    </row>
    <row r="43" spans="1:23" x14ac:dyDescent="0.2">
      <c r="A43" s="71"/>
      <c r="B43" s="71"/>
      <c r="C43" s="71"/>
      <c r="D43" s="71"/>
      <c r="E43" s="71"/>
      <c r="F43" s="71"/>
      <c r="G43" s="71"/>
      <c r="H43" s="71"/>
      <c r="I43" s="71"/>
      <c r="J43" s="71"/>
      <c r="K43" s="71"/>
      <c r="L43" s="71"/>
      <c r="M43" s="71"/>
      <c r="N43" s="71"/>
      <c r="O43" s="71"/>
      <c r="P43" s="71"/>
      <c r="Q43" s="71"/>
      <c r="R43" s="71"/>
      <c r="S43" s="71"/>
      <c r="T43" s="71"/>
      <c r="U43" s="71"/>
      <c r="V43" s="71"/>
      <c r="W43" s="71"/>
    </row>
    <row r="44" spans="1:23" x14ac:dyDescent="0.2">
      <c r="A44" s="71"/>
      <c r="B44" s="71"/>
      <c r="C44" s="71"/>
      <c r="D44" s="71"/>
      <c r="E44" s="71"/>
      <c r="F44" s="71"/>
      <c r="G44" s="71"/>
      <c r="H44" s="71"/>
      <c r="I44" s="71"/>
      <c r="J44" s="71"/>
      <c r="K44" s="71"/>
      <c r="L44" s="71"/>
      <c r="M44" s="71"/>
      <c r="N44" s="71"/>
      <c r="O44" s="71"/>
      <c r="P44" s="71"/>
      <c r="Q44" s="71"/>
      <c r="R44" s="71"/>
      <c r="S44" s="71"/>
      <c r="T44" s="71"/>
      <c r="U44" s="71"/>
      <c r="V44" s="71"/>
      <c r="W44" s="71"/>
    </row>
    <row r="45" spans="1:23" x14ac:dyDescent="0.2">
      <c r="A45" s="71"/>
      <c r="B45" s="71"/>
      <c r="C45" s="71"/>
      <c r="D45" s="71"/>
      <c r="E45" s="71"/>
      <c r="F45" s="71"/>
      <c r="G45" s="71"/>
      <c r="H45" s="71"/>
      <c r="I45" s="71"/>
      <c r="J45" s="71"/>
      <c r="K45" s="71"/>
      <c r="L45" s="71"/>
      <c r="M45" s="71"/>
      <c r="N45" s="71"/>
      <c r="O45" s="71"/>
      <c r="P45" s="71"/>
      <c r="Q45" s="71"/>
      <c r="R45" s="71"/>
      <c r="S45" s="71"/>
      <c r="T45" s="71"/>
      <c r="U45" s="71"/>
      <c r="V45" s="71"/>
      <c r="W45" s="71"/>
    </row>
    <row r="46" spans="1:23" x14ac:dyDescent="0.2">
      <c r="A46" s="71"/>
      <c r="B46" s="71"/>
      <c r="C46" s="71"/>
      <c r="D46" s="71"/>
      <c r="E46" s="71"/>
      <c r="F46" s="71"/>
      <c r="G46" s="71"/>
      <c r="H46" s="71"/>
      <c r="I46" s="71"/>
      <c r="J46" s="71"/>
      <c r="K46" s="71"/>
      <c r="L46" s="71"/>
      <c r="M46" s="71"/>
      <c r="N46" s="71"/>
      <c r="O46" s="71"/>
      <c r="P46" s="71"/>
      <c r="Q46" s="71"/>
      <c r="R46" s="71"/>
      <c r="S46" s="71"/>
      <c r="T46" s="71"/>
      <c r="U46" s="71"/>
      <c r="V46" s="71"/>
      <c r="W46" s="71"/>
    </row>
    <row r="47" spans="1:23" x14ac:dyDescent="0.2">
      <c r="A47" s="71"/>
      <c r="B47" s="71"/>
      <c r="C47" s="71"/>
      <c r="D47" s="71"/>
      <c r="E47" s="71"/>
      <c r="F47" s="71"/>
      <c r="G47" s="71"/>
      <c r="H47" s="71"/>
      <c r="I47" s="71"/>
      <c r="J47" s="71"/>
      <c r="K47" s="71"/>
      <c r="L47" s="71"/>
      <c r="M47" s="71"/>
      <c r="N47" s="71"/>
      <c r="O47" s="71"/>
      <c r="P47" s="71"/>
      <c r="Q47" s="71"/>
      <c r="R47" s="71"/>
      <c r="S47" s="71"/>
      <c r="T47" s="71"/>
      <c r="U47" s="71"/>
      <c r="V47" s="71"/>
      <c r="W47" s="71"/>
    </row>
    <row r="48" spans="1:23" x14ac:dyDescent="0.2">
      <c r="A48" s="71"/>
      <c r="B48" s="71"/>
      <c r="C48" s="71"/>
      <c r="D48" s="71"/>
      <c r="E48" s="71"/>
      <c r="F48" s="71"/>
      <c r="G48" s="71"/>
      <c r="H48" s="71"/>
      <c r="I48" s="71"/>
      <c r="J48" s="71"/>
      <c r="K48" s="71"/>
      <c r="L48" s="71"/>
      <c r="M48" s="71"/>
      <c r="N48" s="71"/>
      <c r="O48" s="71"/>
      <c r="P48" s="71"/>
      <c r="Q48" s="71"/>
      <c r="R48" s="71"/>
      <c r="S48" s="71"/>
      <c r="T48" s="71"/>
      <c r="U48" s="71"/>
      <c r="V48" s="71"/>
      <c r="W48" s="71"/>
    </row>
    <row r="49" spans="1:23" x14ac:dyDescent="0.2">
      <c r="A49" s="71"/>
      <c r="B49" s="71"/>
      <c r="C49" s="71"/>
      <c r="D49" s="71"/>
      <c r="E49" s="71"/>
      <c r="F49" s="71"/>
      <c r="G49" s="71"/>
      <c r="H49" s="71"/>
      <c r="I49" s="71"/>
      <c r="J49" s="71"/>
      <c r="K49" s="71"/>
      <c r="L49" s="71"/>
      <c r="M49" s="71"/>
      <c r="N49" s="71"/>
      <c r="O49" s="71"/>
      <c r="P49" s="71"/>
      <c r="Q49" s="71"/>
      <c r="R49" s="71"/>
      <c r="S49" s="71"/>
      <c r="T49" s="71"/>
      <c r="U49" s="71"/>
      <c r="V49" s="71"/>
      <c r="W49" s="71"/>
    </row>
    <row r="50" spans="1:23" x14ac:dyDescent="0.2">
      <c r="A50" s="71"/>
      <c r="B50" s="71"/>
      <c r="C50" s="71"/>
      <c r="D50" s="71"/>
      <c r="E50" s="71"/>
      <c r="F50" s="71"/>
      <c r="G50" s="71"/>
      <c r="H50" s="71"/>
      <c r="I50" s="71"/>
      <c r="J50" s="71"/>
      <c r="K50" s="71"/>
      <c r="L50" s="71"/>
      <c r="M50" s="71"/>
      <c r="N50" s="71"/>
      <c r="O50" s="71"/>
      <c r="P50" s="71"/>
      <c r="Q50" s="71"/>
      <c r="R50" s="71"/>
      <c r="S50" s="71"/>
      <c r="T50" s="71"/>
      <c r="U50" s="71"/>
      <c r="V50" s="71"/>
      <c r="W50" s="71"/>
    </row>
    <row r="51" spans="1:23" x14ac:dyDescent="0.2">
      <c r="A51" s="71"/>
      <c r="B51" s="71"/>
      <c r="C51" s="71"/>
      <c r="D51" s="71"/>
      <c r="E51" s="71"/>
      <c r="F51" s="71"/>
      <c r="G51" s="71"/>
      <c r="H51" s="71"/>
      <c r="I51" s="71"/>
      <c r="J51" s="71"/>
      <c r="K51" s="71"/>
      <c r="L51" s="71"/>
      <c r="M51" s="71"/>
      <c r="N51" s="71"/>
      <c r="O51" s="71"/>
      <c r="P51" s="71"/>
      <c r="Q51" s="71"/>
      <c r="R51" s="71"/>
      <c r="S51" s="71"/>
      <c r="T51" s="71"/>
      <c r="U51" s="71"/>
      <c r="V51" s="71"/>
      <c r="W51" s="71"/>
    </row>
    <row r="52" spans="1:23" x14ac:dyDescent="0.2">
      <c r="A52" s="71"/>
      <c r="B52" s="71"/>
      <c r="C52" s="71"/>
      <c r="D52" s="71"/>
      <c r="E52" s="71"/>
      <c r="F52" s="71"/>
      <c r="G52" s="71"/>
      <c r="H52" s="71"/>
      <c r="I52" s="71"/>
      <c r="J52" s="71"/>
      <c r="K52" s="71"/>
      <c r="L52" s="71"/>
      <c r="M52" s="71"/>
      <c r="N52" s="71"/>
      <c r="O52" s="71"/>
      <c r="P52" s="71"/>
      <c r="Q52" s="71"/>
      <c r="R52" s="71"/>
      <c r="S52" s="71"/>
      <c r="T52" s="71"/>
      <c r="U52" s="71"/>
      <c r="V52" s="71"/>
      <c r="W52" s="71"/>
    </row>
    <row r="53" spans="1:23" x14ac:dyDescent="0.2">
      <c r="A53" s="71"/>
      <c r="B53" s="71"/>
      <c r="C53" s="71"/>
      <c r="D53" s="71"/>
      <c r="E53" s="71"/>
      <c r="F53" s="71"/>
      <c r="G53" s="71"/>
      <c r="H53" s="71"/>
      <c r="I53" s="71"/>
      <c r="J53" s="71"/>
      <c r="K53" s="71"/>
      <c r="L53" s="71"/>
      <c r="M53" s="71"/>
      <c r="N53" s="71"/>
      <c r="O53" s="71"/>
      <c r="P53" s="71"/>
      <c r="Q53" s="71"/>
      <c r="R53" s="71"/>
      <c r="S53" s="71"/>
      <c r="T53" s="71"/>
      <c r="U53" s="71"/>
      <c r="V53" s="71"/>
      <c r="W53" s="71"/>
    </row>
    <row r="54" spans="1:23" x14ac:dyDescent="0.2">
      <c r="A54" s="71"/>
      <c r="B54" s="71"/>
      <c r="C54" s="71"/>
      <c r="D54" s="71"/>
      <c r="E54" s="71"/>
      <c r="F54" s="71"/>
      <c r="G54" s="71"/>
      <c r="H54" s="71"/>
      <c r="I54" s="71"/>
      <c r="J54" s="71"/>
      <c r="K54" s="71"/>
      <c r="L54" s="71"/>
      <c r="M54" s="71"/>
      <c r="N54" s="71"/>
      <c r="O54" s="71"/>
      <c r="P54" s="71"/>
      <c r="Q54" s="71"/>
      <c r="R54" s="71"/>
      <c r="S54" s="71"/>
      <c r="T54" s="71"/>
      <c r="U54" s="71"/>
      <c r="V54" s="71"/>
      <c r="W54" s="71"/>
    </row>
    <row r="55" spans="1:23" x14ac:dyDescent="0.2">
      <c r="A55" s="71"/>
      <c r="B55" s="71"/>
      <c r="C55" s="71"/>
      <c r="D55" s="71"/>
      <c r="E55" s="71"/>
      <c r="F55" s="71"/>
      <c r="G55" s="71"/>
      <c r="H55" s="71"/>
      <c r="I55" s="71"/>
      <c r="J55" s="71"/>
      <c r="K55" s="71"/>
      <c r="L55" s="71"/>
      <c r="M55" s="71"/>
      <c r="N55" s="71"/>
      <c r="O55" s="71"/>
      <c r="P55" s="71"/>
      <c r="Q55" s="71"/>
      <c r="R55" s="71"/>
      <c r="S55" s="71"/>
      <c r="T55" s="71"/>
      <c r="U55" s="71"/>
      <c r="V55" s="71"/>
      <c r="W55" s="71"/>
    </row>
    <row r="56" spans="1:23" x14ac:dyDescent="0.2">
      <c r="A56" s="71"/>
      <c r="B56" s="71"/>
      <c r="C56" s="71"/>
      <c r="D56" s="71"/>
      <c r="E56" s="71"/>
      <c r="F56" s="71"/>
      <c r="G56" s="71"/>
      <c r="H56" s="71"/>
      <c r="I56" s="71"/>
      <c r="J56" s="71"/>
      <c r="K56" s="71"/>
      <c r="L56" s="71"/>
      <c r="M56" s="71"/>
      <c r="N56" s="71"/>
      <c r="O56" s="71"/>
      <c r="P56" s="71"/>
      <c r="Q56" s="71"/>
      <c r="R56" s="71"/>
      <c r="S56" s="71"/>
      <c r="T56" s="71"/>
      <c r="U56" s="71"/>
      <c r="V56" s="71"/>
      <c r="W56" s="71"/>
    </row>
    <row r="57" spans="1:23" x14ac:dyDescent="0.2">
      <c r="A57" s="71"/>
      <c r="B57" s="71"/>
      <c r="C57" s="71"/>
      <c r="D57" s="71"/>
      <c r="E57" s="71"/>
      <c r="F57" s="71"/>
      <c r="G57" s="71"/>
      <c r="H57" s="71"/>
      <c r="I57" s="71"/>
      <c r="J57" s="71"/>
      <c r="K57" s="71"/>
      <c r="L57" s="71"/>
      <c r="M57" s="71"/>
      <c r="N57" s="71"/>
      <c r="O57" s="71"/>
      <c r="P57" s="71"/>
      <c r="Q57" s="71"/>
      <c r="R57" s="71"/>
      <c r="S57" s="71"/>
      <c r="T57" s="71"/>
      <c r="U57" s="71"/>
      <c r="V57" s="71"/>
      <c r="W57" s="71"/>
    </row>
    <row r="58" spans="1:23" x14ac:dyDescent="0.2">
      <c r="A58" s="71"/>
      <c r="B58" s="71"/>
      <c r="C58" s="71"/>
      <c r="D58" s="71"/>
      <c r="E58" s="71"/>
      <c r="F58" s="71"/>
      <c r="G58" s="71"/>
      <c r="H58" s="71"/>
      <c r="I58" s="71"/>
      <c r="J58" s="71"/>
      <c r="K58" s="71"/>
      <c r="L58" s="71"/>
      <c r="M58" s="71"/>
      <c r="N58" s="71"/>
      <c r="O58" s="71"/>
      <c r="P58" s="71"/>
      <c r="Q58" s="71"/>
      <c r="R58" s="71"/>
      <c r="S58" s="71"/>
      <c r="T58" s="71"/>
      <c r="U58" s="71"/>
      <c r="V58" s="71"/>
      <c r="W58" s="7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F69"/>
  <sheetViews>
    <sheetView zoomScale="80" zoomScaleNormal="80" workbookViewId="0">
      <pane xSplit="1" ySplit="8" topLeftCell="R33" activePane="bottomRight" state="frozen"/>
      <selection pane="topRight" activeCell="B1" sqref="B1"/>
      <selection pane="bottomLeft" activeCell="A9" sqref="A9"/>
      <selection pane="bottomRight" sqref="A1:AF1048576"/>
    </sheetView>
  </sheetViews>
  <sheetFormatPr defaultColWidth="14.5703125" defaultRowHeight="12.75" x14ac:dyDescent="0.2"/>
  <cols>
    <col min="1" max="2" width="0" style="1" hidden="1" customWidth="1"/>
    <col min="3" max="3" width="0" style="3" hidden="1" customWidth="1"/>
    <col min="4" max="22" width="0" style="1" hidden="1" customWidth="1"/>
    <col min="23" max="23" width="0" hidden="1" customWidth="1"/>
    <col min="24" max="32" width="0" style="1" hidden="1" customWidth="1"/>
    <col min="33" max="16384" width="14.5703125" style="1"/>
  </cols>
  <sheetData>
    <row r="1" spans="1:32" s="5" customFormat="1" ht="73.150000000000006" customHeight="1" x14ac:dyDescent="0.2">
      <c r="A1" s="5" t="s">
        <v>133</v>
      </c>
      <c r="B1" s="5" t="s">
        <v>134</v>
      </c>
      <c r="C1" s="90" t="s">
        <v>135</v>
      </c>
      <c r="D1" s="5" t="s">
        <v>136</v>
      </c>
      <c r="E1" s="5" t="s">
        <v>137</v>
      </c>
      <c r="F1" s="5" t="s">
        <v>138</v>
      </c>
      <c r="G1" s="5" t="s">
        <v>139</v>
      </c>
      <c r="H1" s="5" t="s">
        <v>192</v>
      </c>
      <c r="I1" s="5" t="s">
        <v>193</v>
      </c>
      <c r="J1" s="5" t="s">
        <v>140</v>
      </c>
      <c r="K1" s="5" t="s">
        <v>141</v>
      </c>
      <c r="L1" s="5" t="s">
        <v>142</v>
      </c>
      <c r="M1" s="9" t="s">
        <v>181</v>
      </c>
      <c r="N1" s="91" t="s">
        <v>143</v>
      </c>
      <c r="O1" s="9" t="s">
        <v>182</v>
      </c>
      <c r="P1" s="9" t="s">
        <v>191</v>
      </c>
      <c r="Q1" s="148" t="s">
        <v>194</v>
      </c>
      <c r="R1" s="7" t="s">
        <v>184</v>
      </c>
      <c r="X1" s="92"/>
      <c r="Y1" s="92"/>
      <c r="Z1" s="92"/>
      <c r="AA1" s="92"/>
      <c r="AB1" s="264" t="s">
        <v>144</v>
      </c>
      <c r="AC1" s="264"/>
      <c r="AD1" s="264"/>
      <c r="AE1" s="264"/>
      <c r="AF1" s="264"/>
    </row>
    <row r="2" spans="1:32" s="5" customFormat="1" ht="16.899999999999999" customHeight="1" x14ac:dyDescent="0.2">
      <c r="C2" s="90"/>
      <c r="J2" s="1" t="s">
        <v>145</v>
      </c>
      <c r="M2" s="9"/>
      <c r="O2" s="9"/>
      <c r="P2" s="9"/>
      <c r="R2" s="93">
        <v>0</v>
      </c>
      <c r="S2" s="94" t="s">
        <v>146</v>
      </c>
      <c r="T2" s="94"/>
      <c r="X2" s="92"/>
      <c r="Y2" s="92"/>
      <c r="Z2" s="92"/>
      <c r="AA2" s="92"/>
      <c r="AB2" s="95"/>
      <c r="AC2" s="95"/>
      <c r="AD2" s="95"/>
      <c r="AE2" s="95"/>
      <c r="AF2" s="95"/>
    </row>
    <row r="3" spans="1:32" s="5" customFormat="1" ht="17.45" customHeight="1" x14ac:dyDescent="0.2">
      <c r="C3" s="90"/>
      <c r="J3" s="1">
        <f>+J4</f>
        <v>2.5999999999999999E-2</v>
      </c>
      <c r="M3" s="9"/>
      <c r="O3" s="9"/>
      <c r="P3" s="9"/>
      <c r="R3" s="93">
        <v>0.8</v>
      </c>
      <c r="S3" s="94" t="s">
        <v>178</v>
      </c>
      <c r="T3" s="94"/>
    </row>
    <row r="4" spans="1:32" s="5" customFormat="1" ht="17.45" customHeight="1" x14ac:dyDescent="0.2">
      <c r="C4" s="90"/>
      <c r="J4" s="5">
        <v>2.5999999999999999E-2</v>
      </c>
      <c r="M4" s="9"/>
      <c r="O4" s="9"/>
      <c r="P4" s="9"/>
      <c r="R4" s="141">
        <f>IF(VLEESKUIKENS!$H$16=0,VLEESKUIKENS!F14,VLEESKUIKENS!$H$16)</f>
        <v>0</v>
      </c>
      <c r="S4" s="94" t="s">
        <v>147</v>
      </c>
      <c r="T4" s="94"/>
      <c r="AC4" s="265" t="s">
        <v>148</v>
      </c>
      <c r="AD4" s="265"/>
      <c r="AE4" s="266" t="s">
        <v>149</v>
      </c>
      <c r="AF4" s="266"/>
    </row>
    <row r="5" spans="1:32" s="5" customFormat="1" ht="17.45" customHeight="1" x14ac:dyDescent="0.2">
      <c r="C5" s="90"/>
      <c r="M5" s="9"/>
      <c r="O5" s="9"/>
      <c r="P5" s="9"/>
      <c r="R5" s="141">
        <f>VLEESKUIKENS!$F$20</f>
        <v>0</v>
      </c>
      <c r="S5" s="94" t="s">
        <v>190</v>
      </c>
      <c r="T5" s="94"/>
      <c r="Y5" s="97"/>
      <c r="Z5" s="97"/>
      <c r="AB5" t="s">
        <v>150</v>
      </c>
      <c r="AC5" s="98" t="s">
        <v>151</v>
      </c>
      <c r="AD5" s="99" t="s">
        <v>152</v>
      </c>
      <c r="AE5" s="98" t="s">
        <v>151</v>
      </c>
      <c r="AF5" s="99" t="s">
        <v>152</v>
      </c>
    </row>
    <row r="6" spans="1:32" s="12" customFormat="1" x14ac:dyDescent="0.2">
      <c r="A6" s="5"/>
      <c r="B6" s="5"/>
      <c r="C6" s="90"/>
      <c r="D6" s="5"/>
      <c r="E6" s="5"/>
      <c r="F6" s="5"/>
      <c r="G6" s="5"/>
      <c r="H6" s="5"/>
      <c r="I6" s="5"/>
      <c r="J6" s="5"/>
      <c r="K6" s="5"/>
      <c r="L6" s="5"/>
      <c r="M6" s="9"/>
      <c r="N6" s="5"/>
      <c r="O6" s="9"/>
      <c r="P6" s="187"/>
      <c r="Q6" s="5"/>
      <c r="R6" s="96">
        <f>IF(VLEESKUIKENS!$L$20="chemische wasser 35%",35%,IF(VLEESKUIKENS!$L$20="chemische wasser 70%",70%,IF(VLEESKUIKENS!$L$20="bio wasser 60%",60%,IF(VLEESKUIKENS!$L$20="bio wasser 75%",75%,IF(VLEESKUIKENS!$L$20="biofilter",80%,IF(VLEESKUIKENS!$L$20="waterluchtwassysteem",33%,IF(VLEESKUIKENS!$L$20="droogfilterwand",40%,IF(VLEESKUIKENS!$L$20="ionisatiefilter",57%,IF(VLEESKUIKENS!$L$20="LUCHTCONDITIONERINGSUNIT",IF(VLEESKUIKENS!$F$24="Niet alle lucht gaat door luchtconditioneringsunit, dus niet combineren met droog stoffilter","error",80%),0)))))))))</f>
        <v>0</v>
      </c>
      <c r="S6" s="94" t="s">
        <v>180</v>
      </c>
      <c r="T6" s="94"/>
      <c r="W6" s="12" t="s">
        <v>3</v>
      </c>
      <c r="X6" s="5"/>
      <c r="AB6"/>
      <c r="AC6" s="100"/>
      <c r="AD6" s="101"/>
      <c r="AE6" s="100"/>
      <c r="AF6" s="101"/>
    </row>
    <row r="7" spans="1:32" x14ac:dyDescent="0.2">
      <c r="A7" s="5"/>
      <c r="B7" s="5"/>
      <c r="C7" s="90"/>
      <c r="D7" s="5"/>
      <c r="E7" s="5"/>
      <c r="F7" s="5"/>
      <c r="G7" s="5"/>
      <c r="H7" s="5"/>
      <c r="I7" s="5"/>
      <c r="J7" s="5"/>
      <c r="K7" s="5"/>
      <c r="L7" s="5"/>
      <c r="M7" s="9"/>
      <c r="N7" s="5"/>
      <c r="O7" s="9"/>
      <c r="P7" s="190">
        <f>Q8+P8</f>
        <v>0</v>
      </c>
      <c r="Q7" s="5"/>
      <c r="R7" s="189">
        <f>VLEESKUIKENS!$F$14</f>
        <v>0</v>
      </c>
      <c r="S7" s="94" t="s">
        <v>195</v>
      </c>
      <c r="T7" s="94"/>
      <c r="V7" s="143"/>
      <c r="W7" s="13"/>
      <c r="X7" s="5"/>
      <c r="AA7" s="5" t="s">
        <v>153</v>
      </c>
      <c r="AB7" s="102" t="s">
        <v>154</v>
      </c>
      <c r="AC7" s="103"/>
      <c r="AD7" s="104"/>
      <c r="AE7" s="103"/>
      <c r="AF7" s="104"/>
    </row>
    <row r="8" spans="1:32" x14ac:dyDescent="0.2">
      <c r="A8" s="5"/>
      <c r="B8" s="5"/>
      <c r="C8" s="90"/>
      <c r="D8" s="5"/>
      <c r="E8" s="5"/>
      <c r="F8" s="5"/>
      <c r="G8" s="5"/>
      <c r="H8" s="5"/>
      <c r="I8" s="5"/>
      <c r="J8" s="5"/>
      <c r="K8" s="5"/>
      <c r="L8" s="149">
        <f>$L$57+1</f>
        <v>1</v>
      </c>
      <c r="M8" s="175">
        <f>MIN(95%,IF(M57&lt;50%,$M$57*99%,M57))</f>
        <v>0</v>
      </c>
      <c r="N8" s="96">
        <f>$N$57</f>
        <v>0</v>
      </c>
      <c r="O8" s="175">
        <f>$O$57*99.6%</f>
        <v>0</v>
      </c>
      <c r="P8" s="175">
        <f>$P$57*99%</f>
        <v>0</v>
      </c>
      <c r="Q8" s="149">
        <f>MIN(95%,IF(Q57&gt;42%,Q57*1.025,IF($Q$57&lt;24%,Q57,IF(Q57&lt;35.5%,Q57*1.05,Q57))))</f>
        <v>0</v>
      </c>
      <c r="R8" s="149">
        <f>ROUND($R$57,3)</f>
        <v>0</v>
      </c>
      <c r="S8" s="149">
        <f>ROUND($S$57,3)</f>
        <v>0</v>
      </c>
      <c r="T8" s="149">
        <f>ROUND($T$57,3)</f>
        <v>0</v>
      </c>
      <c r="U8" s="221">
        <f>$U$57</f>
        <v>0</v>
      </c>
      <c r="V8" s="149">
        <f>$V$57</f>
        <v>0</v>
      </c>
      <c r="W8" s="149">
        <f>$W$57</f>
        <v>0</v>
      </c>
      <c r="X8" s="105" t="s">
        <v>155</v>
      </c>
      <c r="AB8" s="106" t="s">
        <v>156</v>
      </c>
      <c r="AC8" s="107">
        <v>13</v>
      </c>
      <c r="AD8" s="108">
        <v>19</v>
      </c>
      <c r="AE8" s="107">
        <v>13</v>
      </c>
      <c r="AF8" s="108">
        <v>19</v>
      </c>
    </row>
    <row r="9" spans="1:32" ht="57" customHeight="1" x14ac:dyDescent="0.2">
      <c r="A9" s="12">
        <v>0</v>
      </c>
      <c r="B9" s="12">
        <v>42</v>
      </c>
      <c r="C9" s="85"/>
      <c r="D9" s="12"/>
      <c r="E9" s="12"/>
      <c r="F9" s="12"/>
      <c r="G9" s="12"/>
      <c r="H9" s="12"/>
      <c r="I9" s="12"/>
      <c r="J9" s="12"/>
      <c r="K9" s="109">
        <v>1</v>
      </c>
      <c r="L9" s="12"/>
      <c r="M9" s="176"/>
      <c r="N9" s="12"/>
      <c r="O9" s="176" t="s">
        <v>3</v>
      </c>
      <c r="P9" s="188">
        <f>O8+P8</f>
        <v>0</v>
      </c>
      <c r="Q9" s="12" t="s">
        <v>3</v>
      </c>
      <c r="R9" s="150" t="s">
        <v>189</v>
      </c>
      <c r="S9" s="145" t="s">
        <v>183</v>
      </c>
      <c r="T9" s="145" t="s">
        <v>185</v>
      </c>
      <c r="U9" s="152" t="s">
        <v>197</v>
      </c>
      <c r="V9" s="146" t="s">
        <v>179</v>
      </c>
      <c r="W9" s="173" t="s">
        <v>187</v>
      </c>
      <c r="X9" s="12"/>
      <c r="AB9" s="110" t="s">
        <v>157</v>
      </c>
      <c r="AC9" s="107">
        <v>3</v>
      </c>
      <c r="AD9" s="108">
        <v>3</v>
      </c>
      <c r="AE9" s="107">
        <v>3</v>
      </c>
      <c r="AF9" s="108">
        <v>3</v>
      </c>
    </row>
    <row r="10" spans="1:32" x14ac:dyDescent="0.2">
      <c r="A10" s="1">
        <v>1</v>
      </c>
      <c r="B10" s="1">
        <v>53</v>
      </c>
      <c r="C10" s="3">
        <f t="shared" ref="C10:C51" si="0">(B10/1000)^0.75</f>
        <v>0.11046047392264177</v>
      </c>
      <c r="D10" s="1">
        <v>14</v>
      </c>
      <c r="E10" s="4">
        <v>0.14925531136914977</v>
      </c>
      <c r="F10" s="4">
        <f>E10-G10</f>
        <v>0.14925531136914977</v>
      </c>
      <c r="G10" s="160">
        <f t="shared" ref="G10:G35" si="1">IF($R$4&gt;0&lt;E10,E10,IF($R$4&gt;E10,E10,$R$4))</f>
        <v>0</v>
      </c>
      <c r="H10" s="160">
        <f t="shared" ref="H10:H34" si="2">IF(E10&lt;$R$5,E10-G10,$R$5)</f>
        <v>0</v>
      </c>
      <c r="I10" s="160">
        <f t="shared" ref="I10:I41" si="3">MIN(R$5,E10-G10)</f>
        <v>0</v>
      </c>
      <c r="J10" s="3">
        <v>0.33639999999999998</v>
      </c>
      <c r="K10" s="6">
        <f>K9-0.0017</f>
        <v>0.99829999999999997</v>
      </c>
      <c r="L10" s="3">
        <f>($J10-$J$3)/1000*$E10*24*365*$K10</f>
        <v>0.40515078495101986</v>
      </c>
      <c r="M10" s="177">
        <f>IF(E10&gt;$R$5,L10-(R$5)/E10*L10*99%,L10-(E10)/E10*L10*99%)</f>
        <v>0.40515078495101986</v>
      </c>
      <c r="N10" s="111">
        <f t="shared" ref="N10:N37" si="4">(((($J10*(1-$R$2))-$J$3)/1000*$F10*24*365*$K10)*(1-R$5))+(((($J10*(1-$R$2))-$J$3)/1000*$G10*24*365*$K10)*(1-R$3))</f>
        <v>0.40515078495101986</v>
      </c>
      <c r="O10" s="177">
        <f>(((($J10)-$J$3)/1000*$F10*24*365*$K10))+(((($J10)-$J$3)/1000*$G10*24*365*$K10)*(1-R$3))</f>
        <v>0.40515078495101986</v>
      </c>
      <c r="P10" s="177">
        <f t="shared" ref="P10:P50" si="5">IF(I10=0,L10,IF(I10&gt;$R$5,L10-(R$5)/E10*L10*99%,L10-(I10)/E10*L10*99%))</f>
        <v>0.40515078495101986</v>
      </c>
      <c r="Q10" s="3">
        <f>(((($J10)-$J$3)/1000*$F10*24*365*$K10))+(((($J10)-$J$3)/1000*$G10*24*365*$K10)*(1-95%))</f>
        <v>0.40515078495101986</v>
      </c>
      <c r="R10" s="158">
        <f>IF(E10-G10-H10&gt;=0,L10-((E10-G10*80%-H10*95%)/E10*L10)*$R$6,IF(G10&gt;H10,L10-((E10-G10)/E10*L10)*$R$6,L10-((E10-H10)/E10*L10)*$R$6))</f>
        <v>0.40515078495101986</v>
      </c>
      <c r="S10" s="158">
        <f>IF(E10-G10-H10&gt;=0,L10-((E10-G10-H10)/E10*L10)*$R$6,IF(G10&gt;H10,L10-((E10-G10)/E10*L10)*$R$6,L10-((E10-H10)/E10*L10)*$R$6))</f>
        <v>0.40515078495101986</v>
      </c>
      <c r="T10" s="158">
        <f>L10-(E10-H10)/E10*L10*$R$6</f>
        <v>0.40515078495101986</v>
      </c>
      <c r="U10" s="153">
        <f>IF(VLEESKUIKENS!$H$15="ja",L10-((E10-G10*95%-I10)/E10*L10)*$R$6,L10-((E10-G10*80%-I10)/E10*L10)*$R$6)</f>
        <v>0.40515078495101986</v>
      </c>
      <c r="V10" s="86">
        <f t="shared" ref="V10:V33" si="6">L10-((E10-G10-I10)/E10*L10)*$R$6</f>
        <v>0.40515078495101986</v>
      </c>
      <c r="W10" s="174">
        <f>L10-(E10-H10)/E10*L10*$R$6</f>
        <v>0.40515078495101986</v>
      </c>
      <c r="X10" s="204">
        <f>M10/L10</f>
        <v>1</v>
      </c>
      <c r="AB10" s="110" t="s">
        <v>158</v>
      </c>
      <c r="AC10" s="107">
        <f t="shared" ref="AC10:AD10" si="7">AC11-AC8-AC9</f>
        <v>3</v>
      </c>
      <c r="AD10" s="108">
        <f t="shared" si="7"/>
        <v>11</v>
      </c>
      <c r="AE10" s="107">
        <f>AE11-AE8-AE9</f>
        <v>3</v>
      </c>
      <c r="AF10" s="108">
        <f t="shared" ref="AF10" si="8">AF11-AF8-AF9</f>
        <v>11</v>
      </c>
    </row>
    <row r="11" spans="1:32" x14ac:dyDescent="0.2">
      <c r="A11" s="1">
        <v>2</v>
      </c>
      <c r="B11" s="1">
        <v>64</v>
      </c>
      <c r="C11" s="3">
        <f t="shared" si="0"/>
        <v>0.12724331660272806</v>
      </c>
      <c r="D11" s="1">
        <v>16</v>
      </c>
      <c r="E11" s="4">
        <v>0.16344202473882499</v>
      </c>
      <c r="F11" s="4">
        <f t="shared" ref="F11:F51" si="9">E11-G11</f>
        <v>0.16344202473882499</v>
      </c>
      <c r="G11" s="160">
        <f t="shared" si="1"/>
        <v>0</v>
      </c>
      <c r="H11" s="160">
        <f t="shared" si="2"/>
        <v>0</v>
      </c>
      <c r="I11" s="160">
        <f t="shared" si="3"/>
        <v>0</v>
      </c>
      <c r="J11" s="3">
        <v>0.48144723946899115</v>
      </c>
      <c r="K11" s="6">
        <v>0.996</v>
      </c>
      <c r="L11" s="3">
        <f t="shared" ref="L11:L49" si="10">($J11-$J$3)/1000*$E11*24*365*$K11</f>
        <v>0.64947920803628123</v>
      </c>
      <c r="M11" s="177">
        <f t="shared" ref="M11:M51" si="11">IF(E11&gt;$R$5,L11-(R$5)/E11*L11*99%,L11-(E11)/E11*L11*99%)</f>
        <v>0.64947920803628123</v>
      </c>
      <c r="N11" s="111">
        <f t="shared" si="4"/>
        <v>0.64947920803628123</v>
      </c>
      <c r="O11" s="177">
        <f t="shared" ref="O11:O51" si="12">(((($J11)-$J$3)/1000*$F11*24*365*$K11))+(((($J11*(1-$R$2))-$J$3)/1000*$G11*24*365*$K11)*(1-R$3))</f>
        <v>0.64947920803628123</v>
      </c>
      <c r="P11" s="177">
        <f t="shared" si="5"/>
        <v>0.64947920803628123</v>
      </c>
      <c r="Q11" s="3">
        <f t="shared" ref="Q11:Q51" si="13">(((($J11)-$J$3)/1000*$F11*24*365*$K11))+(((($J11)-$J$3)/1000*$G11*24*365*$K11)*(1-95%))</f>
        <v>0.64947920803628123</v>
      </c>
      <c r="R11" s="158">
        <f t="shared" ref="R11:R50" si="14">IF(E11-G11-H11&gt;=0,L11-((E11-G11*80%-H11*95%)/E11*L11)*$R$6,IF(G11&gt;H11,L11-((E11-G11)/E11*L11)*$R$6,L11-((E11-H11)/E11*L11)*$R$6))</f>
        <v>0.64947920803628123</v>
      </c>
      <c r="S11" s="158">
        <f t="shared" ref="S11:S51" si="15">IF(E11-G11-H11&gt;=0,L11-((E11-G11-H11)/E11*L11)*$R$6,IF(G11&gt;H11,L11-((E11-G11)/E11*L11)*$R$6,L11-((E11-H11)/E11*L11)*$R$6))</f>
        <v>0.64947920803628123</v>
      </c>
      <c r="T11" s="158">
        <f t="shared" ref="T11:T51" si="16">L11-(E11-H11)/E11*L11*$R$6</f>
        <v>0.64947920803628123</v>
      </c>
      <c r="U11" s="153">
        <f>IF(VLEESKUIKENS!$H$15="ja",L11-((E11-G11*95%-I11)/E11*L11)*$R$6,L11-((E11-G11*80%-I11)/E11*L11)*$R$6)</f>
        <v>0.64947920803628123</v>
      </c>
      <c r="V11" s="86">
        <f t="shared" si="6"/>
        <v>0.64947920803628123</v>
      </c>
      <c r="W11" s="174">
        <f t="shared" ref="W11:W51" si="17">L11-(E11-H11)/E11*L11*$R$6</f>
        <v>0.64947920803628123</v>
      </c>
      <c r="X11" s="204">
        <f t="shared" ref="X11:X51" si="18">M11/L11</f>
        <v>1</v>
      </c>
      <c r="AB11" s="110" t="s">
        <v>159</v>
      </c>
      <c r="AC11" s="100">
        <v>19</v>
      </c>
      <c r="AD11" s="101">
        <v>33</v>
      </c>
      <c r="AE11" s="100">
        <v>19</v>
      </c>
      <c r="AF11" s="101">
        <v>33</v>
      </c>
    </row>
    <row r="12" spans="1:32" x14ac:dyDescent="0.2">
      <c r="A12" s="1">
        <v>3</v>
      </c>
      <c r="B12" s="1">
        <v>80</v>
      </c>
      <c r="C12" s="3">
        <f t="shared" si="0"/>
        <v>0.15042412372345573</v>
      </c>
      <c r="D12" s="1">
        <v>18</v>
      </c>
      <c r="E12" s="4">
        <v>0.17897718483637273</v>
      </c>
      <c r="F12" s="4">
        <f t="shared" si="9"/>
        <v>0.17897718483637273</v>
      </c>
      <c r="G12" s="160">
        <f t="shared" si="1"/>
        <v>0</v>
      </c>
      <c r="H12" s="160">
        <f t="shared" si="2"/>
        <v>0</v>
      </c>
      <c r="I12" s="160">
        <f t="shared" si="3"/>
        <v>0</v>
      </c>
      <c r="J12" s="3">
        <v>0.59377662936378461</v>
      </c>
      <c r="K12" s="6">
        <v>0.99399999999999999</v>
      </c>
      <c r="L12" s="3">
        <f t="shared" si="10"/>
        <v>0.88484189165968985</v>
      </c>
      <c r="M12" s="177">
        <f t="shared" si="11"/>
        <v>0.88484189165968985</v>
      </c>
      <c r="N12" s="111">
        <f t="shared" si="4"/>
        <v>0.88484189165968985</v>
      </c>
      <c r="O12" s="177">
        <f t="shared" si="12"/>
        <v>0.88484189165968985</v>
      </c>
      <c r="P12" s="177">
        <f t="shared" si="5"/>
        <v>0.88484189165968985</v>
      </c>
      <c r="Q12" s="3">
        <f t="shared" si="13"/>
        <v>0.88484189165968985</v>
      </c>
      <c r="R12" s="158">
        <f t="shared" si="14"/>
        <v>0.88484189165968985</v>
      </c>
      <c r="S12" s="158">
        <f t="shared" si="15"/>
        <v>0.88484189165968985</v>
      </c>
      <c r="T12" s="158">
        <f t="shared" si="16"/>
        <v>0.88484189165968985</v>
      </c>
      <c r="U12" s="153">
        <f>IF(VLEESKUIKENS!$H$15="ja",L12-((E12-G12*95%-I12)/E12*L12)*$R$6,L12-((E12-G12*80%-I12)/E12*L12)*$R$6)</f>
        <v>0.88484189165968985</v>
      </c>
      <c r="V12" s="86">
        <f t="shared" si="6"/>
        <v>0.88484189165968985</v>
      </c>
      <c r="W12" s="174">
        <f t="shared" si="17"/>
        <v>0.88484189165968985</v>
      </c>
      <c r="X12" s="204">
        <f t="shared" si="18"/>
        <v>1</v>
      </c>
      <c r="AB12" s="110" t="s">
        <v>160</v>
      </c>
      <c r="AC12" s="113">
        <f t="shared" ref="AC12:AD12" si="19">365/AC11</f>
        <v>19.210526315789473</v>
      </c>
      <c r="AD12" s="114">
        <f t="shared" si="19"/>
        <v>11.060606060606061</v>
      </c>
      <c r="AE12" s="113">
        <f>365/AE11</f>
        <v>19.210526315789473</v>
      </c>
      <c r="AF12" s="114">
        <f t="shared" ref="AF12" si="20">365/AF11</f>
        <v>11.060606060606061</v>
      </c>
    </row>
    <row r="13" spans="1:32" x14ac:dyDescent="0.2">
      <c r="A13" s="1">
        <v>4</v>
      </c>
      <c r="B13" s="1">
        <v>98</v>
      </c>
      <c r="C13" s="3">
        <f t="shared" si="0"/>
        <v>0.17515379713639415</v>
      </c>
      <c r="D13" s="1">
        <v>20</v>
      </c>
      <c r="E13" s="4">
        <v>0.19598896148735642</v>
      </c>
      <c r="F13" s="4">
        <f t="shared" si="9"/>
        <v>0.19598896148735642</v>
      </c>
      <c r="G13" s="160">
        <f t="shared" si="1"/>
        <v>0</v>
      </c>
      <c r="H13" s="160">
        <f t="shared" si="2"/>
        <v>0</v>
      </c>
      <c r="I13" s="160">
        <f t="shared" si="3"/>
        <v>0</v>
      </c>
      <c r="J13" s="3">
        <v>0.68903520925181982</v>
      </c>
      <c r="K13" s="6">
        <v>0.99199999999999999</v>
      </c>
      <c r="L13" s="3">
        <f t="shared" si="10"/>
        <v>1.1292340925626256</v>
      </c>
      <c r="M13" s="177">
        <f t="shared" si="11"/>
        <v>1.1292340925626256</v>
      </c>
      <c r="N13" s="111">
        <f t="shared" si="4"/>
        <v>1.1292340925626256</v>
      </c>
      <c r="O13" s="177">
        <f t="shared" si="12"/>
        <v>1.1292340925626256</v>
      </c>
      <c r="P13" s="177">
        <f t="shared" si="5"/>
        <v>1.1292340925626256</v>
      </c>
      <c r="Q13" s="3">
        <f t="shared" si="13"/>
        <v>1.1292340925626256</v>
      </c>
      <c r="R13" s="158">
        <f t="shared" si="14"/>
        <v>1.1292340925626256</v>
      </c>
      <c r="S13" s="158">
        <f t="shared" si="15"/>
        <v>1.1292340925626256</v>
      </c>
      <c r="T13" s="158">
        <f t="shared" si="16"/>
        <v>1.1292340925626256</v>
      </c>
      <c r="U13" s="153">
        <f>IF(VLEESKUIKENS!$H$15="ja",L13-((E13-G13*95%-I13)/E13*L13)*$R$6,L13-((E13-G13*80%-I13)/E13*L13)*$R$6)</f>
        <v>1.1292340925626256</v>
      </c>
      <c r="V13" s="86">
        <f t="shared" si="6"/>
        <v>1.1292340925626256</v>
      </c>
      <c r="W13" s="174">
        <f t="shared" si="17"/>
        <v>1.1292340925626256</v>
      </c>
      <c r="X13" s="204">
        <f t="shared" si="18"/>
        <v>1</v>
      </c>
      <c r="AB13" s="106" t="s">
        <v>161</v>
      </c>
      <c r="AC13" s="113">
        <f>AVERAGE(L10:L22)/$AA$23</f>
        <v>0.31643951108385232</v>
      </c>
      <c r="AD13" s="114">
        <f>AVERAGE(L10:L28)/$AA$23</f>
        <v>0.55430196605395243</v>
      </c>
      <c r="AE13" s="113">
        <f>AVERAGE(N10:N22)/$AA$23</f>
        <v>0.31643951108385232</v>
      </c>
      <c r="AF13" s="114">
        <f>AVERAGE(N10:N28)/$AA$23</f>
        <v>0.55430196605395243</v>
      </c>
    </row>
    <row r="14" spans="1:32" x14ac:dyDescent="0.2">
      <c r="A14" s="1">
        <v>5</v>
      </c>
      <c r="B14" s="1">
        <v>117</v>
      </c>
      <c r="C14" s="3">
        <f t="shared" si="0"/>
        <v>0.20005038720527318</v>
      </c>
      <c r="D14" s="1">
        <v>23</v>
      </c>
      <c r="E14" s="4">
        <v>0.21461770705584507</v>
      </c>
      <c r="F14" s="4">
        <f t="shared" si="9"/>
        <v>0.21461770705584507</v>
      </c>
      <c r="G14" s="160">
        <f t="shared" si="1"/>
        <v>0</v>
      </c>
      <c r="H14" s="160">
        <f t="shared" si="2"/>
        <v>0</v>
      </c>
      <c r="I14" s="160">
        <f t="shared" si="3"/>
        <v>0</v>
      </c>
      <c r="J14" s="3">
        <v>0.77332717794733563</v>
      </c>
      <c r="K14" s="6">
        <f>K13-0.0017</f>
        <v>0.99029999999999996</v>
      </c>
      <c r="L14" s="3">
        <f t="shared" si="10"/>
        <v>1.3913846643349628</v>
      </c>
      <c r="M14" s="177">
        <f t="shared" si="11"/>
        <v>1.3913846643349628</v>
      </c>
      <c r="N14" s="111">
        <f t="shared" si="4"/>
        <v>1.3913846643349628</v>
      </c>
      <c r="O14" s="177">
        <f t="shared" si="12"/>
        <v>1.3913846643349628</v>
      </c>
      <c r="P14" s="177">
        <f t="shared" si="5"/>
        <v>1.3913846643349628</v>
      </c>
      <c r="Q14" s="3">
        <f t="shared" si="13"/>
        <v>1.3913846643349628</v>
      </c>
      <c r="R14" s="158">
        <f t="shared" si="14"/>
        <v>1.3913846643349628</v>
      </c>
      <c r="S14" s="158">
        <f t="shared" si="15"/>
        <v>1.3913846643349628</v>
      </c>
      <c r="T14" s="158">
        <f t="shared" si="16"/>
        <v>1.3913846643349628</v>
      </c>
      <c r="U14" s="153">
        <f>IF(VLEESKUIKENS!$H$15="ja",L14-((E14-G14*95%-I14)/E14*L14)*$R$6,L14-((E14-G14*80%-I14)/E14*L14)*$R$6)</f>
        <v>1.3913846643349628</v>
      </c>
      <c r="V14" s="86">
        <f t="shared" si="6"/>
        <v>1.3913846643349628</v>
      </c>
      <c r="W14" s="174">
        <f t="shared" si="17"/>
        <v>1.3913846643349628</v>
      </c>
      <c r="X14" s="204">
        <f t="shared" si="18"/>
        <v>1</v>
      </c>
      <c r="AB14" s="115" t="s">
        <v>162</v>
      </c>
      <c r="AC14" s="116">
        <f>AC13*AC12</f>
        <v>6.0789695550318994</v>
      </c>
      <c r="AD14" s="117">
        <f>AD13*AD12</f>
        <v>6.1309156851422015</v>
      </c>
      <c r="AE14" s="116">
        <f>AE13*AE12</f>
        <v>6.0789695550318994</v>
      </c>
      <c r="AF14" s="117">
        <f>AF13*AF12</f>
        <v>6.1309156851422015</v>
      </c>
    </row>
    <row r="15" spans="1:32" x14ac:dyDescent="0.2">
      <c r="A15" s="1">
        <v>6</v>
      </c>
      <c r="B15" s="1">
        <v>140</v>
      </c>
      <c r="C15" s="3">
        <f t="shared" si="0"/>
        <v>0.22887377179317683</v>
      </c>
      <c r="D15" s="1">
        <v>26</v>
      </c>
      <c r="E15" s="4">
        <v>0.23501711439437364</v>
      </c>
      <c r="F15" s="4">
        <f t="shared" si="9"/>
        <v>0.23501711439437364</v>
      </c>
      <c r="G15" s="160">
        <f t="shared" si="1"/>
        <v>0</v>
      </c>
      <c r="H15" s="160">
        <f t="shared" si="2"/>
        <v>0</v>
      </c>
      <c r="I15" s="160">
        <f t="shared" si="3"/>
        <v>0</v>
      </c>
      <c r="J15" s="3">
        <v>0.84979821363970398</v>
      </c>
      <c r="K15" s="6">
        <v>0.98899999999999999</v>
      </c>
      <c r="L15" s="3">
        <f t="shared" si="10"/>
        <v>1.677338568562827</v>
      </c>
      <c r="M15" s="177">
        <f t="shared" si="11"/>
        <v>1.677338568562827</v>
      </c>
      <c r="N15" s="111">
        <f t="shared" si="4"/>
        <v>1.677338568562827</v>
      </c>
      <c r="O15" s="177">
        <f t="shared" si="12"/>
        <v>1.677338568562827</v>
      </c>
      <c r="P15" s="177">
        <f t="shared" si="5"/>
        <v>1.677338568562827</v>
      </c>
      <c r="Q15" s="3">
        <f t="shared" si="13"/>
        <v>1.677338568562827</v>
      </c>
      <c r="R15" s="158">
        <f t="shared" si="14"/>
        <v>1.677338568562827</v>
      </c>
      <c r="S15" s="158">
        <f t="shared" si="15"/>
        <v>1.677338568562827</v>
      </c>
      <c r="T15" s="158">
        <f t="shared" si="16"/>
        <v>1.677338568562827</v>
      </c>
      <c r="U15" s="153">
        <f>IF(VLEESKUIKENS!$H$15="ja",L15-((E15-G15*95%-I15)/E15*L15)*$R$6,L15-((E15-G15*80%-I15)/E15*L15)*$R$6)</f>
        <v>1.677338568562827</v>
      </c>
      <c r="V15" s="86">
        <f t="shared" si="6"/>
        <v>1.677338568562827</v>
      </c>
      <c r="W15" s="174">
        <f t="shared" si="17"/>
        <v>1.677338568562827</v>
      </c>
      <c r="X15" s="204">
        <f t="shared" si="18"/>
        <v>1</v>
      </c>
      <c r="AB15" s="102" t="s">
        <v>163</v>
      </c>
      <c r="AC15" s="118"/>
      <c r="AD15" s="119"/>
      <c r="AE15" s="118"/>
      <c r="AF15" s="119"/>
    </row>
    <row r="16" spans="1:32" x14ac:dyDescent="0.2">
      <c r="A16" s="1">
        <v>7</v>
      </c>
      <c r="B16" s="1">
        <v>163</v>
      </c>
      <c r="C16" s="3">
        <f t="shared" si="0"/>
        <v>0.25653150160650345</v>
      </c>
      <c r="D16" s="1">
        <v>28</v>
      </c>
      <c r="E16" s="4">
        <v>0.25735548485701631</v>
      </c>
      <c r="F16" s="4">
        <f t="shared" si="9"/>
        <v>0.25735548485701631</v>
      </c>
      <c r="G16" s="160">
        <f t="shared" si="1"/>
        <v>0</v>
      </c>
      <c r="H16" s="160">
        <f t="shared" si="2"/>
        <v>0</v>
      </c>
      <c r="I16" s="160">
        <f t="shared" si="3"/>
        <v>0</v>
      </c>
      <c r="J16" s="3">
        <v>0.92032388517371078</v>
      </c>
      <c r="K16" s="6">
        <v>0.98799999999999999</v>
      </c>
      <c r="L16" s="3">
        <f t="shared" si="10"/>
        <v>1.9919998854985761</v>
      </c>
      <c r="M16" s="177">
        <f t="shared" si="11"/>
        <v>1.9919998854985761</v>
      </c>
      <c r="N16" s="111">
        <f t="shared" si="4"/>
        <v>1.9919998854985761</v>
      </c>
      <c r="O16" s="177">
        <f t="shared" si="12"/>
        <v>1.9919998854985761</v>
      </c>
      <c r="P16" s="177">
        <f t="shared" si="5"/>
        <v>1.9919998854985761</v>
      </c>
      <c r="Q16" s="3">
        <f t="shared" si="13"/>
        <v>1.9919998854985761</v>
      </c>
      <c r="R16" s="158">
        <f t="shared" si="14"/>
        <v>1.9919998854985761</v>
      </c>
      <c r="S16" s="158">
        <f t="shared" si="15"/>
        <v>1.9919998854985761</v>
      </c>
      <c r="T16" s="158">
        <f t="shared" si="16"/>
        <v>1.9919998854985761</v>
      </c>
      <c r="U16" s="153">
        <f>IF(VLEESKUIKENS!$H$15="ja",L16-((E16-G16*95%-I16)/E16*L16)*$R$6,L16-((E16-G16*80%-I16)/E16*L16)*$R$6)</f>
        <v>1.9919998854985761</v>
      </c>
      <c r="V16" s="86">
        <f t="shared" si="6"/>
        <v>1.9919998854985761</v>
      </c>
      <c r="W16" s="174">
        <f t="shared" si="17"/>
        <v>1.9919998854985761</v>
      </c>
      <c r="X16" s="204">
        <f t="shared" si="18"/>
        <v>1</v>
      </c>
      <c r="AB16" s="110" t="s">
        <v>164</v>
      </c>
      <c r="AC16" s="100"/>
      <c r="AD16" s="101"/>
      <c r="AE16" s="100"/>
      <c r="AF16" s="101"/>
    </row>
    <row r="17" spans="1:32" x14ac:dyDescent="0.2">
      <c r="A17" s="1">
        <v>8</v>
      </c>
      <c r="B17" s="1">
        <v>188</v>
      </c>
      <c r="C17" s="3">
        <f t="shared" si="0"/>
        <v>0.28550806913541388</v>
      </c>
      <c r="D17" s="1">
        <v>31</v>
      </c>
      <c r="E17" s="4">
        <v>0.28181711683706884</v>
      </c>
      <c r="F17" s="4">
        <f t="shared" si="9"/>
        <v>0.28181711683706884</v>
      </c>
      <c r="G17" s="160">
        <f t="shared" si="1"/>
        <v>0</v>
      </c>
      <c r="H17" s="160">
        <f t="shared" si="2"/>
        <v>0</v>
      </c>
      <c r="I17" s="160">
        <f t="shared" si="3"/>
        <v>0</v>
      </c>
      <c r="J17" s="3">
        <v>0.98612990306547954</v>
      </c>
      <c r="K17" s="6">
        <f t="shared" ref="K17:K51" si="21">K16-0.000857</f>
        <v>0.98714299999999999</v>
      </c>
      <c r="L17" s="3">
        <f t="shared" si="10"/>
        <v>2.3398151022830449</v>
      </c>
      <c r="M17" s="177">
        <f t="shared" si="11"/>
        <v>2.3398151022830449</v>
      </c>
      <c r="N17" s="111">
        <f t="shared" si="4"/>
        <v>2.3398151022830449</v>
      </c>
      <c r="O17" s="177">
        <f t="shared" si="12"/>
        <v>2.3398151022830449</v>
      </c>
      <c r="P17" s="177">
        <f t="shared" si="5"/>
        <v>2.3398151022830449</v>
      </c>
      <c r="Q17" s="3">
        <f t="shared" si="13"/>
        <v>2.3398151022830449</v>
      </c>
      <c r="R17" s="158">
        <f t="shared" si="14"/>
        <v>2.3398151022830449</v>
      </c>
      <c r="S17" s="158">
        <f t="shared" si="15"/>
        <v>2.3398151022830449</v>
      </c>
      <c r="T17" s="158">
        <f t="shared" si="16"/>
        <v>2.3398151022830449</v>
      </c>
      <c r="U17" s="153">
        <f>IF(VLEESKUIKENS!$H$15="ja",L17-((E17-G17*95%-I17)/E17*L17)*$R$6,L17-((E17-G17*80%-I17)/E17*L17)*$R$6)</f>
        <v>2.3398151022830449</v>
      </c>
      <c r="V17" s="86">
        <f t="shared" si="6"/>
        <v>2.3398151022830449</v>
      </c>
      <c r="W17" s="174">
        <f t="shared" si="17"/>
        <v>2.3398151022830449</v>
      </c>
      <c r="X17" s="204">
        <f t="shared" si="18"/>
        <v>1</v>
      </c>
      <c r="AB17" s="110" t="s">
        <v>165</v>
      </c>
      <c r="AC17" s="100">
        <v>42</v>
      </c>
      <c r="AD17" s="101">
        <v>42</v>
      </c>
      <c r="AE17" s="100">
        <v>42</v>
      </c>
      <c r="AF17" s="101">
        <v>42</v>
      </c>
    </row>
    <row r="18" spans="1:32" x14ac:dyDescent="0.2">
      <c r="A18" s="1">
        <v>9</v>
      </c>
      <c r="B18" s="1">
        <v>223</v>
      </c>
      <c r="C18" s="3">
        <f t="shared" si="0"/>
        <v>0.32451042057507024</v>
      </c>
      <c r="D18" s="1">
        <v>35</v>
      </c>
      <c r="E18" s="4">
        <v>0.3086038262852</v>
      </c>
      <c r="F18" s="4">
        <f t="shared" si="9"/>
        <v>0.3086038262852</v>
      </c>
      <c r="G18" s="160">
        <f t="shared" si="1"/>
        <v>0</v>
      </c>
      <c r="H18" s="160">
        <f t="shared" si="2"/>
        <v>0</v>
      </c>
      <c r="I18" s="160">
        <f t="shared" si="3"/>
        <v>0</v>
      </c>
      <c r="J18" s="3">
        <v>1.0480698144429763</v>
      </c>
      <c r="K18" s="6">
        <f t="shared" si="21"/>
        <v>0.986286</v>
      </c>
      <c r="L18" s="3">
        <f t="shared" si="10"/>
        <v>2.7251401558117752</v>
      </c>
      <c r="M18" s="177">
        <f t="shared" si="11"/>
        <v>2.7251401558117752</v>
      </c>
      <c r="N18" s="111">
        <f t="shared" si="4"/>
        <v>2.7251401558117752</v>
      </c>
      <c r="O18" s="177">
        <f t="shared" si="12"/>
        <v>2.7251401558117752</v>
      </c>
      <c r="P18" s="177">
        <f t="shared" si="5"/>
        <v>2.7251401558117752</v>
      </c>
      <c r="Q18" s="3">
        <f t="shared" si="13"/>
        <v>2.7251401558117752</v>
      </c>
      <c r="R18" s="158">
        <f t="shared" si="14"/>
        <v>2.7251401558117752</v>
      </c>
      <c r="S18" s="158">
        <f t="shared" si="15"/>
        <v>2.7251401558117752</v>
      </c>
      <c r="T18" s="158">
        <f t="shared" si="16"/>
        <v>2.7251401558117752</v>
      </c>
      <c r="U18" s="153">
        <f>IF(VLEESKUIKENS!$H$15="ja",L18-((E18-G18*95%-I18)/E18*L18)*$R$6,L18-((E18-G18*80%-I18)/E18*L18)*$R$6)</f>
        <v>2.7251401558117752</v>
      </c>
      <c r="V18" s="86">
        <f t="shared" si="6"/>
        <v>2.7251401558117752</v>
      </c>
      <c r="W18" s="174">
        <f t="shared" si="17"/>
        <v>2.7251401558117752</v>
      </c>
      <c r="X18" s="204">
        <f t="shared" si="18"/>
        <v>1</v>
      </c>
      <c r="AB18" s="110" t="s">
        <v>166</v>
      </c>
      <c r="AC18" s="100">
        <f>+AC8</f>
        <v>13</v>
      </c>
      <c r="AD18" s="101">
        <f>+AD8</f>
        <v>19</v>
      </c>
      <c r="AE18" s="100">
        <f>+AE8</f>
        <v>13</v>
      </c>
      <c r="AF18" s="101">
        <f>+AF8</f>
        <v>19</v>
      </c>
    </row>
    <row r="19" spans="1:32" x14ac:dyDescent="0.2">
      <c r="A19" s="1">
        <v>10</v>
      </c>
      <c r="B19" s="1">
        <v>258</v>
      </c>
      <c r="C19" s="3">
        <f t="shared" si="0"/>
        <v>0.36200517541016869</v>
      </c>
      <c r="D19" s="1">
        <v>41</v>
      </c>
      <c r="E19" s="4">
        <v>0.33793661175281386</v>
      </c>
      <c r="F19" s="4">
        <f t="shared" si="9"/>
        <v>0.33793661175281386</v>
      </c>
      <c r="G19" s="160">
        <f t="shared" si="1"/>
        <v>0</v>
      </c>
      <c r="H19" s="160">
        <f t="shared" si="2"/>
        <v>0</v>
      </c>
      <c r="I19" s="160">
        <f t="shared" si="3"/>
        <v>0</v>
      </c>
      <c r="J19" s="3">
        <v>1.1067664537131101</v>
      </c>
      <c r="K19" s="6">
        <f t="shared" si="21"/>
        <v>0.985429</v>
      </c>
      <c r="L19" s="3">
        <f t="shared" si="10"/>
        <v>3.1528009046478571</v>
      </c>
      <c r="M19" s="177">
        <f t="shared" si="11"/>
        <v>3.1528009046478571</v>
      </c>
      <c r="N19" s="111">
        <f t="shared" si="4"/>
        <v>3.1528009046478571</v>
      </c>
      <c r="O19" s="177">
        <f t="shared" si="12"/>
        <v>3.1528009046478571</v>
      </c>
      <c r="P19" s="177">
        <f t="shared" si="5"/>
        <v>3.1528009046478571</v>
      </c>
      <c r="Q19" s="3">
        <f t="shared" si="13"/>
        <v>3.1528009046478571</v>
      </c>
      <c r="R19" s="158">
        <f t="shared" si="14"/>
        <v>3.1528009046478571</v>
      </c>
      <c r="S19" s="158">
        <f t="shared" si="15"/>
        <v>3.1528009046478571</v>
      </c>
      <c r="T19" s="158">
        <f t="shared" si="16"/>
        <v>3.1528009046478571</v>
      </c>
      <c r="U19" s="153">
        <f>IF(VLEESKUIKENS!$H$15="ja",L19-((E19-G19*95%-I19)/E19*L19)*$R$6,L19-((E19-G19*80%-I19)/E19*L19)*$R$6)</f>
        <v>3.1528009046478571</v>
      </c>
      <c r="V19" s="86">
        <f t="shared" si="6"/>
        <v>3.1528009046478571</v>
      </c>
      <c r="W19" s="174">
        <f t="shared" si="17"/>
        <v>3.1528009046478571</v>
      </c>
      <c r="X19" s="204">
        <f t="shared" si="18"/>
        <v>1</v>
      </c>
      <c r="AA19" s="1">
        <v>42</v>
      </c>
      <c r="AB19" s="110" t="s">
        <v>167</v>
      </c>
      <c r="AC19" s="120">
        <f t="shared" ref="AC19:AD19" si="22">AC17-AC18</f>
        <v>29</v>
      </c>
      <c r="AD19" s="121">
        <f t="shared" si="22"/>
        <v>23</v>
      </c>
      <c r="AE19" s="120">
        <f>AE17-AE18</f>
        <v>29</v>
      </c>
      <c r="AF19" s="121">
        <f t="shared" ref="AF19" si="23">AF17-AF18</f>
        <v>23</v>
      </c>
    </row>
    <row r="20" spans="1:32" x14ac:dyDescent="0.2">
      <c r="A20" s="1">
        <v>11</v>
      </c>
      <c r="B20" s="1">
        <v>294</v>
      </c>
      <c r="C20" s="3">
        <f t="shared" si="0"/>
        <v>0.39926431662483602</v>
      </c>
      <c r="D20" s="1">
        <v>44</v>
      </c>
      <c r="E20" s="4">
        <v>0.37005747769773817</v>
      </c>
      <c r="F20" s="4">
        <f t="shared" si="9"/>
        <v>0.37005747769773817</v>
      </c>
      <c r="G20" s="160">
        <f t="shared" si="1"/>
        <v>0</v>
      </c>
      <c r="H20" s="160">
        <f t="shared" si="2"/>
        <v>0</v>
      </c>
      <c r="I20" s="160">
        <f t="shared" si="3"/>
        <v>0</v>
      </c>
      <c r="J20" s="3">
        <v>1.162690928086719</v>
      </c>
      <c r="K20" s="6">
        <f t="shared" si="21"/>
        <v>0.984572</v>
      </c>
      <c r="L20" s="3">
        <f t="shared" si="10"/>
        <v>3.6279656399782625</v>
      </c>
      <c r="M20" s="177">
        <f t="shared" si="11"/>
        <v>3.6279656399782625</v>
      </c>
      <c r="N20" s="111">
        <f t="shared" si="4"/>
        <v>3.6279656399782625</v>
      </c>
      <c r="O20" s="177">
        <f t="shared" si="12"/>
        <v>3.6279656399782625</v>
      </c>
      <c r="P20" s="177">
        <f t="shared" si="5"/>
        <v>3.6279656399782625</v>
      </c>
      <c r="Q20" s="3">
        <f t="shared" si="13"/>
        <v>3.6279656399782625</v>
      </c>
      <c r="R20" s="158">
        <f t="shared" si="14"/>
        <v>3.6279656399782625</v>
      </c>
      <c r="S20" s="158">
        <f t="shared" si="15"/>
        <v>3.6279656399782625</v>
      </c>
      <c r="T20" s="158">
        <f t="shared" si="16"/>
        <v>3.6279656399782625</v>
      </c>
      <c r="U20" s="153">
        <f>IF(VLEESKUIKENS!$H$15="ja",L20-((E20-G20*95%-I20)/E20*L20)*$R$6,L20-((E20-G20*80%-I20)/E20*L20)*$R$6)</f>
        <v>3.6279656399782625</v>
      </c>
      <c r="V20" s="86">
        <f t="shared" si="6"/>
        <v>3.6279656399782625</v>
      </c>
      <c r="W20" s="174">
        <f t="shared" si="17"/>
        <v>3.6279656399782625</v>
      </c>
      <c r="X20" s="204">
        <f t="shared" si="18"/>
        <v>1</v>
      </c>
      <c r="AA20" s="1">
        <v>0</v>
      </c>
      <c r="AB20" s="110" t="s">
        <v>168</v>
      </c>
      <c r="AC20" s="122">
        <v>10</v>
      </c>
      <c r="AD20" s="123">
        <v>10</v>
      </c>
      <c r="AE20" s="122">
        <v>10</v>
      </c>
      <c r="AF20" s="123">
        <v>10</v>
      </c>
    </row>
    <row r="21" spans="1:32" x14ac:dyDescent="0.2">
      <c r="A21" s="1">
        <v>12</v>
      </c>
      <c r="B21" s="1">
        <v>333</v>
      </c>
      <c r="C21" s="3">
        <f t="shared" si="0"/>
        <v>0.43836227800313377</v>
      </c>
      <c r="D21" s="1">
        <v>50</v>
      </c>
      <c r="E21" s="4">
        <v>0.40523143109507043</v>
      </c>
      <c r="F21" s="4">
        <f t="shared" si="9"/>
        <v>0.40523143109507043</v>
      </c>
      <c r="G21" s="160">
        <f t="shared" si="1"/>
        <v>0</v>
      </c>
      <c r="H21" s="160">
        <f t="shared" si="2"/>
        <v>0</v>
      </c>
      <c r="I21" s="160">
        <f t="shared" si="3"/>
        <v>0</v>
      </c>
      <c r="J21" s="3">
        <v>1.2162098812797726</v>
      </c>
      <c r="K21" s="6">
        <f t="shared" si="21"/>
        <v>0.98371500000000001</v>
      </c>
      <c r="L21" s="3">
        <f t="shared" si="10"/>
        <v>4.1562348031718033</v>
      </c>
      <c r="M21" s="177">
        <f t="shared" si="11"/>
        <v>4.1562348031718033</v>
      </c>
      <c r="N21" s="111">
        <f t="shared" si="4"/>
        <v>4.1562348031718033</v>
      </c>
      <c r="O21" s="177">
        <f t="shared" si="12"/>
        <v>4.1562348031718033</v>
      </c>
      <c r="P21" s="177">
        <f t="shared" si="5"/>
        <v>4.1562348031718033</v>
      </c>
      <c r="Q21" s="3">
        <f t="shared" si="13"/>
        <v>4.1562348031718033</v>
      </c>
      <c r="R21" s="158">
        <f t="shared" si="14"/>
        <v>4.1562348031718033</v>
      </c>
      <c r="S21" s="158">
        <f t="shared" si="15"/>
        <v>4.1562348031718033</v>
      </c>
      <c r="T21" s="158">
        <f t="shared" si="16"/>
        <v>4.1562348031718033</v>
      </c>
      <c r="U21" s="153">
        <f>IF(VLEESKUIKENS!$H$15="ja",L21-((E21-G21*95%-I21)/E21*L21)*$R$6,L21-((E21-G21*80%-I21)/E21*L21)*$R$6)</f>
        <v>4.1562348031718033</v>
      </c>
      <c r="V21" s="86">
        <f t="shared" si="6"/>
        <v>4.1562348031718033</v>
      </c>
      <c r="W21" s="174">
        <f t="shared" si="17"/>
        <v>4.1562348031718033</v>
      </c>
      <c r="X21" s="204">
        <f t="shared" si="18"/>
        <v>1</v>
      </c>
      <c r="AA21" s="1">
        <v>42</v>
      </c>
      <c r="AB21" s="110" t="s">
        <v>169</v>
      </c>
      <c r="AC21" s="124">
        <f>365/(AC19+AC20)</f>
        <v>9.3589743589743595</v>
      </c>
      <c r="AD21" s="125">
        <f>365/(AD19+AD20)</f>
        <v>11.060606060606061</v>
      </c>
      <c r="AE21" s="124">
        <f>365/(AE19+AE20)</f>
        <v>9.3589743589743595</v>
      </c>
      <c r="AF21" s="125">
        <f>365/(AF19+AF20)</f>
        <v>11.060606060606061</v>
      </c>
    </row>
    <row r="22" spans="1:32" x14ac:dyDescent="0.2">
      <c r="A22" s="126">
        <v>13</v>
      </c>
      <c r="B22" s="127">
        <v>375</v>
      </c>
      <c r="C22" s="128">
        <f t="shared" si="0"/>
        <v>0.47920732818470435</v>
      </c>
      <c r="D22" s="127">
        <v>56</v>
      </c>
      <c r="E22" s="129">
        <v>0.44374866782583194</v>
      </c>
      <c r="F22" s="129">
        <f t="shared" si="9"/>
        <v>0.44374866782583194</v>
      </c>
      <c r="G22" s="160">
        <f t="shared" si="1"/>
        <v>0</v>
      </c>
      <c r="H22" s="160">
        <f t="shared" si="2"/>
        <v>0</v>
      </c>
      <c r="I22" s="160">
        <f t="shared" si="3"/>
        <v>0</v>
      </c>
      <c r="J22" s="128">
        <v>1.2676153481444508</v>
      </c>
      <c r="K22" s="130">
        <f t="shared" si="21"/>
        <v>0.98285800000000001</v>
      </c>
      <c r="L22" s="128">
        <f t="shared" si="10"/>
        <v>4.7437196849028034</v>
      </c>
      <c r="M22" s="177">
        <f t="shared" si="11"/>
        <v>4.7437196849028034</v>
      </c>
      <c r="N22" s="111">
        <f t="shared" si="4"/>
        <v>4.7437196849028034</v>
      </c>
      <c r="O22" s="177">
        <f t="shared" si="12"/>
        <v>4.7437196849028034</v>
      </c>
      <c r="P22" s="177">
        <f t="shared" si="5"/>
        <v>4.7437196849028034</v>
      </c>
      <c r="Q22" s="3">
        <f t="shared" si="13"/>
        <v>4.7437196849028034</v>
      </c>
      <c r="R22" s="158">
        <f t="shared" si="14"/>
        <v>4.7437196849028034</v>
      </c>
      <c r="S22" s="158">
        <f t="shared" si="15"/>
        <v>4.7437196849028034</v>
      </c>
      <c r="T22" s="158">
        <f t="shared" si="16"/>
        <v>4.7437196849028034</v>
      </c>
      <c r="U22" s="153">
        <f>IF(VLEESKUIKENS!$H$15="ja",L22-((E22-G22*95%-I22)/E22*L22)*$R$6,L22-((E22-G22*80%-I22)/E22*L22)*$R$6)</f>
        <v>4.7437196849028034</v>
      </c>
      <c r="V22" s="86">
        <f t="shared" si="6"/>
        <v>4.7437196849028034</v>
      </c>
      <c r="W22" s="174">
        <f t="shared" si="17"/>
        <v>4.7437196849028034</v>
      </c>
      <c r="X22" s="204">
        <f t="shared" si="18"/>
        <v>1</v>
      </c>
      <c r="AA22" s="1">
        <v>10</v>
      </c>
      <c r="AB22" s="106" t="s">
        <v>170</v>
      </c>
      <c r="AC22" s="113">
        <f>AVERAGE(L23:L51)/$AA$23</f>
        <v>5.5804068853451332</v>
      </c>
      <c r="AD22" s="114">
        <f>AVERAGE(L29:L51)/$AA$23</f>
        <v>6.7571206940901671</v>
      </c>
      <c r="AE22" s="113">
        <f>AVERAGE(N23:N51)/$AA$23</f>
        <v>5.5804068853451332</v>
      </c>
      <c r="AF22" s="114">
        <f>AVERAGE(N29:N51)/$AA$23</f>
        <v>6.7571206940901671</v>
      </c>
    </row>
    <row r="23" spans="1:32" x14ac:dyDescent="0.2">
      <c r="A23" s="1">
        <v>14</v>
      </c>
      <c r="B23" s="1">
        <v>420</v>
      </c>
      <c r="C23" s="3">
        <f t="shared" si="0"/>
        <v>0.52171937795440382</v>
      </c>
      <c r="D23" s="1">
        <v>62</v>
      </c>
      <c r="E23" s="4">
        <v>0.48592696688180453</v>
      </c>
      <c r="F23" s="4">
        <f t="shared" si="9"/>
        <v>0.48592696688180453</v>
      </c>
      <c r="G23" s="160">
        <f t="shared" si="1"/>
        <v>0</v>
      </c>
      <c r="H23" s="160">
        <f t="shared" si="2"/>
        <v>0</v>
      </c>
      <c r="I23" s="160">
        <f t="shared" si="3"/>
        <v>0</v>
      </c>
      <c r="J23" s="3">
        <v>1.3171444528366822</v>
      </c>
      <c r="K23" s="6">
        <f t="shared" si="21"/>
        <v>0.98200100000000001</v>
      </c>
      <c r="L23" s="3">
        <f t="shared" si="10"/>
        <v>5.3971174753162323</v>
      </c>
      <c r="M23" s="177">
        <f t="shared" si="11"/>
        <v>5.3971174753162323</v>
      </c>
      <c r="N23" s="111">
        <f t="shared" si="4"/>
        <v>5.3971174753162323</v>
      </c>
      <c r="O23" s="177">
        <f t="shared" si="12"/>
        <v>5.3971174753162323</v>
      </c>
      <c r="P23" s="177">
        <f t="shared" si="5"/>
        <v>5.3971174753162323</v>
      </c>
      <c r="Q23" s="3">
        <f t="shared" si="13"/>
        <v>5.3971174753162323</v>
      </c>
      <c r="R23" s="158">
        <f t="shared" si="14"/>
        <v>5.3971174753162323</v>
      </c>
      <c r="S23" s="158">
        <f t="shared" si="15"/>
        <v>5.3971174753162323</v>
      </c>
      <c r="T23" s="158">
        <f t="shared" si="16"/>
        <v>5.3971174753162323</v>
      </c>
      <c r="U23" s="153">
        <f>IF(VLEESKUIKENS!$H$15="ja",L23-((E23-G23*95%-I23)/E23*L23)*$R$6,L23-((E23-G23*80%-I23)/E23*L23)*$R$6)</f>
        <v>5.3971174753162323</v>
      </c>
      <c r="V23" s="86">
        <f t="shared" si="6"/>
        <v>5.3971174753162323</v>
      </c>
      <c r="W23" s="174">
        <f t="shared" si="17"/>
        <v>5.3971174753162323</v>
      </c>
      <c r="X23" s="204">
        <f t="shared" si="18"/>
        <v>1</v>
      </c>
      <c r="AA23" s="2">
        <f>365/(AA21+AA22)</f>
        <v>7.0192307692307692</v>
      </c>
      <c r="AB23" s="115" t="s">
        <v>162</v>
      </c>
      <c r="AC23" s="116">
        <f>AC22*AC21</f>
        <v>52.226884952589067</v>
      </c>
      <c r="AD23" s="117">
        <f>AD22*AD21</f>
        <v>74.737850101300339</v>
      </c>
      <c r="AE23" s="116">
        <f>AE22*AE21</f>
        <v>52.226884952589067</v>
      </c>
      <c r="AF23" s="117">
        <f>AF22*AF21</f>
        <v>74.737850101300339</v>
      </c>
    </row>
    <row r="24" spans="1:32" x14ac:dyDescent="0.2">
      <c r="A24" s="1">
        <v>15</v>
      </c>
      <c r="B24" s="1">
        <v>467</v>
      </c>
      <c r="C24" s="3">
        <f t="shared" si="0"/>
        <v>0.56492092352990564</v>
      </c>
      <c r="D24" s="1">
        <v>67</v>
      </c>
      <c r="E24" s="4">
        <v>0.53211431213947369</v>
      </c>
      <c r="F24" s="4">
        <f t="shared" si="9"/>
        <v>0.53211431213947369</v>
      </c>
      <c r="G24" s="160">
        <f t="shared" si="1"/>
        <v>0</v>
      </c>
      <c r="H24" s="160">
        <f t="shared" si="2"/>
        <v>0</v>
      </c>
      <c r="I24" s="160">
        <f t="shared" si="3"/>
        <v>0</v>
      </c>
      <c r="J24" s="3">
        <v>1.3649928808471363</v>
      </c>
      <c r="K24" s="6">
        <f t="shared" si="21"/>
        <v>0.98114400000000002</v>
      </c>
      <c r="L24" s="3">
        <f t="shared" si="10"/>
        <v>6.1237868615716682</v>
      </c>
      <c r="M24" s="177">
        <f t="shared" si="11"/>
        <v>6.1237868615716682</v>
      </c>
      <c r="N24" s="111">
        <f t="shared" si="4"/>
        <v>6.1237868615716682</v>
      </c>
      <c r="O24" s="177">
        <f t="shared" si="12"/>
        <v>6.1237868615716682</v>
      </c>
      <c r="P24" s="177">
        <f t="shared" si="5"/>
        <v>6.1237868615716682</v>
      </c>
      <c r="Q24" s="3">
        <f t="shared" si="13"/>
        <v>6.1237868615716682</v>
      </c>
      <c r="R24" s="158">
        <f t="shared" si="14"/>
        <v>6.1237868615716682</v>
      </c>
      <c r="S24" s="158">
        <f t="shared" si="15"/>
        <v>6.1237868615716682</v>
      </c>
      <c r="T24" s="158">
        <f t="shared" si="16"/>
        <v>6.1237868615716682</v>
      </c>
      <c r="U24" s="153">
        <f>IF(VLEESKUIKENS!$H$15="ja",L24-((E24-G24*95%-I24)/E24*L24)*$R$6,L24-((E24-G24*80%-I24)/E24*L24)*$R$6)</f>
        <v>6.1237868615716682</v>
      </c>
      <c r="V24" s="86">
        <f t="shared" si="6"/>
        <v>6.1237868615716682</v>
      </c>
      <c r="W24" s="174">
        <f t="shared" si="17"/>
        <v>6.1237868615716682</v>
      </c>
      <c r="X24" s="204">
        <f t="shared" si="18"/>
        <v>1</v>
      </c>
      <c r="AA24" s="112">
        <f>AA22/(AA21+AA22)</f>
        <v>0.19230769230769232</v>
      </c>
      <c r="AB24" s="131" t="s">
        <v>171</v>
      </c>
      <c r="AC24" s="132">
        <f>(AC14+(AC23*2))/3</f>
        <v>36.844246486736679</v>
      </c>
      <c r="AD24" s="133">
        <f>(AD14+AD23)/2</f>
        <v>40.434382893221269</v>
      </c>
      <c r="AE24" s="132">
        <f>(AE14+(AE23*2))/3</f>
        <v>36.844246486736679</v>
      </c>
      <c r="AF24" s="133">
        <f>(AF14+AF23)/2</f>
        <v>40.434382893221269</v>
      </c>
    </row>
    <row r="25" spans="1:32" x14ac:dyDescent="0.2">
      <c r="A25" s="1">
        <v>16</v>
      </c>
      <c r="B25" s="1">
        <v>517</v>
      </c>
      <c r="C25" s="3">
        <f t="shared" si="0"/>
        <v>0.60970240387690722</v>
      </c>
      <c r="D25" s="1">
        <v>73</v>
      </c>
      <c r="E25" s="4">
        <v>0.58269176333351491</v>
      </c>
      <c r="F25" s="4">
        <f t="shared" si="9"/>
        <v>0.58269176333351491</v>
      </c>
      <c r="G25" s="160">
        <f t="shared" si="1"/>
        <v>0</v>
      </c>
      <c r="H25" s="160">
        <f t="shared" si="2"/>
        <v>0</v>
      </c>
      <c r="I25" s="160">
        <f t="shared" si="3"/>
        <v>0</v>
      </c>
      <c r="J25" s="3">
        <v>1.4113243745205084</v>
      </c>
      <c r="K25" s="6">
        <f t="shared" si="21"/>
        <v>0.98028700000000002</v>
      </c>
      <c r="L25" s="3">
        <f t="shared" si="10"/>
        <v>6.9318268228757249</v>
      </c>
      <c r="M25" s="177">
        <f t="shared" si="11"/>
        <v>6.9318268228757249</v>
      </c>
      <c r="N25" s="111">
        <f t="shared" si="4"/>
        <v>6.9318268228757249</v>
      </c>
      <c r="O25" s="177">
        <f t="shared" si="12"/>
        <v>6.9318268228757249</v>
      </c>
      <c r="P25" s="177">
        <f t="shared" si="5"/>
        <v>6.9318268228757249</v>
      </c>
      <c r="Q25" s="3">
        <f t="shared" si="13"/>
        <v>6.9318268228757249</v>
      </c>
      <c r="R25" s="158">
        <f t="shared" si="14"/>
        <v>6.9318268228757249</v>
      </c>
      <c r="S25" s="158">
        <f t="shared" si="15"/>
        <v>6.9318268228757249</v>
      </c>
      <c r="T25" s="158">
        <f t="shared" si="16"/>
        <v>6.9318268228757249</v>
      </c>
      <c r="U25" s="153">
        <f>IF(VLEESKUIKENS!$H$15="ja",L25-((E25-G25*95%-I25)/E25*L25)*$R$6,L25-((E25-G25*80%-I25)/E25*L25)*$R$6)</f>
        <v>6.9318268228757249</v>
      </c>
      <c r="V25" s="86">
        <f t="shared" si="6"/>
        <v>6.9318268228757249</v>
      </c>
      <c r="W25" s="174">
        <f t="shared" si="17"/>
        <v>6.9318268228757249</v>
      </c>
      <c r="X25" s="204">
        <f t="shared" si="18"/>
        <v>1</v>
      </c>
      <c r="AB25" s="134" t="s">
        <v>172</v>
      </c>
      <c r="AC25" s="135">
        <f>(AC24/$L$56)</f>
        <v>1.6401324261899246</v>
      </c>
      <c r="AD25" s="135">
        <f>(AD24/$L$56)</f>
        <v>1.7999484000853343</v>
      </c>
    </row>
    <row r="26" spans="1:32" x14ac:dyDescent="0.2">
      <c r="A26" s="1">
        <v>17</v>
      </c>
      <c r="B26" s="1">
        <v>570</v>
      </c>
      <c r="C26" s="3">
        <f t="shared" si="0"/>
        <v>0.65600347774263568</v>
      </c>
      <c r="D26" s="1">
        <v>80</v>
      </c>
      <c r="E26" s="4">
        <v>0.63807659991623389</v>
      </c>
      <c r="F26" s="4">
        <f t="shared" si="9"/>
        <v>0.63807659991623389</v>
      </c>
      <c r="G26" s="160">
        <f t="shared" si="1"/>
        <v>0</v>
      </c>
      <c r="H26" s="160">
        <f t="shared" si="2"/>
        <v>0</v>
      </c>
      <c r="I26" s="160">
        <f t="shared" si="3"/>
        <v>0</v>
      </c>
      <c r="J26" s="3">
        <v>1.4562775995930568</v>
      </c>
      <c r="K26" s="6">
        <f t="shared" si="21"/>
        <v>0.97943000000000002</v>
      </c>
      <c r="L26" s="3">
        <f t="shared" si="10"/>
        <v>7.8301604892624459</v>
      </c>
      <c r="M26" s="177">
        <f t="shared" si="11"/>
        <v>7.8301604892624459</v>
      </c>
      <c r="N26" s="111">
        <f t="shared" si="4"/>
        <v>7.8301604892624459</v>
      </c>
      <c r="O26" s="177">
        <f t="shared" si="12"/>
        <v>7.8301604892624459</v>
      </c>
      <c r="P26" s="177">
        <f t="shared" si="5"/>
        <v>7.8301604892624459</v>
      </c>
      <c r="Q26" s="3">
        <f t="shared" si="13"/>
        <v>7.8301604892624459</v>
      </c>
      <c r="R26" s="158">
        <f t="shared" si="14"/>
        <v>7.8301604892624459</v>
      </c>
      <c r="S26" s="158">
        <f t="shared" si="15"/>
        <v>7.8301604892624459</v>
      </c>
      <c r="T26" s="158">
        <f t="shared" si="16"/>
        <v>7.8301604892624459</v>
      </c>
      <c r="U26" s="153">
        <f>IF(VLEESKUIKENS!$H$15="ja",L26-((E26-G26*95%-I26)/E26*L26)*$R$6,L26-((E26-G26*80%-I26)/E26*L26)*$R$6)</f>
        <v>7.8301604892624459</v>
      </c>
      <c r="V26" s="86">
        <f t="shared" si="6"/>
        <v>7.8301604892624459</v>
      </c>
      <c r="W26" s="174">
        <f t="shared" si="17"/>
        <v>7.8301604892624459</v>
      </c>
      <c r="X26" s="204">
        <f t="shared" si="18"/>
        <v>1</v>
      </c>
      <c r="AB26" s="136" t="s">
        <v>173</v>
      </c>
      <c r="AE26" s="137">
        <f>(AC24-AE24)/AC24</f>
        <v>0</v>
      </c>
      <c r="AF26" s="137">
        <f>(AD24-AF24)/AD24</f>
        <v>0</v>
      </c>
    </row>
    <row r="27" spans="1:32" x14ac:dyDescent="0.2">
      <c r="A27" s="1">
        <v>18</v>
      </c>
      <c r="B27" s="1">
        <v>625</v>
      </c>
      <c r="C27" s="3">
        <f t="shared" si="0"/>
        <v>0.7029266564879364</v>
      </c>
      <c r="D27" s="1">
        <v>83</v>
      </c>
      <c r="E27" s="4">
        <v>0.69872576374076223</v>
      </c>
      <c r="F27" s="4">
        <f t="shared" si="9"/>
        <v>0.69872576374076223</v>
      </c>
      <c r="G27" s="160">
        <f t="shared" si="1"/>
        <v>0</v>
      </c>
      <c r="H27" s="160">
        <f t="shared" si="2"/>
        <v>0</v>
      </c>
      <c r="I27" s="160">
        <f t="shared" si="3"/>
        <v>0</v>
      </c>
      <c r="J27" s="3">
        <v>1.4999712215646515</v>
      </c>
      <c r="K27" s="6">
        <f t="shared" si="21"/>
        <v>0.97857300000000003</v>
      </c>
      <c r="L27" s="3">
        <f t="shared" si="10"/>
        <v>8.82862552892996</v>
      </c>
      <c r="M27" s="177">
        <f t="shared" si="11"/>
        <v>8.82862552892996</v>
      </c>
      <c r="N27" s="111">
        <f t="shared" si="4"/>
        <v>8.82862552892996</v>
      </c>
      <c r="O27" s="177">
        <f t="shared" si="12"/>
        <v>8.82862552892996</v>
      </c>
      <c r="P27" s="177">
        <f t="shared" si="5"/>
        <v>8.82862552892996</v>
      </c>
      <c r="Q27" s="3">
        <f t="shared" si="13"/>
        <v>8.82862552892996</v>
      </c>
      <c r="R27" s="158">
        <f t="shared" si="14"/>
        <v>8.82862552892996</v>
      </c>
      <c r="S27" s="158">
        <f t="shared" si="15"/>
        <v>8.82862552892996</v>
      </c>
      <c r="T27" s="158">
        <f t="shared" si="16"/>
        <v>8.82862552892996</v>
      </c>
      <c r="U27" s="153">
        <f>IF(VLEESKUIKENS!$H$15="ja",L27-((E27-G27*95%-I27)/E27*L27)*$R$6,L27-((E27-G27*80%-I27)/E27*L27)*$R$6)</f>
        <v>8.82862552892996</v>
      </c>
      <c r="V27" s="86">
        <f t="shared" si="6"/>
        <v>8.82862552892996</v>
      </c>
      <c r="W27" s="174">
        <f t="shared" si="17"/>
        <v>8.82862552892996</v>
      </c>
      <c r="X27" s="204">
        <f t="shared" si="18"/>
        <v>1</v>
      </c>
    </row>
    <row r="28" spans="1:32" x14ac:dyDescent="0.2">
      <c r="A28" s="126">
        <v>19</v>
      </c>
      <c r="B28" s="127">
        <v>682</v>
      </c>
      <c r="C28" s="128">
        <f t="shared" si="0"/>
        <v>0.75047854505366585</v>
      </c>
      <c r="D28" s="127">
        <v>89</v>
      </c>
      <c r="E28" s="129">
        <v>0.76513962897119903</v>
      </c>
      <c r="F28" s="129">
        <f t="shared" si="9"/>
        <v>0.76513962897119903</v>
      </c>
      <c r="G28" s="160">
        <f t="shared" si="1"/>
        <v>0</v>
      </c>
      <c r="H28" s="160">
        <f t="shared" si="2"/>
        <v>0</v>
      </c>
      <c r="I28" s="160">
        <f t="shared" si="3"/>
        <v>0</v>
      </c>
      <c r="J28" s="128">
        <v>1.5425077315602014</v>
      </c>
      <c r="K28" s="130">
        <f t="shared" si="21"/>
        <v>0.97771600000000003</v>
      </c>
      <c r="L28" s="128">
        <f t="shared" si="10"/>
        <v>9.9380723314916573</v>
      </c>
      <c r="M28" s="177">
        <f t="shared" si="11"/>
        <v>9.9380723314916573</v>
      </c>
      <c r="N28" s="111">
        <f t="shared" si="4"/>
        <v>9.9380723314916573</v>
      </c>
      <c r="O28" s="177">
        <f t="shared" si="12"/>
        <v>9.9380723314916573</v>
      </c>
      <c r="P28" s="177">
        <f t="shared" si="5"/>
        <v>9.9380723314916573</v>
      </c>
      <c r="Q28" s="3">
        <f t="shared" si="13"/>
        <v>9.9380723314916573</v>
      </c>
      <c r="R28" s="158">
        <f t="shared" si="14"/>
        <v>9.9380723314916573</v>
      </c>
      <c r="S28" s="158">
        <f t="shared" si="15"/>
        <v>9.9380723314916573</v>
      </c>
      <c r="T28" s="158">
        <f t="shared" si="16"/>
        <v>9.9380723314916573</v>
      </c>
      <c r="U28" s="153">
        <f>IF(VLEESKUIKENS!$H$15="ja",L28-((E28-G28*95%-I28)/E28*L28)*$R$6,L28-((E28-G28*80%-I28)/E28*L28)*$R$6)</f>
        <v>9.9380723314916573</v>
      </c>
      <c r="V28" s="86">
        <f t="shared" si="6"/>
        <v>9.9380723314916573</v>
      </c>
      <c r="W28" s="174">
        <f t="shared" si="17"/>
        <v>9.9380723314916573</v>
      </c>
      <c r="X28" s="204">
        <f t="shared" si="18"/>
        <v>1</v>
      </c>
    </row>
    <row r="29" spans="1:32" x14ac:dyDescent="0.2">
      <c r="A29" s="1">
        <v>20</v>
      </c>
      <c r="B29" s="1">
        <v>741</v>
      </c>
      <c r="C29" s="3">
        <f t="shared" si="0"/>
        <v>0.79866316703709561</v>
      </c>
      <c r="D29" s="1">
        <v>95</v>
      </c>
      <c r="E29" s="4">
        <v>0.83786613032261226</v>
      </c>
      <c r="F29" s="4">
        <f t="shared" si="9"/>
        <v>0.83786613032261226</v>
      </c>
      <c r="G29" s="160">
        <f t="shared" si="1"/>
        <v>0</v>
      </c>
      <c r="H29" s="160">
        <f t="shared" si="2"/>
        <v>0</v>
      </c>
      <c r="I29" s="160">
        <f t="shared" si="3"/>
        <v>0</v>
      </c>
      <c r="J29" s="3">
        <v>1.5839763789448924</v>
      </c>
      <c r="K29" s="6">
        <f t="shared" si="21"/>
        <v>0.97685900000000003</v>
      </c>
      <c r="L29" s="3">
        <f t="shared" si="10"/>
        <v>11.170471172628622</v>
      </c>
      <c r="M29" s="177">
        <f t="shared" si="11"/>
        <v>11.170471172628622</v>
      </c>
      <c r="N29" s="111">
        <f t="shared" si="4"/>
        <v>11.170471172628622</v>
      </c>
      <c r="O29" s="177">
        <f t="shared" si="12"/>
        <v>11.170471172628622</v>
      </c>
      <c r="P29" s="177">
        <f t="shared" si="5"/>
        <v>11.170471172628622</v>
      </c>
      <c r="Q29" s="3">
        <f t="shared" si="13"/>
        <v>11.170471172628622</v>
      </c>
      <c r="R29" s="158">
        <f t="shared" si="14"/>
        <v>11.170471172628622</v>
      </c>
      <c r="S29" s="158">
        <f t="shared" si="15"/>
        <v>11.170471172628622</v>
      </c>
      <c r="T29" s="158">
        <f t="shared" si="16"/>
        <v>11.170471172628622</v>
      </c>
      <c r="U29" s="153">
        <f>IF(VLEESKUIKENS!$H$15="ja",L29-((E29-G29*95%-I29)/E29*L29)*$R$6,L29-((E29-G29*80%-I29)/E29*L29)*$R$6)</f>
        <v>11.170471172628622</v>
      </c>
      <c r="V29" s="86">
        <f t="shared" si="6"/>
        <v>11.170471172628622</v>
      </c>
      <c r="W29" s="174">
        <f t="shared" si="17"/>
        <v>11.170471172628622</v>
      </c>
      <c r="X29" s="204">
        <f t="shared" si="18"/>
        <v>1</v>
      </c>
    </row>
    <row r="30" spans="1:32" x14ac:dyDescent="0.2">
      <c r="A30" s="1">
        <v>21</v>
      </c>
      <c r="B30" s="1">
        <v>804</v>
      </c>
      <c r="C30" s="3">
        <f t="shared" si="0"/>
        <v>0.84906714609043155</v>
      </c>
      <c r="D30" s="1">
        <v>100</v>
      </c>
      <c r="E30" s="4">
        <v>0.91750528369014006</v>
      </c>
      <c r="F30" s="4">
        <f t="shared" si="9"/>
        <v>0.91750528369014006</v>
      </c>
      <c r="G30" s="160">
        <f t="shared" si="1"/>
        <v>0</v>
      </c>
      <c r="H30" s="160">
        <f t="shared" si="2"/>
        <v>0</v>
      </c>
      <c r="I30" s="160">
        <f t="shared" si="3"/>
        <v>0</v>
      </c>
      <c r="J30" s="3">
        <v>1.6244554532147113</v>
      </c>
      <c r="K30" s="6">
        <f t="shared" si="21"/>
        <v>0.97600200000000004</v>
      </c>
      <c r="L30" s="3">
        <f t="shared" si="10"/>
        <v>12.539029533542042</v>
      </c>
      <c r="M30" s="177">
        <f t="shared" si="11"/>
        <v>12.539029533542042</v>
      </c>
      <c r="N30" s="111">
        <f t="shared" si="4"/>
        <v>12.539029533542042</v>
      </c>
      <c r="O30" s="177">
        <f t="shared" si="12"/>
        <v>12.539029533542042</v>
      </c>
      <c r="P30" s="177">
        <f t="shared" si="5"/>
        <v>12.539029533542042</v>
      </c>
      <c r="Q30" s="3">
        <f t="shared" si="13"/>
        <v>12.539029533542042</v>
      </c>
      <c r="R30" s="158">
        <f t="shared" si="14"/>
        <v>12.539029533542042</v>
      </c>
      <c r="S30" s="158">
        <f t="shared" si="15"/>
        <v>12.539029533542042</v>
      </c>
      <c r="T30" s="158">
        <f t="shared" si="16"/>
        <v>12.539029533542042</v>
      </c>
      <c r="U30" s="153">
        <f>IF(VLEESKUIKENS!$H$15="ja",L30-((E30-G30*95%-I30)/E30*L30)*$R$6,L30-((E30-G30*80%-I30)/E30*L30)*$R$6)</f>
        <v>12.539029533542042</v>
      </c>
      <c r="V30" s="86">
        <f t="shared" si="6"/>
        <v>12.539029533542042</v>
      </c>
      <c r="W30" s="174">
        <f t="shared" si="17"/>
        <v>12.539029533542042</v>
      </c>
      <c r="X30" s="204">
        <f t="shared" si="18"/>
        <v>1</v>
      </c>
    </row>
    <row r="31" spans="1:32" x14ac:dyDescent="0.2">
      <c r="A31" s="1">
        <v>22</v>
      </c>
      <c r="B31" s="1">
        <v>867</v>
      </c>
      <c r="C31" s="3">
        <f t="shared" si="0"/>
        <v>0.89849222451107746</v>
      </c>
      <c r="D31" s="1">
        <v>105</v>
      </c>
      <c r="E31" s="4">
        <v>1.0047141364637706</v>
      </c>
      <c r="F31" s="4">
        <f t="shared" si="9"/>
        <v>1.0047141364637706</v>
      </c>
      <c r="G31" s="160">
        <f t="shared" si="1"/>
        <v>0</v>
      </c>
      <c r="H31" s="160">
        <f t="shared" si="2"/>
        <v>0</v>
      </c>
      <c r="I31" s="160">
        <f t="shared" si="3"/>
        <v>0</v>
      </c>
      <c r="J31" s="3">
        <v>1.6640140834809463</v>
      </c>
      <c r="K31" s="6">
        <f t="shared" si="21"/>
        <v>0.97514500000000004</v>
      </c>
      <c r="L31" s="3">
        <f t="shared" si="10"/>
        <v>14.058320781768897</v>
      </c>
      <c r="M31" s="177">
        <f t="shared" si="11"/>
        <v>14.058320781768897</v>
      </c>
      <c r="N31" s="111">
        <f t="shared" si="4"/>
        <v>14.058320781768897</v>
      </c>
      <c r="O31" s="177">
        <f t="shared" si="12"/>
        <v>14.058320781768897</v>
      </c>
      <c r="P31" s="177">
        <f t="shared" si="5"/>
        <v>14.058320781768897</v>
      </c>
      <c r="Q31" s="3">
        <f t="shared" si="13"/>
        <v>14.058320781768897</v>
      </c>
      <c r="R31" s="158">
        <f t="shared" si="14"/>
        <v>14.058320781768897</v>
      </c>
      <c r="S31" s="158">
        <f t="shared" si="15"/>
        <v>14.058320781768897</v>
      </c>
      <c r="T31" s="158">
        <f t="shared" si="16"/>
        <v>14.058320781768897</v>
      </c>
      <c r="U31" s="153">
        <f>IF(VLEESKUIKENS!$H$15="ja",L31-((E31-G31*95%-I31)/E31*L31)*$R$6,L31-((E31-G31*80%-I31)/E31*L31)*$R$6)</f>
        <v>14.058320781768897</v>
      </c>
      <c r="V31" s="86">
        <f t="shared" si="6"/>
        <v>14.058320781768897</v>
      </c>
      <c r="W31" s="174">
        <f t="shared" si="17"/>
        <v>14.058320781768897</v>
      </c>
      <c r="X31" s="204">
        <f t="shared" si="18"/>
        <v>1</v>
      </c>
    </row>
    <row r="32" spans="1:32" x14ac:dyDescent="0.2">
      <c r="A32" s="1">
        <v>23</v>
      </c>
      <c r="B32" s="1">
        <v>934</v>
      </c>
      <c r="C32" s="3">
        <f t="shared" si="0"/>
        <v>0.95007995899623099</v>
      </c>
      <c r="D32" s="1">
        <v>110</v>
      </c>
      <c r="E32" s="4">
        <v>1.1002121883704075</v>
      </c>
      <c r="F32" s="4">
        <f t="shared" si="9"/>
        <v>1.1002121883704075</v>
      </c>
      <c r="G32" s="160">
        <f t="shared" si="1"/>
        <v>0</v>
      </c>
      <c r="H32" s="160">
        <f t="shared" si="2"/>
        <v>0</v>
      </c>
      <c r="I32" s="160">
        <f t="shared" si="3"/>
        <v>0</v>
      </c>
      <c r="J32" s="3">
        <v>1.7027136746952953</v>
      </c>
      <c r="K32" s="6">
        <f t="shared" si="21"/>
        <v>0.97428800000000004</v>
      </c>
      <c r="L32" s="3">
        <f t="shared" si="10"/>
        <v>15.744425484912538</v>
      </c>
      <c r="M32" s="177">
        <f t="shared" si="11"/>
        <v>15.744425484912538</v>
      </c>
      <c r="N32" s="111">
        <f t="shared" si="4"/>
        <v>15.744425484912538</v>
      </c>
      <c r="O32" s="177">
        <f t="shared" si="12"/>
        <v>15.744425484912538</v>
      </c>
      <c r="P32" s="177">
        <f t="shared" si="5"/>
        <v>15.744425484912538</v>
      </c>
      <c r="Q32" s="3">
        <f t="shared" si="13"/>
        <v>15.744425484912538</v>
      </c>
      <c r="R32" s="158">
        <f t="shared" si="14"/>
        <v>15.744425484912538</v>
      </c>
      <c r="S32" s="158">
        <f t="shared" si="15"/>
        <v>15.744425484912538</v>
      </c>
      <c r="T32" s="158">
        <f t="shared" si="16"/>
        <v>15.744425484912538</v>
      </c>
      <c r="U32" s="153">
        <f>IF(VLEESKUIKENS!$H$15="ja",L32-((E32-G32*95%-I32)/E32*L32)*$R$6,L32-((E32-G32*80%-I32)/E32*L32)*$R$6)</f>
        <v>15.744425484912538</v>
      </c>
      <c r="V32" s="86">
        <f t="shared" si="6"/>
        <v>15.744425484912538</v>
      </c>
      <c r="W32" s="174">
        <f t="shared" si="17"/>
        <v>15.744425484912538</v>
      </c>
      <c r="X32" s="204">
        <f t="shared" si="18"/>
        <v>1</v>
      </c>
    </row>
    <row r="33" spans="1:24" x14ac:dyDescent="0.2">
      <c r="A33" s="1">
        <v>24</v>
      </c>
      <c r="B33" s="1">
        <v>1002</v>
      </c>
      <c r="C33" s="3">
        <f t="shared" si="0"/>
        <v>1.0014996253121489</v>
      </c>
      <c r="D33" s="1">
        <v>115</v>
      </c>
      <c r="E33" s="4">
        <v>1.2047873275668293</v>
      </c>
      <c r="F33" s="4">
        <f t="shared" si="9"/>
        <v>1.2047873275668293</v>
      </c>
      <c r="G33" s="160">
        <f t="shared" si="1"/>
        <v>0</v>
      </c>
      <c r="H33" s="160">
        <f t="shared" si="2"/>
        <v>0</v>
      </c>
      <c r="I33" s="191">
        <f t="shared" si="3"/>
        <v>0</v>
      </c>
      <c r="J33" s="3">
        <v>1.7406090664597387</v>
      </c>
      <c r="K33" s="6">
        <f t="shared" si="21"/>
        <v>0.97343100000000005</v>
      </c>
      <c r="L33" s="3">
        <f t="shared" si="10"/>
        <v>17.615086718270192</v>
      </c>
      <c r="M33" s="177">
        <f t="shared" si="11"/>
        <v>17.615086718270192</v>
      </c>
      <c r="N33" s="111">
        <f t="shared" si="4"/>
        <v>17.615086718270192</v>
      </c>
      <c r="O33" s="177">
        <f t="shared" si="12"/>
        <v>17.615086718270192</v>
      </c>
      <c r="P33" s="177">
        <f t="shared" si="5"/>
        <v>17.615086718270192</v>
      </c>
      <c r="Q33" s="3">
        <f t="shared" si="13"/>
        <v>17.615086718270192</v>
      </c>
      <c r="R33" s="158">
        <f t="shared" si="14"/>
        <v>17.615086718270192</v>
      </c>
      <c r="S33" s="158">
        <f t="shared" si="15"/>
        <v>17.615086718270192</v>
      </c>
      <c r="T33" s="158">
        <f t="shared" si="16"/>
        <v>17.615086718270192</v>
      </c>
      <c r="U33" s="153">
        <f>IF(VLEESKUIKENS!$H$15="ja",L33-((E33-G33*95%-I33)/E33*L33)*$R$6,L33-((E33-G33*80%-I33)/E33*L33)*$R$6)</f>
        <v>17.615086718270192</v>
      </c>
      <c r="V33" s="86">
        <f t="shared" si="6"/>
        <v>17.615086718270192</v>
      </c>
      <c r="W33" s="174">
        <f t="shared" si="17"/>
        <v>17.615086718270192</v>
      </c>
      <c r="X33" s="204">
        <f t="shared" si="18"/>
        <v>1</v>
      </c>
    </row>
    <row r="34" spans="1:24" x14ac:dyDescent="0.2">
      <c r="A34" s="1">
        <v>25</v>
      </c>
      <c r="B34" s="1">
        <v>1071</v>
      </c>
      <c r="C34" s="3">
        <f t="shared" si="0"/>
        <v>1.0527908533241697</v>
      </c>
      <c r="D34" s="1">
        <v>120</v>
      </c>
      <c r="E34" s="4">
        <v>1.3193023309581282</v>
      </c>
      <c r="F34" s="4">
        <f t="shared" si="9"/>
        <v>1.3193023309581282</v>
      </c>
      <c r="G34" s="160">
        <f t="shared" si="1"/>
        <v>0</v>
      </c>
      <c r="H34" s="160">
        <f t="shared" si="2"/>
        <v>0</v>
      </c>
      <c r="I34" s="160">
        <f t="shared" si="3"/>
        <v>0</v>
      </c>
      <c r="J34" s="3">
        <v>1.7777494772651317</v>
      </c>
      <c r="K34" s="6">
        <f t="shared" si="21"/>
        <v>0.97257400000000005</v>
      </c>
      <c r="L34" s="3">
        <f t="shared" si="10"/>
        <v>19.689880837256492</v>
      </c>
      <c r="M34" s="177">
        <f t="shared" si="11"/>
        <v>19.689880837256492</v>
      </c>
      <c r="N34" s="111">
        <f t="shared" si="4"/>
        <v>19.689880837256492</v>
      </c>
      <c r="O34" s="177">
        <f t="shared" si="12"/>
        <v>19.689880837256492</v>
      </c>
      <c r="P34" s="177">
        <f t="shared" si="5"/>
        <v>19.689880837256492</v>
      </c>
      <c r="Q34" s="3">
        <f t="shared" si="13"/>
        <v>19.689880837256492</v>
      </c>
      <c r="R34" s="158">
        <f t="shared" si="14"/>
        <v>19.689880837256492</v>
      </c>
      <c r="S34" s="158">
        <f t="shared" si="15"/>
        <v>19.689880837256492</v>
      </c>
      <c r="T34" s="158">
        <f t="shared" si="16"/>
        <v>19.689880837256492</v>
      </c>
      <c r="U34" s="153">
        <f>IF(VLEESKUIKENS!$H$15="ja",L34-((E34-G34*95%-I34)/E34*L34)*$R$6,L34-((E34-G34*80%-I34)/E34*L34)*$R$6)</f>
        <v>19.689880837256492</v>
      </c>
      <c r="V34" s="86">
        <f>L34-((E34-G34-I34)/E34*L34)*$R$6</f>
        <v>19.689880837256492</v>
      </c>
      <c r="W34" s="174">
        <f t="shared" si="17"/>
        <v>19.689880837256492</v>
      </c>
      <c r="X34" s="204">
        <f t="shared" si="18"/>
        <v>1</v>
      </c>
    </row>
    <row r="35" spans="1:24" x14ac:dyDescent="0.2">
      <c r="A35" s="1">
        <v>26</v>
      </c>
      <c r="B35" s="1">
        <v>1143</v>
      </c>
      <c r="C35" s="3">
        <f t="shared" si="0"/>
        <v>1.1054387208421237</v>
      </c>
      <c r="D35" s="1">
        <v>125</v>
      </c>
      <c r="E35" s="4">
        <v>1.4447019823712437</v>
      </c>
      <c r="F35" s="4">
        <f t="shared" si="9"/>
        <v>1.4447019823712437</v>
      </c>
      <c r="G35" s="160">
        <f t="shared" si="1"/>
        <v>0</v>
      </c>
      <c r="H35" s="160">
        <f>IF(E35&lt;$R$5,E35-G35,$R$5)</f>
        <v>0</v>
      </c>
      <c r="I35" s="160">
        <f t="shared" si="3"/>
        <v>0</v>
      </c>
      <c r="J35" s="3">
        <v>1.8141792808343342</v>
      </c>
      <c r="K35" s="6">
        <f t="shared" si="21"/>
        <v>0.97171700000000005</v>
      </c>
      <c r="L35" s="3">
        <f t="shared" si="10"/>
        <v>21.990405313994639</v>
      </c>
      <c r="M35" s="177">
        <f t="shared" si="11"/>
        <v>21.990405313994639</v>
      </c>
      <c r="N35" s="111">
        <f t="shared" si="4"/>
        <v>21.990405313994639</v>
      </c>
      <c r="O35" s="177">
        <f t="shared" si="12"/>
        <v>21.990405313994639</v>
      </c>
      <c r="P35" s="177">
        <f t="shared" si="5"/>
        <v>21.990405313994639</v>
      </c>
      <c r="Q35" s="3">
        <f t="shared" si="13"/>
        <v>21.990405313994639</v>
      </c>
      <c r="R35" s="158">
        <f t="shared" si="14"/>
        <v>21.990405313994639</v>
      </c>
      <c r="S35" s="158">
        <f t="shared" si="15"/>
        <v>21.990405313994639</v>
      </c>
      <c r="T35" s="158">
        <f t="shared" si="16"/>
        <v>21.990405313994639</v>
      </c>
      <c r="U35" s="153">
        <f>IF(VLEESKUIKENS!$H$15="ja",L35-((E35-G35*95%-I35)/E35*L35)*$R$6,L35-((E35-G35*80%-I35)/E35*L35)*$R$6)</f>
        <v>21.990405313994639</v>
      </c>
      <c r="V35" s="86">
        <f t="shared" ref="V35:V51" si="24">L35-((E35-G35-I35)/E35*L35)*$R$6</f>
        <v>21.990405313994639</v>
      </c>
      <c r="W35" s="174">
        <f t="shared" si="17"/>
        <v>21.990405313994639</v>
      </c>
      <c r="X35" s="204">
        <f t="shared" si="18"/>
        <v>1</v>
      </c>
    </row>
    <row r="36" spans="1:24" x14ac:dyDescent="0.2">
      <c r="A36" s="1">
        <v>27</v>
      </c>
      <c r="B36" s="1">
        <v>1215</v>
      </c>
      <c r="C36" s="3">
        <f t="shared" si="0"/>
        <v>1.1572633740280138</v>
      </c>
      <c r="D36" s="1">
        <v>128</v>
      </c>
      <c r="E36" s="4">
        <v>1.5820208673106961</v>
      </c>
      <c r="F36" s="4">
        <f t="shared" si="9"/>
        <v>1.5820208673106961</v>
      </c>
      <c r="G36" s="160">
        <f>IF($R$4&gt;0&lt;E36,E36,IF($R$4&gt;E36,E36,$R$4))</f>
        <v>0</v>
      </c>
      <c r="H36" s="160">
        <f t="shared" ref="H36:H51" si="25">IF(E36&lt;$R$5,E36-G36,$R$5)</f>
        <v>0</v>
      </c>
      <c r="I36" s="160">
        <f t="shared" si="3"/>
        <v>0</v>
      </c>
      <c r="J36" s="3">
        <v>1.8499386496964256</v>
      </c>
      <c r="K36" s="6">
        <f t="shared" si="21"/>
        <v>0.97086000000000006</v>
      </c>
      <c r="L36" s="3">
        <f t="shared" si="10"/>
        <v>24.540485383794802</v>
      </c>
      <c r="M36" s="177">
        <f t="shared" si="11"/>
        <v>24.540485383794802</v>
      </c>
      <c r="N36" s="111">
        <f t="shared" si="4"/>
        <v>24.540485383794802</v>
      </c>
      <c r="O36" s="177">
        <f t="shared" si="12"/>
        <v>24.540485383794802</v>
      </c>
      <c r="P36" s="177">
        <f t="shared" si="5"/>
        <v>24.540485383794802</v>
      </c>
      <c r="Q36" s="3">
        <f t="shared" si="13"/>
        <v>24.540485383794802</v>
      </c>
      <c r="R36" s="158">
        <f t="shared" si="14"/>
        <v>24.540485383794802</v>
      </c>
      <c r="S36" s="158">
        <f t="shared" si="15"/>
        <v>24.540485383794802</v>
      </c>
      <c r="T36" s="158">
        <f t="shared" si="16"/>
        <v>24.540485383794802</v>
      </c>
      <c r="U36" s="153">
        <f>IF(VLEESKUIKENS!$H$15="ja",L36-((E36-G36*95%-I36)/E36*L36)*$R$6,L36-((E36-G36*80%-I36)/E36*L36)*$R$6)</f>
        <v>24.540485383794802</v>
      </c>
      <c r="V36" s="86">
        <f t="shared" si="24"/>
        <v>24.540485383794802</v>
      </c>
      <c r="W36" s="174">
        <f t="shared" si="17"/>
        <v>24.540485383794802</v>
      </c>
      <c r="X36" s="204">
        <f t="shared" si="18"/>
        <v>1</v>
      </c>
    </row>
    <row r="37" spans="1:24" x14ac:dyDescent="0.2">
      <c r="A37" s="1">
        <v>28</v>
      </c>
      <c r="B37" s="1">
        <v>1290</v>
      </c>
      <c r="C37" s="3">
        <f t="shared" si="0"/>
        <v>1.210437257034197</v>
      </c>
      <c r="D37" s="1">
        <v>133</v>
      </c>
      <c r="E37" s="4">
        <v>1.7323919086056518</v>
      </c>
      <c r="F37" s="4">
        <f t="shared" si="9"/>
        <v>1.7323919086056518</v>
      </c>
      <c r="G37" s="160">
        <f t="shared" ref="G37:G51" si="26">IF($R$4&gt;0&lt;E37,E37,IF($R$4&gt;E37,E37,$R$4))</f>
        <v>0</v>
      </c>
      <c r="H37" s="160">
        <f t="shared" si="25"/>
        <v>0</v>
      </c>
      <c r="I37" s="160">
        <f t="shared" si="3"/>
        <v>0</v>
      </c>
      <c r="J37" s="3">
        <v>1.8850640927470739</v>
      </c>
      <c r="K37" s="6">
        <f t="shared" si="21"/>
        <v>0.97000300000000006</v>
      </c>
      <c r="L37" s="3">
        <f t="shared" si="10"/>
        <v>27.366401411597796</v>
      </c>
      <c r="M37" s="177">
        <f t="shared" si="11"/>
        <v>27.366401411597796</v>
      </c>
      <c r="N37" s="111">
        <f t="shared" si="4"/>
        <v>27.366401411597796</v>
      </c>
      <c r="O37" s="177">
        <f t="shared" si="12"/>
        <v>27.366401411597796</v>
      </c>
      <c r="P37" s="177">
        <f t="shared" si="5"/>
        <v>27.366401411597796</v>
      </c>
      <c r="Q37" s="3">
        <f t="shared" si="13"/>
        <v>27.366401411597796</v>
      </c>
      <c r="R37" s="158">
        <f t="shared" si="14"/>
        <v>27.366401411597796</v>
      </c>
      <c r="S37" s="158">
        <f t="shared" si="15"/>
        <v>27.366401411597796</v>
      </c>
      <c r="T37" s="158">
        <f t="shared" si="16"/>
        <v>27.366401411597796</v>
      </c>
      <c r="U37" s="153">
        <f>IF(VLEESKUIKENS!$H$15="ja",L37-((E37-G37*95%-I37)/E37*L37)*$R$6,L37-((E37-G37*80%-I37)/E37*L37)*$R$6)</f>
        <v>27.366401411597796</v>
      </c>
      <c r="V37" s="86">
        <f t="shared" si="24"/>
        <v>27.366401411597796</v>
      </c>
      <c r="W37" s="174">
        <f t="shared" si="17"/>
        <v>27.366401411597796</v>
      </c>
      <c r="X37" s="204">
        <f t="shared" si="18"/>
        <v>1</v>
      </c>
    </row>
    <row r="38" spans="1:24" x14ac:dyDescent="0.2">
      <c r="A38" s="1">
        <v>29</v>
      </c>
      <c r="B38" s="1">
        <v>1366</v>
      </c>
      <c r="C38" s="3">
        <f t="shared" si="0"/>
        <v>1.2635371765267982</v>
      </c>
      <c r="D38" s="1">
        <v>137</v>
      </c>
      <c r="E38" s="4">
        <v>1.8970557133700083</v>
      </c>
      <c r="F38" s="4">
        <f t="shared" si="9"/>
        <v>1.8970557133700083</v>
      </c>
      <c r="G38" s="160">
        <f t="shared" si="26"/>
        <v>0</v>
      </c>
      <c r="H38" s="160">
        <f t="shared" si="25"/>
        <v>0</v>
      </c>
      <c r="I38" s="160">
        <f t="shared" si="3"/>
        <v>0</v>
      </c>
      <c r="J38" s="3">
        <v>1.9195889074002137</v>
      </c>
      <c r="K38" s="6">
        <f t="shared" si="21"/>
        <v>0.96914600000000006</v>
      </c>
      <c r="L38" s="3">
        <f t="shared" si="10"/>
        <v>30.497139071527467</v>
      </c>
      <c r="M38" s="177">
        <f t="shared" si="11"/>
        <v>30.497139071527467</v>
      </c>
      <c r="N38" s="111">
        <f>(((($J38*(1-$R$2))-$J$3)/1000*$F38*24*365*$K38)*(1-R$4))+(((($J38*(1-$R$2))-$J$3)/1000*$G38*24*365*$K38)*(1-R$3))</f>
        <v>30.497139071527467</v>
      </c>
      <c r="O38" s="177">
        <f t="shared" si="12"/>
        <v>30.497139071527467</v>
      </c>
      <c r="P38" s="177">
        <f t="shared" si="5"/>
        <v>30.497139071527467</v>
      </c>
      <c r="Q38" s="3">
        <f t="shared" si="13"/>
        <v>30.497139071527467</v>
      </c>
      <c r="R38" s="158">
        <f t="shared" si="14"/>
        <v>30.497139071527467</v>
      </c>
      <c r="S38" s="158">
        <f t="shared" si="15"/>
        <v>30.497139071527467</v>
      </c>
      <c r="T38" s="158">
        <f t="shared" si="16"/>
        <v>30.497139071527467</v>
      </c>
      <c r="U38" s="153">
        <f>IF(VLEESKUIKENS!$H$15="ja",L38-((E38-G38*95%-I38)/E38*L38)*$R$6,L38-((E38-G38*80%-I38)/E38*L38)*$R$6)</f>
        <v>30.497139071527467</v>
      </c>
      <c r="V38" s="86">
        <f t="shared" si="24"/>
        <v>30.497139071527467</v>
      </c>
      <c r="W38" s="174">
        <f t="shared" si="17"/>
        <v>30.497139071527467</v>
      </c>
      <c r="X38" s="204">
        <f t="shared" si="18"/>
        <v>1</v>
      </c>
    </row>
    <row r="39" spans="1:24" x14ac:dyDescent="0.2">
      <c r="A39" s="1">
        <v>30</v>
      </c>
      <c r="B39" s="1">
        <v>1443</v>
      </c>
      <c r="C39" s="3">
        <f t="shared" si="0"/>
        <v>1.3165875631814998</v>
      </c>
      <c r="D39" s="1">
        <v>141</v>
      </c>
      <c r="E39" s="4">
        <v>2.0773708083907936</v>
      </c>
      <c r="F39" s="4">
        <f t="shared" si="9"/>
        <v>2.0773708083907936</v>
      </c>
      <c r="G39" s="160">
        <f t="shared" si="26"/>
        <v>0</v>
      </c>
      <c r="H39" s="160">
        <f t="shared" si="25"/>
        <v>0</v>
      </c>
      <c r="I39" s="160">
        <f t="shared" si="3"/>
        <v>0</v>
      </c>
      <c r="J39" s="3">
        <v>1.9535435623623054</v>
      </c>
      <c r="K39" s="6">
        <f t="shared" si="21"/>
        <v>0.96828900000000007</v>
      </c>
      <c r="L39" s="3">
        <f t="shared" si="10"/>
        <v>33.964664635588818</v>
      </c>
      <c r="M39" s="177">
        <f t="shared" si="11"/>
        <v>33.964664635588818</v>
      </c>
      <c r="N39" s="111">
        <f>(((($J39*(1-$R$2))-$J$3)/1000*$F39*24*365*$K39)*(1-R$4))+(((($J39*(1-$R$2))-$J$3)/1000*$G39*24*365*$K39)*(1-R$3))</f>
        <v>33.964664635588818</v>
      </c>
      <c r="O39" s="177">
        <f t="shared" si="12"/>
        <v>33.964664635588818</v>
      </c>
      <c r="P39" s="177">
        <f t="shared" si="5"/>
        <v>33.964664635588818</v>
      </c>
      <c r="Q39" s="3">
        <f t="shared" si="13"/>
        <v>33.964664635588818</v>
      </c>
      <c r="R39" s="158">
        <f t="shared" si="14"/>
        <v>33.964664635588818</v>
      </c>
      <c r="S39" s="158">
        <f t="shared" si="15"/>
        <v>33.964664635588818</v>
      </c>
      <c r="T39" s="158">
        <f t="shared" si="16"/>
        <v>33.964664635588818</v>
      </c>
      <c r="U39" s="153">
        <f>IF(VLEESKUIKENS!$H$15="ja",L39-((E39-G39*95%-I39)/E39*L39)*$R$6,L39-((E39-G39*80%-I39)/E39*L39)*$R$6)</f>
        <v>33.964664635588818</v>
      </c>
      <c r="V39" s="86">
        <f t="shared" si="24"/>
        <v>33.964664635588818</v>
      </c>
      <c r="W39" s="174">
        <f t="shared" si="17"/>
        <v>33.964664635588818</v>
      </c>
      <c r="X39" s="204">
        <f t="shared" si="18"/>
        <v>1</v>
      </c>
    </row>
    <row r="40" spans="1:24" x14ac:dyDescent="0.2">
      <c r="A40" s="1">
        <v>31</v>
      </c>
      <c r="B40" s="1">
        <v>1521</v>
      </c>
      <c r="C40" s="3">
        <f t="shared" si="0"/>
        <v>1.3696099755898687</v>
      </c>
      <c r="D40" s="1">
        <v>145</v>
      </c>
      <c r="E40" s="4">
        <v>2.27482484838995</v>
      </c>
      <c r="F40" s="4">
        <f t="shared" si="9"/>
        <v>2.27482484838995</v>
      </c>
      <c r="G40" s="160">
        <f t="shared" si="26"/>
        <v>0</v>
      </c>
      <c r="H40" s="160">
        <f t="shared" si="25"/>
        <v>0</v>
      </c>
      <c r="I40" s="160">
        <f t="shared" si="3"/>
        <v>0</v>
      </c>
      <c r="J40" s="3">
        <v>1.9869560236198514</v>
      </c>
      <c r="K40" s="6">
        <f t="shared" si="21"/>
        <v>0.96743200000000007</v>
      </c>
      <c r="L40" s="3">
        <f t="shared" si="10"/>
        <v>37.80422789172534</v>
      </c>
      <c r="M40" s="177">
        <f t="shared" si="11"/>
        <v>37.80422789172534</v>
      </c>
      <c r="N40" s="111">
        <f>(((($J40*(1-$R$2))-$J$3)/1000*$F40*24*365*$K40)*(1-R$4))+(((($J40*(1-$R$2))-$J$3)/1000*$G40*24*365*$K40)*(1-R$3))</f>
        <v>37.80422789172534</v>
      </c>
      <c r="O40" s="177">
        <f t="shared" si="12"/>
        <v>37.80422789172534</v>
      </c>
      <c r="P40" s="177">
        <f t="shared" si="5"/>
        <v>37.80422789172534</v>
      </c>
      <c r="Q40" s="3">
        <f t="shared" si="13"/>
        <v>37.80422789172534</v>
      </c>
      <c r="R40" s="158">
        <f t="shared" si="14"/>
        <v>37.80422789172534</v>
      </c>
      <c r="S40" s="158">
        <f t="shared" si="15"/>
        <v>37.80422789172534</v>
      </c>
      <c r="T40" s="158">
        <f t="shared" si="16"/>
        <v>37.80422789172534</v>
      </c>
      <c r="U40" s="153">
        <f>IF(VLEESKUIKENS!$H$15="ja",L40-((E40-G40*95%-I40)/E40*L40)*$R$6,L40-((E40-G40*80%-I40)/E40*L40)*$R$6)</f>
        <v>37.80422789172534</v>
      </c>
      <c r="V40" s="86">
        <f t="shared" si="24"/>
        <v>37.80422789172534</v>
      </c>
      <c r="W40" s="174">
        <f t="shared" si="17"/>
        <v>37.80422789172534</v>
      </c>
      <c r="X40" s="204">
        <f t="shared" si="18"/>
        <v>1</v>
      </c>
    </row>
    <row r="41" spans="1:24" x14ac:dyDescent="0.2">
      <c r="A41" s="1">
        <v>32</v>
      </c>
      <c r="B41" s="1">
        <v>1600</v>
      </c>
      <c r="C41" s="3">
        <f t="shared" si="0"/>
        <v>1.4226235280311383</v>
      </c>
      <c r="D41" s="1">
        <v>150</v>
      </c>
      <c r="E41" s="4">
        <v>2.4910468896311149</v>
      </c>
      <c r="F41" s="4">
        <f t="shared" si="9"/>
        <v>2.4910468896311149</v>
      </c>
      <c r="G41" s="160">
        <f t="shared" si="26"/>
        <v>0</v>
      </c>
      <c r="H41" s="160">
        <f t="shared" si="25"/>
        <v>0</v>
      </c>
      <c r="I41" s="160">
        <f t="shared" si="3"/>
        <v>0</v>
      </c>
      <c r="J41" s="3">
        <v>2.0198520336153374</v>
      </c>
      <c r="K41" s="6">
        <f t="shared" si="21"/>
        <v>0.96657500000000007</v>
      </c>
      <c r="L41" s="3">
        <f t="shared" si="10"/>
        <v>42.054695458661151</v>
      </c>
      <c r="M41" s="177">
        <f t="shared" si="11"/>
        <v>42.054695458661151</v>
      </c>
      <c r="N41" s="111">
        <f t="shared" ref="N41:N51" si="27">(((($J41*(1-$R$2))-$J$3)/1000*$F41*24*365*$K41)*(1-R$5))+(((($J41*(1-$R$2))-$J$3)/1000*$G41*24*365*$K41)*(1-R$3))</f>
        <v>42.054695458661151</v>
      </c>
      <c r="O41" s="177">
        <f t="shared" si="12"/>
        <v>42.054695458661151</v>
      </c>
      <c r="P41" s="177">
        <f t="shared" si="5"/>
        <v>42.054695458661151</v>
      </c>
      <c r="Q41" s="3">
        <f t="shared" si="13"/>
        <v>42.054695458661151</v>
      </c>
      <c r="R41" s="158">
        <f t="shared" si="14"/>
        <v>42.054695458661151</v>
      </c>
      <c r="S41" s="158">
        <f t="shared" si="15"/>
        <v>42.054695458661151</v>
      </c>
      <c r="T41" s="158">
        <f t="shared" si="16"/>
        <v>42.054695458661151</v>
      </c>
      <c r="U41" s="153">
        <f>IF(VLEESKUIKENS!$H$15="ja",L41-((E41-G41*95%-I41)/E41*L41)*$R$6,L41-((E41-G41*80%-I41)/E41*L41)*$R$6)</f>
        <v>42.054695458661151</v>
      </c>
      <c r="V41" s="86">
        <f t="shared" si="24"/>
        <v>42.054695458661151</v>
      </c>
      <c r="W41" s="174">
        <f t="shared" si="17"/>
        <v>42.054695458661151</v>
      </c>
      <c r="X41" s="204">
        <f t="shared" si="18"/>
        <v>1</v>
      </c>
    </row>
    <row r="42" spans="1:24" x14ac:dyDescent="0.2">
      <c r="A42" s="1">
        <v>33</v>
      </c>
      <c r="B42" s="1">
        <v>1680</v>
      </c>
      <c r="C42" s="3">
        <f t="shared" si="0"/>
        <v>1.4756452401119453</v>
      </c>
      <c r="D42" s="1">
        <v>155</v>
      </c>
      <c r="E42" s="4">
        <v>2.7278208301323859</v>
      </c>
      <c r="F42" s="4">
        <f t="shared" si="9"/>
        <v>2.7278208301323859</v>
      </c>
      <c r="G42" s="160">
        <f t="shared" si="26"/>
        <v>0</v>
      </c>
      <c r="H42" s="160">
        <f t="shared" si="25"/>
        <v>0</v>
      </c>
      <c r="I42" s="160">
        <f t="shared" ref="I42:I50" si="28">MIN(R$5,E42-G42)</f>
        <v>0</v>
      </c>
      <c r="J42" s="3">
        <v>2.0522553515790203</v>
      </c>
      <c r="K42" s="6">
        <f t="shared" si="21"/>
        <v>0.96571800000000008</v>
      </c>
      <c r="L42" s="3">
        <f t="shared" si="10"/>
        <v>46.758917537224043</v>
      </c>
      <c r="M42" s="177">
        <f t="shared" si="11"/>
        <v>46.758917537224043</v>
      </c>
      <c r="N42" s="111">
        <f t="shared" si="27"/>
        <v>46.758917537224043</v>
      </c>
      <c r="O42" s="177">
        <f t="shared" si="12"/>
        <v>46.758917537224043</v>
      </c>
      <c r="P42" s="177">
        <f t="shared" si="5"/>
        <v>46.758917537224043</v>
      </c>
      <c r="Q42" s="3">
        <f t="shared" si="13"/>
        <v>46.758917537224043</v>
      </c>
      <c r="R42" s="158">
        <f t="shared" si="14"/>
        <v>46.758917537224043</v>
      </c>
      <c r="S42" s="158">
        <f t="shared" si="15"/>
        <v>46.758917537224043</v>
      </c>
      <c r="T42" s="158">
        <f t="shared" si="16"/>
        <v>46.758917537224043</v>
      </c>
      <c r="U42" s="153">
        <f>IF(VLEESKUIKENS!$H$15="ja",L42-((E42-G42*95%-I42)/E42*L42)*$R$6,L42-((E42-G42*80%-I42)/E42*L42)*$R$6)</f>
        <v>46.758917537224043</v>
      </c>
      <c r="V42" s="86">
        <f t="shared" si="24"/>
        <v>46.758917537224043</v>
      </c>
      <c r="W42" s="174">
        <f t="shared" si="17"/>
        <v>46.758917537224043</v>
      </c>
      <c r="X42" s="204">
        <f t="shared" si="18"/>
        <v>1</v>
      </c>
    </row>
    <row r="43" spans="1:24" x14ac:dyDescent="0.2">
      <c r="A43" s="1">
        <v>34</v>
      </c>
      <c r="B43" s="1">
        <v>1762</v>
      </c>
      <c r="C43" s="3">
        <f t="shared" si="0"/>
        <v>1.5293413394700739</v>
      </c>
      <c r="D43" s="1">
        <v>160</v>
      </c>
      <c r="E43" s="4">
        <v>2.987100127370959</v>
      </c>
      <c r="F43" s="4">
        <f t="shared" si="9"/>
        <v>2.987100127370959</v>
      </c>
      <c r="G43" s="160">
        <f t="shared" si="26"/>
        <v>0</v>
      </c>
      <c r="H43" s="160">
        <f t="shared" si="25"/>
        <v>0</v>
      </c>
      <c r="I43" s="160">
        <f t="shared" si="28"/>
        <v>0</v>
      </c>
      <c r="J43" s="3">
        <v>2.0841879614286749</v>
      </c>
      <c r="K43" s="6">
        <f t="shared" si="21"/>
        <v>0.96486100000000008</v>
      </c>
      <c r="L43" s="3">
        <f t="shared" si="10"/>
        <v>51.96413143746669</v>
      </c>
      <c r="M43" s="177">
        <f t="shared" si="11"/>
        <v>51.96413143746669</v>
      </c>
      <c r="N43" s="111">
        <f t="shared" si="27"/>
        <v>51.96413143746669</v>
      </c>
      <c r="O43" s="177">
        <f t="shared" si="12"/>
        <v>51.96413143746669</v>
      </c>
      <c r="P43" s="177">
        <f t="shared" si="5"/>
        <v>51.96413143746669</v>
      </c>
      <c r="Q43" s="3">
        <f t="shared" si="13"/>
        <v>51.96413143746669</v>
      </c>
      <c r="R43" s="158">
        <f t="shared" si="14"/>
        <v>51.96413143746669</v>
      </c>
      <c r="S43" s="158">
        <f t="shared" si="15"/>
        <v>51.96413143746669</v>
      </c>
      <c r="T43" s="158">
        <f t="shared" si="16"/>
        <v>51.96413143746669</v>
      </c>
      <c r="U43" s="153">
        <f>IF(VLEESKUIKENS!$H$15="ja",L43-((E43-G43*95%-I43)/E43*L43)*$R$6,L43-((E43-G43*80%-I43)/E43*L43)*$R$6)</f>
        <v>51.96413143746669</v>
      </c>
      <c r="V43" s="86">
        <f t="shared" si="24"/>
        <v>51.96413143746669</v>
      </c>
      <c r="W43" s="174">
        <f t="shared" si="17"/>
        <v>51.96413143746669</v>
      </c>
      <c r="X43" s="204">
        <f t="shared" si="18"/>
        <v>1</v>
      </c>
    </row>
    <row r="44" spans="1:24" x14ac:dyDescent="0.2">
      <c r="A44" s="1">
        <v>35</v>
      </c>
      <c r="B44" s="1">
        <v>1844</v>
      </c>
      <c r="C44" s="3">
        <f t="shared" si="0"/>
        <v>1.5824160803743146</v>
      </c>
      <c r="D44" s="1">
        <v>165</v>
      </c>
      <c r="E44" s="4">
        <f>MIN('Max waarden'!$B$10,3.2710239149052)</f>
        <v>3.2710239149052001</v>
      </c>
      <c r="F44" s="4">
        <f t="shared" si="9"/>
        <v>3.2710239149052001</v>
      </c>
      <c r="G44" s="160">
        <f t="shared" si="26"/>
        <v>0</v>
      </c>
      <c r="H44" s="160">
        <f t="shared" si="25"/>
        <v>0</v>
      </c>
      <c r="I44" s="160">
        <f t="shared" si="28"/>
        <v>0</v>
      </c>
      <c r="J44" s="3">
        <v>2.1156702524343451</v>
      </c>
      <c r="K44" s="6">
        <f t="shared" si="21"/>
        <v>0.96400400000000008</v>
      </c>
      <c r="L44" s="3">
        <f t="shared" si="10"/>
        <v>57.722405550439589</v>
      </c>
      <c r="M44" s="177">
        <f t="shared" si="11"/>
        <v>57.722405550439589</v>
      </c>
      <c r="N44" s="111">
        <f t="shared" si="27"/>
        <v>57.722405550439589</v>
      </c>
      <c r="O44" s="177">
        <f t="shared" si="12"/>
        <v>57.722405550439589</v>
      </c>
      <c r="P44" s="177">
        <f t="shared" si="5"/>
        <v>57.722405550439589</v>
      </c>
      <c r="Q44" s="3">
        <f t="shared" si="13"/>
        <v>57.722405550439589</v>
      </c>
      <c r="R44" s="158">
        <f t="shared" si="14"/>
        <v>57.722405550439589</v>
      </c>
      <c r="S44" s="158">
        <f t="shared" si="15"/>
        <v>57.722405550439589</v>
      </c>
      <c r="T44" s="158">
        <f t="shared" si="16"/>
        <v>57.722405550439589</v>
      </c>
      <c r="U44" s="153">
        <f>IF(VLEESKUIKENS!$H$15="ja",L44-((E44-G44*95%-I44)/E44*L44)*$R$6,L44-((E44-G44*80%-I44)/E44*L44)*$R$6)</f>
        <v>57.722405550439589</v>
      </c>
      <c r="V44" s="86">
        <f t="shared" si="24"/>
        <v>57.722405550439589</v>
      </c>
      <c r="W44" s="174">
        <f t="shared" si="17"/>
        <v>57.722405550439589</v>
      </c>
      <c r="X44" s="204">
        <f t="shared" si="18"/>
        <v>1</v>
      </c>
    </row>
    <row r="45" spans="1:24" x14ac:dyDescent="0.2">
      <c r="A45" s="1">
        <v>36</v>
      </c>
      <c r="B45" s="1">
        <v>1927</v>
      </c>
      <c r="C45" s="3">
        <f t="shared" si="0"/>
        <v>1.6355404367292354</v>
      </c>
      <c r="D45" s="1">
        <v>170</v>
      </c>
      <c r="E45" s="4">
        <f>MIN('Max waarden'!$B$10,3.58193465088123)</f>
        <v>3.5819346508812302</v>
      </c>
      <c r="F45" s="4">
        <f t="shared" si="9"/>
        <v>3.5819346508812302</v>
      </c>
      <c r="G45" s="160">
        <f t="shared" si="26"/>
        <v>0</v>
      </c>
      <c r="H45" s="160">
        <f t="shared" si="25"/>
        <v>0</v>
      </c>
      <c r="I45" s="160">
        <f t="shared" si="28"/>
        <v>0</v>
      </c>
      <c r="J45" s="3">
        <v>2.1467211768883234</v>
      </c>
      <c r="K45" s="6">
        <f t="shared" si="21"/>
        <v>0.96314700000000009</v>
      </c>
      <c r="L45" s="3">
        <f t="shared" si="10"/>
        <v>64.091127795766525</v>
      </c>
      <c r="M45" s="177">
        <f t="shared" si="11"/>
        <v>64.091127795766525</v>
      </c>
      <c r="N45" s="111">
        <f t="shared" si="27"/>
        <v>64.091127795766525</v>
      </c>
      <c r="O45" s="177">
        <f t="shared" si="12"/>
        <v>64.091127795766525</v>
      </c>
      <c r="P45" s="177">
        <f t="shared" si="5"/>
        <v>64.091127795766525</v>
      </c>
      <c r="Q45" s="3">
        <f t="shared" si="13"/>
        <v>64.091127795766525</v>
      </c>
      <c r="R45" s="158">
        <f t="shared" si="14"/>
        <v>64.091127795766525</v>
      </c>
      <c r="S45" s="158">
        <f t="shared" si="15"/>
        <v>64.091127795766525</v>
      </c>
      <c r="T45" s="158">
        <f t="shared" si="16"/>
        <v>64.091127795766525</v>
      </c>
      <c r="U45" s="153">
        <f>IF(VLEESKUIKENS!$H$15="ja",L45-((E45-G45*95%-I45)/E45*L45)*$R$6,L45-((E45-G45*80%-I45)/E45*L45)*$R$6)</f>
        <v>64.091127795766525</v>
      </c>
      <c r="V45" s="86">
        <f t="shared" si="24"/>
        <v>64.091127795766525</v>
      </c>
      <c r="W45" s="174">
        <f t="shared" si="17"/>
        <v>64.091127795766525</v>
      </c>
      <c r="X45" s="204">
        <f t="shared" si="18"/>
        <v>1</v>
      </c>
    </row>
    <row r="46" spans="1:24" x14ac:dyDescent="0.2">
      <c r="A46" s="1">
        <v>37</v>
      </c>
      <c r="B46" s="1">
        <v>2009</v>
      </c>
      <c r="C46" s="3">
        <f t="shared" si="0"/>
        <v>1.6874656945031656</v>
      </c>
      <c r="D46" s="1">
        <v>175</v>
      </c>
      <c r="E46" s="4">
        <f>MIN('Max waarden'!$B$10,3.92239744402953)</f>
        <v>3.9223974440295302</v>
      </c>
      <c r="F46" s="4">
        <f t="shared" si="9"/>
        <v>3.9223974440295302</v>
      </c>
      <c r="G46" s="160">
        <f t="shared" si="26"/>
        <v>0</v>
      </c>
      <c r="H46" s="160">
        <f t="shared" si="25"/>
        <v>0</v>
      </c>
      <c r="I46" s="160">
        <f t="shared" si="28"/>
        <v>0</v>
      </c>
      <c r="J46" s="3">
        <v>2.1773583882614829</v>
      </c>
      <c r="K46" s="6">
        <f t="shared" si="21"/>
        <v>0.96229000000000009</v>
      </c>
      <c r="L46" s="3">
        <f t="shared" si="10"/>
        <v>71.133542974383559</v>
      </c>
      <c r="M46" s="177">
        <f t="shared" si="11"/>
        <v>71.133542974383559</v>
      </c>
      <c r="N46" s="111">
        <f t="shared" si="27"/>
        <v>71.133542974383559</v>
      </c>
      <c r="O46" s="177">
        <f t="shared" si="12"/>
        <v>71.133542974383559</v>
      </c>
      <c r="P46" s="177">
        <f t="shared" si="5"/>
        <v>71.133542974383559</v>
      </c>
      <c r="Q46" s="3">
        <f t="shared" si="13"/>
        <v>71.133542974383559</v>
      </c>
      <c r="R46" s="158">
        <f t="shared" si="14"/>
        <v>71.133542974383559</v>
      </c>
      <c r="S46" s="158">
        <f t="shared" si="15"/>
        <v>71.133542974383559</v>
      </c>
      <c r="T46" s="158">
        <f t="shared" si="16"/>
        <v>71.133542974383559</v>
      </c>
      <c r="U46" s="153">
        <f>IF(VLEESKUIKENS!$H$15="ja",L46-((E46-G46*95%-I46)/E46*L46)*$R$6,L46-((E46-G46*80%-I46)/E46*L46)*$R$6)</f>
        <v>71.133542974383559</v>
      </c>
      <c r="V46" s="86">
        <f t="shared" si="24"/>
        <v>71.133542974383559</v>
      </c>
      <c r="W46" s="174">
        <f t="shared" si="17"/>
        <v>71.133542974383559</v>
      </c>
      <c r="X46" s="204">
        <f t="shared" si="18"/>
        <v>1</v>
      </c>
    </row>
    <row r="47" spans="1:24" x14ac:dyDescent="0.2">
      <c r="A47" s="1">
        <v>38</v>
      </c>
      <c r="B47" s="1">
        <v>2092</v>
      </c>
      <c r="C47" s="3">
        <f t="shared" si="0"/>
        <v>1.7394872913327406</v>
      </c>
      <c r="D47" s="1">
        <v>179</v>
      </c>
      <c r="E47" s="4">
        <f>MIN('Max waarden'!$B$10,4.2952212165971)</f>
        <v>4.2952212165971</v>
      </c>
      <c r="F47" s="4">
        <f t="shared" si="9"/>
        <v>4.2952212165971</v>
      </c>
      <c r="G47" s="160">
        <f t="shared" si="26"/>
        <v>0</v>
      </c>
      <c r="H47" s="160">
        <f t="shared" si="25"/>
        <v>0</v>
      </c>
      <c r="I47" s="160">
        <f t="shared" si="28"/>
        <v>0</v>
      </c>
      <c r="J47" s="3">
        <v>2.2075983627206743</v>
      </c>
      <c r="K47" s="6">
        <f t="shared" si="21"/>
        <v>0.96143300000000009</v>
      </c>
      <c r="L47" s="3">
        <f t="shared" si="10"/>
        <v>78.919343893406136</v>
      </c>
      <c r="M47" s="177">
        <f t="shared" si="11"/>
        <v>78.919343893406136</v>
      </c>
      <c r="N47" s="111">
        <f t="shared" si="27"/>
        <v>78.919343893406136</v>
      </c>
      <c r="O47" s="177">
        <f t="shared" si="12"/>
        <v>78.919343893406136</v>
      </c>
      <c r="P47" s="177">
        <f t="shared" si="5"/>
        <v>78.919343893406136</v>
      </c>
      <c r="Q47" s="3">
        <f t="shared" si="13"/>
        <v>78.919343893406136</v>
      </c>
      <c r="R47" s="158">
        <f t="shared" si="14"/>
        <v>78.919343893406136</v>
      </c>
      <c r="S47" s="158">
        <f t="shared" si="15"/>
        <v>78.919343893406136</v>
      </c>
      <c r="T47" s="158">
        <f t="shared" si="16"/>
        <v>78.919343893406136</v>
      </c>
      <c r="U47" s="153">
        <f>IF(VLEESKUIKENS!$H$15="ja",L47-((E47-G47*95%-I47)/E47*L47)*$R$6,L47-((E47-G47*80%-I47)/E47*L47)*$R$6)</f>
        <v>78.919343893406136</v>
      </c>
      <c r="V47" s="86">
        <f t="shared" si="24"/>
        <v>78.919343893406136</v>
      </c>
      <c r="W47" s="174">
        <f t="shared" si="17"/>
        <v>78.919343893406136</v>
      </c>
      <c r="X47" s="204">
        <f t="shared" si="18"/>
        <v>1</v>
      </c>
    </row>
    <row r="48" spans="1:24" x14ac:dyDescent="0.2">
      <c r="A48" s="1">
        <v>39</v>
      </c>
      <c r="B48" s="1">
        <v>2176</v>
      </c>
      <c r="C48" s="3">
        <f t="shared" si="0"/>
        <v>1.7916128483160338</v>
      </c>
      <c r="D48" s="1">
        <v>184</v>
      </c>
      <c r="E48" s="4">
        <f>MIN('Max waarden'!$B$10,4.70348187881569)</f>
        <v>4.7034818788156896</v>
      </c>
      <c r="F48" s="4">
        <f t="shared" si="9"/>
        <v>4.7034818788156896</v>
      </c>
      <c r="G48" s="160">
        <f t="shared" si="26"/>
        <v>0</v>
      </c>
      <c r="H48" s="160">
        <f t="shared" si="25"/>
        <v>0</v>
      </c>
      <c r="I48" s="160">
        <f t="shared" si="28"/>
        <v>0</v>
      </c>
      <c r="J48" s="3">
        <v>2.23745650639421</v>
      </c>
      <c r="K48" s="6">
        <f t="shared" si="21"/>
        <v>0.9605760000000001</v>
      </c>
      <c r="L48" s="3">
        <f t="shared" si="10"/>
        <v>87.525321610899056</v>
      </c>
      <c r="M48" s="177">
        <f t="shared" si="11"/>
        <v>87.525321610899056</v>
      </c>
      <c r="N48" s="111">
        <f t="shared" si="27"/>
        <v>87.525321610899056</v>
      </c>
      <c r="O48" s="177">
        <f t="shared" si="12"/>
        <v>87.525321610899056</v>
      </c>
      <c r="P48" s="177">
        <f t="shared" si="5"/>
        <v>87.525321610899056</v>
      </c>
      <c r="Q48" s="3">
        <f t="shared" si="13"/>
        <v>87.525321610899056</v>
      </c>
      <c r="R48" s="158">
        <f t="shared" si="14"/>
        <v>87.525321610899056</v>
      </c>
      <c r="S48" s="158">
        <f>IF(E48-G48-H48&gt;=0,L48-((E48-G48-H48)/E48*L48)*$R$6,IF(G48&gt;H48,L48-((E48-G48)/E48*L48)*$R$6,L48-((E48-H48)/E48*L48)*$R$6))</f>
        <v>87.525321610899056</v>
      </c>
      <c r="T48" s="158">
        <f t="shared" si="16"/>
        <v>87.525321610899056</v>
      </c>
      <c r="U48" s="153">
        <f>IF(VLEESKUIKENS!$H$15="ja",L48-((E48-G48*95%-I48)/E48*L48)*$R$6,L48-((E48-G48*80%-I48)/E48*L48)*$R$6)</f>
        <v>87.525321610899056</v>
      </c>
      <c r="V48" s="86">
        <f t="shared" si="24"/>
        <v>87.525321610899056</v>
      </c>
      <c r="W48" s="174">
        <f t="shared" si="17"/>
        <v>87.525321610899056</v>
      </c>
      <c r="X48" s="204">
        <f t="shared" si="18"/>
        <v>1</v>
      </c>
    </row>
    <row r="49" spans="1:24" x14ac:dyDescent="0.2">
      <c r="A49" s="1">
        <v>40</v>
      </c>
      <c r="B49" s="1">
        <v>2259</v>
      </c>
      <c r="C49" s="3">
        <f t="shared" si="0"/>
        <v>1.8426259079151712</v>
      </c>
      <c r="D49" s="1">
        <v>189</v>
      </c>
      <c r="E49" s="4">
        <f>MIN('Max waarden'!$B$10,5.15054770610263)</f>
        <v>5.1505477061026301</v>
      </c>
      <c r="F49" s="4">
        <f t="shared" si="9"/>
        <v>5.1505477061026301</v>
      </c>
      <c r="G49" s="160">
        <f t="shared" si="26"/>
        <v>0</v>
      </c>
      <c r="H49" s="160">
        <f t="shared" si="25"/>
        <v>0</v>
      </c>
      <c r="I49" s="160">
        <f t="shared" si="28"/>
        <v>0</v>
      </c>
      <c r="J49" s="3">
        <v>2.2669472503778456</v>
      </c>
      <c r="K49" s="6">
        <f t="shared" si="21"/>
        <v>0.9597190000000001</v>
      </c>
      <c r="L49" s="3">
        <f t="shared" si="10"/>
        <v>97.03608067657251</v>
      </c>
      <c r="M49" s="177">
        <f t="shared" si="11"/>
        <v>97.03608067657251</v>
      </c>
      <c r="N49" s="111">
        <f t="shared" si="27"/>
        <v>97.03608067657251</v>
      </c>
      <c r="O49" s="177">
        <f t="shared" si="12"/>
        <v>97.03608067657251</v>
      </c>
      <c r="P49" s="177">
        <f t="shared" si="5"/>
        <v>97.03608067657251</v>
      </c>
      <c r="Q49" s="3">
        <f t="shared" si="13"/>
        <v>97.03608067657251</v>
      </c>
      <c r="R49" s="158">
        <f t="shared" si="14"/>
        <v>97.03608067657251</v>
      </c>
      <c r="S49" s="158">
        <f t="shared" si="15"/>
        <v>97.03608067657251</v>
      </c>
      <c r="T49" s="158">
        <f t="shared" si="16"/>
        <v>97.03608067657251</v>
      </c>
      <c r="U49" s="153">
        <f>IF(VLEESKUIKENS!$H$15="ja",L49-((E49-G49*95%-I49)/E49*L49)*$R$6,L49-((E49-G49*80%-I49)/E49*L49)*$R$6)</f>
        <v>97.03608067657251</v>
      </c>
      <c r="V49" s="86">
        <f t="shared" si="24"/>
        <v>97.03608067657251</v>
      </c>
      <c r="W49" s="174">
        <f t="shared" si="17"/>
        <v>97.03608067657251</v>
      </c>
      <c r="X49" s="204">
        <f t="shared" si="18"/>
        <v>1</v>
      </c>
    </row>
    <row r="50" spans="1:24" x14ac:dyDescent="0.2">
      <c r="A50" s="1">
        <v>41</v>
      </c>
      <c r="B50" s="1">
        <v>2342</v>
      </c>
      <c r="C50" s="3">
        <f t="shared" si="0"/>
        <v>1.893172415958305</v>
      </c>
      <c r="D50" s="1">
        <v>189</v>
      </c>
      <c r="E50" s="4">
        <f>MIN('Max waarden'!$B$10,5.64010712836396)</f>
        <v>5.6401071283639599</v>
      </c>
      <c r="F50" s="4">
        <f t="shared" si="9"/>
        <v>5.6401071283639599</v>
      </c>
      <c r="G50" s="160">
        <f t="shared" si="26"/>
        <v>0</v>
      </c>
      <c r="H50" s="160">
        <f t="shared" si="25"/>
        <v>0</v>
      </c>
      <c r="I50" s="160">
        <f t="shared" si="28"/>
        <v>0</v>
      </c>
      <c r="J50" s="3">
        <v>2.2960841351525101</v>
      </c>
      <c r="K50" s="6">
        <f t="shared" si="21"/>
        <v>0.9588620000000001</v>
      </c>
      <c r="L50" s="3">
        <f>($J50-$J$3)/1000*$E50*24*365*$K50</f>
        <v>107.54482582472687</v>
      </c>
      <c r="M50" s="177">
        <f t="shared" si="11"/>
        <v>107.54482582472687</v>
      </c>
      <c r="N50" s="111">
        <f t="shared" si="27"/>
        <v>107.54482582472687</v>
      </c>
      <c r="O50" s="177">
        <f t="shared" si="12"/>
        <v>107.54482582472687</v>
      </c>
      <c r="P50" s="177">
        <f t="shared" si="5"/>
        <v>107.54482582472687</v>
      </c>
      <c r="Q50" s="3">
        <f t="shared" si="13"/>
        <v>107.54482582472687</v>
      </c>
      <c r="R50" s="158">
        <f t="shared" si="14"/>
        <v>107.54482582472687</v>
      </c>
      <c r="S50" s="158">
        <f t="shared" si="15"/>
        <v>107.54482582472687</v>
      </c>
      <c r="T50" s="158">
        <f t="shared" si="16"/>
        <v>107.54482582472687</v>
      </c>
      <c r="U50" s="153">
        <f>IF(VLEESKUIKENS!$H$15="ja",L50-((E50-G50*95%-I50)/E50*L50)*$R$6,L50-((E50-G50*80%-I50)/E50*L50)*$R$6)</f>
        <v>107.54482582472687</v>
      </c>
      <c r="V50" s="86">
        <f t="shared" si="24"/>
        <v>107.54482582472687</v>
      </c>
      <c r="W50" s="174">
        <f t="shared" si="17"/>
        <v>107.54482582472687</v>
      </c>
      <c r="X50" s="204">
        <f t="shared" si="18"/>
        <v>1</v>
      </c>
    </row>
    <row r="51" spans="1:24" x14ac:dyDescent="0.2">
      <c r="A51" s="1">
        <v>42</v>
      </c>
      <c r="B51" s="1">
        <v>2425</v>
      </c>
      <c r="C51" s="3">
        <f t="shared" si="0"/>
        <v>1.9432729580095993</v>
      </c>
      <c r="D51" s="1">
        <v>190</v>
      </c>
      <c r="E51" s="4">
        <f>MIN('Max waarden'!$B$10,6.17619916067003)</f>
        <v>6.1761991606700297</v>
      </c>
      <c r="F51" s="220">
        <f t="shared" si="9"/>
        <v>6.1761991606700297</v>
      </c>
      <c r="G51" s="160">
        <f t="shared" si="26"/>
        <v>0</v>
      </c>
      <c r="H51" s="160">
        <f t="shared" si="25"/>
        <v>0</v>
      </c>
      <c r="I51" s="160">
        <f>MIN(R$5,E51-G51)</f>
        <v>0</v>
      </c>
      <c r="J51" s="3">
        <v>2.3248798858221513</v>
      </c>
      <c r="K51" s="6">
        <f t="shared" si="21"/>
        <v>0.95800500000000011</v>
      </c>
      <c r="L51" s="3">
        <f>($J51-$J$3)/1000*$E51*24*365*$K51</f>
        <v>119.15422721321058</v>
      </c>
      <c r="M51" s="177">
        <f t="shared" si="11"/>
        <v>119.15422721321058</v>
      </c>
      <c r="N51" s="111">
        <f t="shared" si="27"/>
        <v>119.15422721321058</v>
      </c>
      <c r="O51" s="177">
        <f t="shared" si="12"/>
        <v>119.15422721321058</v>
      </c>
      <c r="P51" s="177">
        <f>IF(I51=0,L51,IF(I51&gt;$R$5,L51-(R$5)/E51*L51*99%,L51-(I51)/E51*L51*99%))</f>
        <v>119.15422721321058</v>
      </c>
      <c r="Q51" s="3">
        <f t="shared" si="13"/>
        <v>119.15422721321058</v>
      </c>
      <c r="R51" s="158">
        <f>IF(E51-G51-H51&gt;=0,L51-((E51-G51*80%-H51*95%)/E51*L51)*$R$6,IF(G51&gt;H51,L51-((E51-G51)/E51*L51)*$R$6,L51-((E51-H51)/E51*L51)*$R$6))</f>
        <v>119.15422721321058</v>
      </c>
      <c r="S51" s="158">
        <f t="shared" si="15"/>
        <v>119.15422721321058</v>
      </c>
      <c r="T51" s="158">
        <f t="shared" si="16"/>
        <v>119.15422721321058</v>
      </c>
      <c r="U51" s="153">
        <f>IF(VLEESKUIKENS!$H$15="ja",L51-((E51-G51*95%-I51)/E51*L51)*$R$6,L51-((E51-G51*80%-I51)/E51*L51)*$R$6)</f>
        <v>119.15422721321058</v>
      </c>
      <c r="V51" s="86">
        <f t="shared" si="24"/>
        <v>119.15422721321058</v>
      </c>
      <c r="W51" s="174">
        <f t="shared" si="17"/>
        <v>119.15422721321058</v>
      </c>
      <c r="X51" s="204">
        <f t="shared" si="18"/>
        <v>1</v>
      </c>
    </row>
    <row r="52" spans="1:24" x14ac:dyDescent="0.2">
      <c r="M52" s="8" t="s">
        <v>3</v>
      </c>
      <c r="O52" s="176" t="s">
        <v>3</v>
      </c>
      <c r="P52" s="185"/>
      <c r="Q52" s="1">
        <f>I50/(E50-G50)*(L50-(L50-O50)/80%)*5%</f>
        <v>0</v>
      </c>
      <c r="R52" s="12" t="s">
        <v>3</v>
      </c>
      <c r="S52" s="85"/>
      <c r="T52" s="85"/>
      <c r="U52" s="154"/>
      <c r="W52" s="11" t="s">
        <v>3</v>
      </c>
    </row>
    <row r="53" spans="1:24" x14ac:dyDescent="0.2">
      <c r="B53" s="2">
        <f>AVERAGE(B9:B51)</f>
        <v>958.65116279069764</v>
      </c>
      <c r="E53" s="4">
        <f>AVERAGE(E10:E51)</f>
        <v>1.6567704387744215</v>
      </c>
      <c r="G53" s="1" t="s">
        <v>3</v>
      </c>
      <c r="L53" s="1" t="s">
        <v>3</v>
      </c>
      <c r="M53" s="176"/>
      <c r="O53" s="8"/>
      <c r="P53" s="186">
        <f>IF(R$5&lt;E5,R$5/E47*(L47-(L47-O47)/80%)*95%,E$5/E47*(L47-(L47-O47)/80%)*95%)</f>
        <v>0</v>
      </c>
      <c r="Q53" s="1">
        <f>L51-I51/(E51)*(L51-(L51-O51)/80%)*95%</f>
        <v>119.15422721321058</v>
      </c>
      <c r="R53" s="1">
        <f>(L45-(L45-O45)/80%)</f>
        <v>64.091127795766525</v>
      </c>
      <c r="S53" s="84">
        <f>5%*R53</f>
        <v>3.2045563897883262</v>
      </c>
      <c r="T53" s="84" t="s">
        <v>3</v>
      </c>
      <c r="U53" s="155" t="s">
        <v>3</v>
      </c>
    </row>
    <row r="54" spans="1:24" x14ac:dyDescent="0.2">
      <c r="D54" s="1" t="s">
        <v>174</v>
      </c>
      <c r="F54" s="138">
        <v>0</v>
      </c>
      <c r="H54" s="1" t="s">
        <v>3</v>
      </c>
      <c r="M54" s="8"/>
      <c r="O54" s="177"/>
      <c r="P54" s="8">
        <f>L51-R$5/E51*L51*95%</f>
        <v>119.15422721321058</v>
      </c>
      <c r="Q54" s="1">
        <f>E49/(E49-G49)*(L49-(L49-O49)/80%)*(1-95%)</f>
        <v>4.8518040338286301</v>
      </c>
      <c r="R54" s="1">
        <f>I51/(E51-G51)</f>
        <v>0</v>
      </c>
      <c r="U54" s="154"/>
    </row>
    <row r="55" spans="1:24" x14ac:dyDescent="0.2">
      <c r="E55" s="4">
        <f>SUM(E10:E51)</f>
        <v>69.584358428525704</v>
      </c>
      <c r="F55" s="4">
        <f>SUM(F10:F51)</f>
        <v>69.584358428525704</v>
      </c>
      <c r="G55" s="4">
        <f>SUM(G10:G51)</f>
        <v>0</v>
      </c>
      <c r="H55" s="4"/>
      <c r="I55" s="4"/>
      <c r="K55" s="12" t="s">
        <v>175</v>
      </c>
      <c r="L55" s="4">
        <f t="shared" ref="L55" si="29">AVERAGE(L10:L51)</f>
        <v>27.733567931076507</v>
      </c>
      <c r="M55" s="10">
        <f t="shared" ref="M55:N55" si="30">AVERAGE(M10:M51)</f>
        <v>27.733567931076507</v>
      </c>
      <c r="N55" s="139">
        <f t="shared" si="30"/>
        <v>27.733567931076507</v>
      </c>
      <c r="O55" s="10">
        <f>AVERAGE(O10:O52)</f>
        <v>27.733567931076507</v>
      </c>
      <c r="P55" s="10">
        <f>AVERAGE(P10:P52)</f>
        <v>27.733567931076507</v>
      </c>
      <c r="Q55" s="139">
        <f t="shared" ref="Q55" si="31">AVERAGE(Q10:Q51)</f>
        <v>27.733567931076507</v>
      </c>
      <c r="R55" s="139">
        <f t="shared" ref="R55:W55" si="32">AVERAGE(R10:R51)</f>
        <v>27.733567931076507</v>
      </c>
      <c r="S55" s="139">
        <f t="shared" si="32"/>
        <v>27.733567931076507</v>
      </c>
      <c r="T55" s="139">
        <f t="shared" si="32"/>
        <v>27.733567931076507</v>
      </c>
      <c r="U55" s="156">
        <f t="shared" si="32"/>
        <v>27.733567931076507</v>
      </c>
      <c r="V55" s="139">
        <f t="shared" si="32"/>
        <v>27.733567931076507</v>
      </c>
      <c r="W55" s="139">
        <f t="shared" si="32"/>
        <v>27.733567931076507</v>
      </c>
      <c r="X55" s="12" t="s">
        <v>3</v>
      </c>
    </row>
    <row r="56" spans="1:24" x14ac:dyDescent="0.2">
      <c r="F56" s="6">
        <f>F55/$E$55</f>
        <v>1</v>
      </c>
      <c r="G56" s="6">
        <f>G55/$E$55</f>
        <v>0</v>
      </c>
      <c r="H56" s="6"/>
      <c r="I56" s="6"/>
      <c r="K56" s="12" t="s">
        <v>176</v>
      </c>
      <c r="L56" s="4">
        <f t="shared" ref="L56" si="33">L55*0.81</f>
        <v>22.464190024171973</v>
      </c>
      <c r="M56" s="10">
        <f t="shared" ref="M56:N56" si="34">M55*0.81</f>
        <v>22.464190024171973</v>
      </c>
      <c r="N56" s="139">
        <f t="shared" si="34"/>
        <v>22.464190024171973</v>
      </c>
      <c r="O56" s="10">
        <f t="shared" ref="O56:Q56" si="35">O55*0.81</f>
        <v>22.464190024171973</v>
      </c>
      <c r="P56" s="10">
        <f t="shared" si="35"/>
        <v>22.464190024171973</v>
      </c>
      <c r="Q56" s="139">
        <f t="shared" si="35"/>
        <v>22.464190024171973</v>
      </c>
      <c r="R56" s="139">
        <f t="shared" ref="R56:W56" si="36">R55*0.81</f>
        <v>22.464190024171973</v>
      </c>
      <c r="S56" s="139">
        <f t="shared" si="36"/>
        <v>22.464190024171973</v>
      </c>
      <c r="T56" s="139">
        <f t="shared" si="36"/>
        <v>22.464190024171973</v>
      </c>
      <c r="U56" s="156">
        <f t="shared" si="36"/>
        <v>22.464190024171973</v>
      </c>
      <c r="V56" s="139">
        <f t="shared" si="36"/>
        <v>22.464190024171973</v>
      </c>
      <c r="W56" s="139">
        <f t="shared" si="36"/>
        <v>22.464190024171973</v>
      </c>
    </row>
    <row r="57" spans="1:24" x14ac:dyDescent="0.2">
      <c r="D57" s="1" t="s">
        <v>177</v>
      </c>
      <c r="K57" s="1" t="s">
        <v>173</v>
      </c>
      <c r="L57" s="140">
        <f t="shared" ref="L57:V57" si="37">1-(L56/$L$56)</f>
        <v>0</v>
      </c>
      <c r="M57" s="178">
        <f t="shared" si="37"/>
        <v>0</v>
      </c>
      <c r="N57" s="140">
        <f t="shared" si="37"/>
        <v>0</v>
      </c>
      <c r="O57" s="178">
        <f t="shared" ref="O57:Q57" si="38">1-(O56/$L$56)</f>
        <v>0</v>
      </c>
      <c r="P57" s="178">
        <f>1-(P56/($L$56))</f>
        <v>0</v>
      </c>
      <c r="Q57" s="140">
        <f t="shared" si="38"/>
        <v>0</v>
      </c>
      <c r="R57" s="140">
        <f>1-(R56/$L$56)</f>
        <v>0</v>
      </c>
      <c r="S57" s="140">
        <f>1-(S56/$L$56)</f>
        <v>0</v>
      </c>
      <c r="T57" s="140">
        <f>1-(T56/$L$56)</f>
        <v>0</v>
      </c>
      <c r="U57" s="157">
        <f t="shared" si="37"/>
        <v>0</v>
      </c>
      <c r="V57" s="140">
        <f t="shared" si="37"/>
        <v>0</v>
      </c>
      <c r="W57" s="140">
        <f t="shared" ref="W57" si="39">1-(W56/$L$56)</f>
        <v>0</v>
      </c>
    </row>
    <row r="58" spans="1:24" x14ac:dyDescent="0.2">
      <c r="P58" s="205">
        <f>M57-P57</f>
        <v>0</v>
      </c>
    </row>
    <row r="59" spans="1:24" x14ac:dyDescent="0.2">
      <c r="D59" s="138"/>
      <c r="O59" s="3">
        <f>O51+P51</f>
        <v>238.30845442642115</v>
      </c>
      <c r="P59" s="1">
        <f>(L51-I51/(E51-G51)*(L51-(L51-O51)/80%))*95%</f>
        <v>113.19651585255004</v>
      </c>
      <c r="W59" s="11" t="s">
        <v>3</v>
      </c>
    </row>
    <row r="60" spans="1:24" x14ac:dyDescent="0.2">
      <c r="E60" s="4"/>
      <c r="P60" s="1">
        <f>(L51-I51/(E51-G51))*(1-95%)</f>
        <v>5.9577113606605341</v>
      </c>
      <c r="Q60" s="1" t="s">
        <v>3</v>
      </c>
    </row>
    <row r="61" spans="1:24" x14ac:dyDescent="0.2">
      <c r="P61" s="1">
        <f>(L51-I51/(E51-G51))*5%</f>
        <v>5.9577113606605288</v>
      </c>
    </row>
    <row r="62" spans="1:24" x14ac:dyDescent="0.2">
      <c r="P62" s="1">
        <f>(O51-(L51-O51)/80%)</f>
        <v>119.15422721321058</v>
      </c>
    </row>
    <row r="63" spans="1:24" x14ac:dyDescent="0.2">
      <c r="P63" s="1">
        <f>I51/(E51-G51)</f>
        <v>0</v>
      </c>
    </row>
    <row r="64" spans="1:24" x14ac:dyDescent="0.2">
      <c r="N64" s="1">
        <f>20%*O64</f>
        <v>0</v>
      </c>
      <c r="O64" s="3">
        <f>L51-O51</f>
        <v>0</v>
      </c>
    </row>
    <row r="65" spans="14:15" x14ac:dyDescent="0.2">
      <c r="N65" s="3">
        <f>O51-N64</f>
        <v>119.15422721321058</v>
      </c>
      <c r="O65" s="1">
        <f>O64/95%</f>
        <v>0</v>
      </c>
    </row>
    <row r="66" spans="14:15" x14ac:dyDescent="0.2">
      <c r="N66" s="1">
        <f>95%*N65</f>
        <v>113.19651585255004</v>
      </c>
      <c r="O66" s="3">
        <f>L51-O65</f>
        <v>119.15422721321058</v>
      </c>
    </row>
    <row r="67" spans="14:15" x14ac:dyDescent="0.2">
      <c r="N67" s="3">
        <f>L51-P51</f>
        <v>0</v>
      </c>
      <c r="O67" s="1">
        <f>5%*O66</f>
        <v>5.9577113606605288</v>
      </c>
    </row>
    <row r="68" spans="14:15" x14ac:dyDescent="0.2">
      <c r="O68" s="204">
        <f>5.95/L51</f>
        <v>4.9935282525505956E-2</v>
      </c>
    </row>
    <row r="69" spans="14:15" x14ac:dyDescent="0.2">
      <c r="N69" s="1">
        <f>95%*P51</f>
        <v>113.19651585255004</v>
      </c>
    </row>
  </sheetData>
  <sheetProtection algorithmName="SHA-512" hashValue="X0nT9vrHelmhe6eP7WKWvGJYsesVJ8QtIzwT+6xyaC0Hybu3+a2ZsJnSjpQxbbdK1TGjz1i6yAiVjkok9c2EFQ==" saltValue="Qz3nYaBELqu4BkCbMP4ohQ==" spinCount="100000" sheet="1" objects="1" scenarios="1"/>
  <mergeCells count="3">
    <mergeCell ref="AB1:AF1"/>
    <mergeCell ref="AC4:AD4"/>
    <mergeCell ref="AE4:AF4"/>
  </mergeCells>
  <printOptions gridLines="1"/>
  <pageMargins left="0.2" right="0.21" top="0.18" bottom="0.17" header="0.17" footer="0.17"/>
  <pageSetup paperSize="9"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I46"/>
  <sheetViews>
    <sheetView topLeftCell="A10" zoomScale="85" zoomScaleNormal="85" workbookViewId="0">
      <selection activeCell="D56" sqref="D56"/>
    </sheetView>
  </sheetViews>
  <sheetFormatPr defaultColWidth="8.85546875" defaultRowHeight="11.25" x14ac:dyDescent="0.15"/>
  <cols>
    <col min="1" max="1" width="29.7109375" style="39" customWidth="1"/>
    <col min="2" max="2" width="18.7109375" style="39" customWidth="1"/>
    <col min="3" max="3" width="11.7109375" style="39" customWidth="1"/>
    <col min="4" max="4" width="13.140625" style="39" customWidth="1"/>
    <col min="5" max="5" width="12" style="39" customWidth="1"/>
    <col min="6" max="6" width="13.28515625" style="39" customWidth="1"/>
    <col min="7" max="7" width="12.140625" style="39" customWidth="1"/>
    <col min="8" max="8" width="12.28515625" style="39" customWidth="1"/>
    <col min="9" max="9" width="12.85546875" style="39" customWidth="1"/>
    <col min="10" max="16384" width="8.85546875" style="39"/>
  </cols>
  <sheetData>
    <row r="1" spans="1:4" x14ac:dyDescent="0.15">
      <c r="A1" s="38" t="s">
        <v>55</v>
      </c>
    </row>
    <row r="3" spans="1:4" x14ac:dyDescent="0.15">
      <c r="B3" s="40" t="s">
        <v>56</v>
      </c>
    </row>
    <row r="4" spans="1:4" x14ac:dyDescent="0.15">
      <c r="B4" s="41"/>
    </row>
    <row r="5" spans="1:4" x14ac:dyDescent="0.15">
      <c r="A5" s="42" t="s">
        <v>57</v>
      </c>
    </row>
    <row r="6" spans="1:4" x14ac:dyDescent="0.15">
      <c r="A6" s="39" t="s">
        <v>58</v>
      </c>
      <c r="B6" s="39">
        <v>1.73</v>
      </c>
    </row>
    <row r="7" spans="1:4" x14ac:dyDescent="0.15">
      <c r="A7" s="39" t="s">
        <v>59</v>
      </c>
      <c r="B7" s="39">
        <v>8.01</v>
      </c>
    </row>
    <row r="8" spans="1:4" x14ac:dyDescent="0.15">
      <c r="A8" s="39" t="s">
        <v>60</v>
      </c>
      <c r="B8" s="39">
        <v>4.8600000000000003</v>
      </c>
    </row>
    <row r="9" spans="1:4" x14ac:dyDescent="0.15">
      <c r="A9" s="39" t="s">
        <v>61</v>
      </c>
      <c r="B9" s="39">
        <v>15</v>
      </c>
    </row>
    <row r="10" spans="1:4" x14ac:dyDescent="0.15">
      <c r="A10" s="39" t="s">
        <v>62</v>
      </c>
      <c r="B10" s="39">
        <f>IF(VLEESKUIKENS!$L$20="luchtconditioneringsunit",6.1762/2,6.17619916067003)</f>
        <v>6.1761991606700297</v>
      </c>
      <c r="C10" s="39" t="str">
        <f>VLEESKUIKENS!$L$20</f>
        <v>GEEN TECHNIEK</v>
      </c>
    </row>
    <row r="11" spans="1:4" x14ac:dyDescent="0.15">
      <c r="A11" s="39" t="s">
        <v>63</v>
      </c>
      <c r="B11" s="39">
        <v>12.35</v>
      </c>
    </row>
    <row r="12" spans="1:4" x14ac:dyDescent="0.15">
      <c r="A12" s="39" t="s">
        <v>64</v>
      </c>
      <c r="B12" s="39">
        <v>24.84</v>
      </c>
    </row>
    <row r="13" spans="1:4" x14ac:dyDescent="0.15">
      <c r="A13" s="39" t="s">
        <v>65</v>
      </c>
      <c r="B13" s="39">
        <v>12.56</v>
      </c>
    </row>
    <row r="16" spans="1:4" x14ac:dyDescent="0.15">
      <c r="A16" s="42" t="s">
        <v>66</v>
      </c>
      <c r="C16" s="43" t="s">
        <v>67</v>
      </c>
      <c r="D16" s="43" t="s">
        <v>68</v>
      </c>
    </row>
    <row r="17" spans="1:9" x14ac:dyDescent="0.15">
      <c r="A17" s="39" t="s">
        <v>58</v>
      </c>
      <c r="B17" s="39" t="s">
        <v>69</v>
      </c>
      <c r="C17" s="44">
        <v>0.80700000000000005</v>
      </c>
      <c r="D17" s="45">
        <v>0.85</v>
      </c>
      <c r="E17" s="39" t="s">
        <v>70</v>
      </c>
    </row>
    <row r="18" spans="1:9" x14ac:dyDescent="0.15">
      <c r="B18" s="39" t="s">
        <v>71</v>
      </c>
      <c r="C18" s="44">
        <v>0.83799999999999997</v>
      </c>
      <c r="D18" s="45">
        <v>0.85</v>
      </c>
    </row>
    <row r="19" spans="1:9" x14ac:dyDescent="0.15">
      <c r="A19" s="39" t="s">
        <v>59</v>
      </c>
      <c r="B19" s="39" t="s">
        <v>69</v>
      </c>
      <c r="C19" s="44">
        <v>1.835</v>
      </c>
      <c r="D19" s="46">
        <v>2</v>
      </c>
    </row>
    <row r="20" spans="1:9" x14ac:dyDescent="0.15">
      <c r="B20" s="39" t="s">
        <v>71</v>
      </c>
      <c r="C20" s="44">
        <v>1.899</v>
      </c>
      <c r="D20" s="46">
        <v>2</v>
      </c>
    </row>
    <row r="23" spans="1:9" x14ac:dyDescent="0.15">
      <c r="A23" s="42" t="s">
        <v>72</v>
      </c>
    </row>
    <row r="24" spans="1:9" x14ac:dyDescent="0.15">
      <c r="A24" s="40" t="s">
        <v>73</v>
      </c>
    </row>
    <row r="25" spans="1:9" x14ac:dyDescent="0.15">
      <c r="A25" s="47" t="s">
        <v>74</v>
      </c>
      <c r="B25" s="48">
        <v>0.13</v>
      </c>
      <c r="C25" s="47"/>
      <c r="D25" s="48">
        <v>0.31</v>
      </c>
      <c r="E25" s="47"/>
      <c r="F25" s="48">
        <v>0.37</v>
      </c>
      <c r="G25" s="47"/>
      <c r="H25" s="48">
        <v>0.5</v>
      </c>
      <c r="I25" s="47"/>
    </row>
    <row r="26" spans="1:9" x14ac:dyDescent="0.15">
      <c r="B26" s="43" t="s">
        <v>67</v>
      </c>
      <c r="C26" s="43" t="s">
        <v>68</v>
      </c>
      <c r="D26" s="43" t="s">
        <v>67</v>
      </c>
      <c r="E26" s="43" t="s">
        <v>68</v>
      </c>
      <c r="F26" s="43" t="s">
        <v>67</v>
      </c>
      <c r="G26" s="43" t="s">
        <v>68</v>
      </c>
      <c r="H26" s="43" t="s">
        <v>67</v>
      </c>
      <c r="I26" s="43" t="s">
        <v>68</v>
      </c>
    </row>
    <row r="27" spans="1:9" x14ac:dyDescent="0.15">
      <c r="A27" s="39" t="s">
        <v>58</v>
      </c>
      <c r="B27" s="39">
        <v>0.17499999999999999</v>
      </c>
      <c r="C27" s="39">
        <v>0.2</v>
      </c>
      <c r="D27" s="39">
        <v>0.434</v>
      </c>
      <c r="E27" s="49">
        <v>0.4</v>
      </c>
      <c r="F27" s="39">
        <v>0.52700000000000002</v>
      </c>
      <c r="G27" s="39">
        <v>0.55000000000000004</v>
      </c>
      <c r="H27" s="39">
        <v>0.745</v>
      </c>
      <c r="I27" s="39">
        <v>0.8</v>
      </c>
    </row>
    <row r="28" spans="1:9" x14ac:dyDescent="0.15">
      <c r="A28" s="39" t="s">
        <v>59</v>
      </c>
      <c r="B28" s="39">
        <v>0.439</v>
      </c>
      <c r="C28" s="39">
        <v>0.4</v>
      </c>
      <c r="D28" s="39">
        <v>1.048</v>
      </c>
      <c r="E28" s="49">
        <v>1</v>
      </c>
      <c r="F28" s="39">
        <v>1.252</v>
      </c>
      <c r="G28" s="39">
        <v>1.25</v>
      </c>
      <c r="H28" s="39">
        <v>1.708</v>
      </c>
      <c r="I28" s="39">
        <v>1.8</v>
      </c>
    </row>
    <row r="29" spans="1:9" x14ac:dyDescent="0.15">
      <c r="A29" s="39" t="s">
        <v>60</v>
      </c>
      <c r="B29" s="39">
        <v>0.42</v>
      </c>
      <c r="C29" s="39">
        <v>0.4</v>
      </c>
      <c r="D29" s="39">
        <v>1.0469999999999999</v>
      </c>
      <c r="E29" s="49">
        <v>1</v>
      </c>
      <c r="F29" s="39">
        <v>1.2789999999999999</v>
      </c>
      <c r="G29" s="39">
        <v>1.3</v>
      </c>
      <c r="H29" s="39">
        <v>1.84</v>
      </c>
      <c r="I29" s="39">
        <v>1.9</v>
      </c>
    </row>
    <row r="30" spans="1:9" x14ac:dyDescent="0.15">
      <c r="A30" s="39" t="s">
        <v>61</v>
      </c>
      <c r="B30" s="39">
        <v>0.59499999999999997</v>
      </c>
      <c r="C30" s="39">
        <v>0.6</v>
      </c>
      <c r="D30" s="39">
        <v>1.4850000000000001</v>
      </c>
      <c r="E30" s="49">
        <v>1.5</v>
      </c>
      <c r="F30" s="39">
        <v>1.845</v>
      </c>
      <c r="G30" s="39">
        <v>1.85</v>
      </c>
      <c r="H30" s="39">
        <v>2.8450000000000002</v>
      </c>
      <c r="I30" s="39">
        <v>2.9</v>
      </c>
    </row>
    <row r="31" spans="1:9" x14ac:dyDescent="0.15">
      <c r="A31" s="39" t="s">
        <v>62</v>
      </c>
      <c r="B31" s="39">
        <v>0.35699999999999998</v>
      </c>
      <c r="C31" s="39">
        <v>0.35</v>
      </c>
      <c r="D31" s="39">
        <v>1.0009999999999999</v>
      </c>
      <c r="E31" s="49">
        <v>1</v>
      </c>
      <c r="F31" s="39">
        <v>1.27</v>
      </c>
      <c r="G31" s="39">
        <v>1.3</v>
      </c>
      <c r="H31" s="39">
        <v>1.9750000000000001</v>
      </c>
      <c r="I31" s="49">
        <v>2</v>
      </c>
    </row>
    <row r="32" spans="1:9" x14ac:dyDescent="0.15">
      <c r="A32" s="39" t="s">
        <v>63</v>
      </c>
      <c r="B32" s="39">
        <v>1.2450000000000001</v>
      </c>
      <c r="C32" s="39">
        <v>1.1000000000000001</v>
      </c>
      <c r="D32" s="39">
        <v>3.17</v>
      </c>
      <c r="E32" s="49">
        <v>3</v>
      </c>
      <c r="F32" s="39">
        <v>3.86</v>
      </c>
      <c r="G32" s="39">
        <v>3.85</v>
      </c>
      <c r="H32" s="39">
        <v>5.5</v>
      </c>
      <c r="I32" s="39">
        <v>5.6</v>
      </c>
    </row>
    <row r="33" spans="1:9" x14ac:dyDescent="0.15">
      <c r="A33" s="39" t="s">
        <v>64</v>
      </c>
      <c r="B33" s="39">
        <v>2.6949999999999998</v>
      </c>
      <c r="C33" s="39">
        <v>2.5</v>
      </c>
      <c r="D33" s="39">
        <v>6.75</v>
      </c>
      <c r="E33" s="49">
        <v>6.2</v>
      </c>
      <c r="F33" s="39">
        <v>8.1750000000000007</v>
      </c>
      <c r="G33" s="39">
        <v>8.1999999999999993</v>
      </c>
      <c r="H33" s="39">
        <v>11.5</v>
      </c>
      <c r="I33" s="39">
        <v>11.7</v>
      </c>
    </row>
    <row r="34" spans="1:9" x14ac:dyDescent="0.15">
      <c r="A34" s="39" t="s">
        <v>65</v>
      </c>
      <c r="B34" s="39">
        <v>0.88</v>
      </c>
      <c r="C34" s="39">
        <v>0.8</v>
      </c>
      <c r="D34" s="39">
        <v>2.4849999999999999</v>
      </c>
      <c r="E34" s="49">
        <v>2.2999999999999998</v>
      </c>
      <c r="F34" s="39">
        <v>3.12</v>
      </c>
      <c r="G34" s="39">
        <v>3.15</v>
      </c>
      <c r="H34" s="39">
        <v>4.7300000000000004</v>
      </c>
      <c r="I34" s="39">
        <v>4.8</v>
      </c>
    </row>
    <row r="36" spans="1:9" x14ac:dyDescent="0.15">
      <c r="A36" s="40" t="s">
        <v>75</v>
      </c>
    </row>
    <row r="37" spans="1:9" x14ac:dyDescent="0.15">
      <c r="A37" s="47" t="s">
        <v>74</v>
      </c>
      <c r="B37" s="48">
        <v>0.13</v>
      </c>
      <c r="C37" s="47"/>
      <c r="D37" s="48">
        <v>0.31</v>
      </c>
      <c r="E37" s="47"/>
      <c r="F37" s="48">
        <v>0.37</v>
      </c>
      <c r="G37" s="47"/>
      <c r="H37" s="48">
        <v>0.5</v>
      </c>
      <c r="I37" s="47"/>
    </row>
    <row r="38" spans="1:9" x14ac:dyDescent="0.15">
      <c r="B38" s="43" t="s">
        <v>67</v>
      </c>
      <c r="C38" s="43" t="s">
        <v>68</v>
      </c>
      <c r="D38" s="43" t="s">
        <v>67</v>
      </c>
      <c r="E38" s="43" t="s">
        <v>68</v>
      </c>
      <c r="F38" s="43" t="s">
        <v>67</v>
      </c>
      <c r="G38" s="43" t="s">
        <v>68</v>
      </c>
      <c r="H38" s="43" t="s">
        <v>67</v>
      </c>
      <c r="I38" s="43" t="s">
        <v>68</v>
      </c>
    </row>
    <row r="39" spans="1:9" x14ac:dyDescent="0.15">
      <c r="A39" s="39" t="s">
        <v>58</v>
      </c>
      <c r="B39" s="39">
        <v>0.14099999999999999</v>
      </c>
      <c r="C39" s="39">
        <v>0.15</v>
      </c>
      <c r="D39" s="39">
        <v>0.34599999999999997</v>
      </c>
      <c r="E39" s="49">
        <v>0.35</v>
      </c>
      <c r="F39" s="39">
        <v>0.41799999999999998</v>
      </c>
      <c r="G39" s="39">
        <v>0.4</v>
      </c>
      <c r="H39" s="39">
        <v>0.58099999999999996</v>
      </c>
      <c r="I39" s="39">
        <v>0.6</v>
      </c>
    </row>
    <row r="40" spans="1:9" x14ac:dyDescent="0.15">
      <c r="A40" s="39" t="s">
        <v>59</v>
      </c>
      <c r="B40" s="39">
        <v>0.35499999999999998</v>
      </c>
      <c r="C40" s="39">
        <v>0.35</v>
      </c>
      <c r="D40" s="39">
        <v>0.84699999999999998</v>
      </c>
      <c r="E40" s="49">
        <v>0.85</v>
      </c>
      <c r="F40" s="39">
        <v>1.012</v>
      </c>
      <c r="G40" s="49">
        <v>1</v>
      </c>
      <c r="H40" s="39">
        <v>1.369</v>
      </c>
      <c r="I40" s="39">
        <v>1.4</v>
      </c>
    </row>
    <row r="41" spans="1:9" x14ac:dyDescent="0.15">
      <c r="A41" s="39" t="s">
        <v>60</v>
      </c>
      <c r="B41" s="39">
        <v>0.33700000000000002</v>
      </c>
      <c r="C41" s="39">
        <v>0.35</v>
      </c>
      <c r="D41" s="39">
        <v>0.83099999999999996</v>
      </c>
      <c r="E41" s="49">
        <v>0.85</v>
      </c>
      <c r="F41" s="39">
        <v>1.008</v>
      </c>
      <c r="G41" s="39">
        <v>1.1000000000000001</v>
      </c>
      <c r="H41" s="39">
        <v>1.417</v>
      </c>
      <c r="I41" s="39">
        <v>1.45</v>
      </c>
    </row>
    <row r="42" spans="1:9" x14ac:dyDescent="0.15">
      <c r="A42" s="39" t="s">
        <v>61</v>
      </c>
      <c r="B42" s="39">
        <v>0.48</v>
      </c>
      <c r="C42" s="39">
        <v>0.5</v>
      </c>
      <c r="D42" s="39">
        <v>1.161</v>
      </c>
      <c r="E42" s="49">
        <v>1.2</v>
      </c>
      <c r="F42" s="39">
        <v>1.4219999999999999</v>
      </c>
      <c r="G42" s="39">
        <v>1.5</v>
      </c>
      <c r="H42" s="39">
        <v>2.0750000000000002</v>
      </c>
      <c r="I42" s="39">
        <v>2.1</v>
      </c>
    </row>
    <row r="43" spans="1:9" x14ac:dyDescent="0.15">
      <c r="A43" s="39" t="s">
        <v>62</v>
      </c>
      <c r="B43" s="39">
        <v>0.28499999999999998</v>
      </c>
      <c r="C43" s="39">
        <v>0.3</v>
      </c>
      <c r="D43" s="39">
        <v>0.76500000000000001</v>
      </c>
      <c r="E43" s="222">
        <v>0.75</v>
      </c>
      <c r="F43" s="39">
        <v>0.95799999999999996</v>
      </c>
      <c r="G43" s="49">
        <v>1</v>
      </c>
      <c r="H43" s="39">
        <v>1.4350000000000001</v>
      </c>
      <c r="I43" s="39">
        <v>1.45</v>
      </c>
    </row>
    <row r="44" spans="1:9" x14ac:dyDescent="0.15">
      <c r="A44" s="39" t="s">
        <v>63</v>
      </c>
      <c r="B44" s="39">
        <v>0.999</v>
      </c>
      <c r="C44" s="39">
        <v>0.9</v>
      </c>
      <c r="D44" s="39">
        <v>2.5099999999999998</v>
      </c>
      <c r="E44" s="49">
        <v>2.5</v>
      </c>
      <c r="F44" s="39">
        <v>3.0449999999999999</v>
      </c>
      <c r="G44" s="49">
        <v>3</v>
      </c>
      <c r="H44" s="39">
        <v>4.2699999999999996</v>
      </c>
      <c r="I44" s="39">
        <v>4.3</v>
      </c>
    </row>
    <row r="45" spans="1:9" x14ac:dyDescent="0.15">
      <c r="A45" s="39" t="s">
        <v>64</v>
      </c>
      <c r="B45" s="39">
        <v>2.165</v>
      </c>
      <c r="C45" s="39">
        <v>2.2000000000000002</v>
      </c>
      <c r="D45" s="39">
        <v>5.3579999999999997</v>
      </c>
      <c r="E45" s="49">
        <v>5.3</v>
      </c>
      <c r="F45" s="39">
        <v>6.4749999999999996</v>
      </c>
      <c r="G45" s="39">
        <v>6.2</v>
      </c>
      <c r="H45" s="39">
        <v>9.01</v>
      </c>
      <c r="I45" s="49">
        <v>9</v>
      </c>
    </row>
    <row r="46" spans="1:9" x14ac:dyDescent="0.15">
      <c r="A46" s="39" t="s">
        <v>65</v>
      </c>
      <c r="B46" s="39">
        <v>0.69199999999999995</v>
      </c>
      <c r="C46" s="39">
        <v>0.7</v>
      </c>
      <c r="D46" s="39">
        <v>1.91</v>
      </c>
      <c r="E46" s="49">
        <v>1.9</v>
      </c>
      <c r="F46" s="39">
        <v>2.375</v>
      </c>
      <c r="G46" s="39">
        <v>2.2999999999999998</v>
      </c>
      <c r="H46" s="39">
        <v>3.51</v>
      </c>
      <c r="I46" s="49">
        <v>3.6</v>
      </c>
    </row>
  </sheetData>
  <sheetProtection algorithmName="SHA-512" hashValue="VqvEY2Eujk5N+KA0UGvOJzVhPsBz5ISBEicbVkX7F6EJSArwfmrxAmMTAgtXDzPLewIBLXGgXcm5npCUrASWcA==" saltValue="xChlZ1/AdXNCb4V/f3ow9w=="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C54"/>
  <sheetViews>
    <sheetView topLeftCell="E28" workbookViewId="0">
      <selection activeCell="D28" sqref="A1:D1048576"/>
    </sheetView>
  </sheetViews>
  <sheetFormatPr defaultColWidth="12.42578125" defaultRowHeight="15.75" x14ac:dyDescent="0.25"/>
  <cols>
    <col min="1" max="1" width="5.5703125" style="14" hidden="1" customWidth="1"/>
    <col min="2" max="2" width="36.28515625" style="14" hidden="1" customWidth="1"/>
    <col min="3" max="3" width="8" style="16" hidden="1" customWidth="1"/>
    <col min="4" max="4" width="8.28515625" style="15" hidden="1" customWidth="1"/>
    <col min="5" max="19" width="8" style="14" customWidth="1"/>
    <col min="20" max="27" width="6.85546875" style="14" customWidth="1"/>
    <col min="28" max="16384" width="12.42578125" style="14"/>
  </cols>
  <sheetData>
    <row r="1" spans="1:29" ht="31.5" x14ac:dyDescent="0.25">
      <c r="B1" s="18" t="s">
        <v>14</v>
      </c>
      <c r="E1" s="14" t="s">
        <v>4</v>
      </c>
      <c r="F1" s="14" t="s">
        <v>5</v>
      </c>
      <c r="G1" s="14" t="s">
        <v>6</v>
      </c>
      <c r="H1" s="14" t="s">
        <v>7</v>
      </c>
      <c r="I1" s="14" t="s">
        <v>8</v>
      </c>
      <c r="J1" s="14" t="s">
        <v>15</v>
      </c>
      <c r="K1" s="14" t="s">
        <v>9</v>
      </c>
      <c r="L1" s="14" t="s">
        <v>10</v>
      </c>
      <c r="M1" s="14" t="s">
        <v>11</v>
      </c>
      <c r="N1" s="14" t="s">
        <v>12</v>
      </c>
      <c r="O1" s="14" t="s">
        <v>16</v>
      </c>
      <c r="P1" s="14" t="s">
        <v>13</v>
      </c>
      <c r="Q1" s="14" t="s">
        <v>17</v>
      </c>
      <c r="R1" s="14" t="s">
        <v>18</v>
      </c>
      <c r="S1" s="14" t="s">
        <v>19</v>
      </c>
      <c r="T1" s="14" t="s">
        <v>20</v>
      </c>
      <c r="U1" s="14" t="s">
        <v>21</v>
      </c>
      <c r="V1" s="14" t="s">
        <v>22</v>
      </c>
      <c r="W1" s="14" t="s">
        <v>23</v>
      </c>
      <c r="X1" s="14" t="s">
        <v>24</v>
      </c>
      <c r="Y1" s="14" t="s">
        <v>25</v>
      </c>
      <c r="Z1" s="14" t="s">
        <v>26</v>
      </c>
      <c r="AA1" s="14" t="s">
        <v>27</v>
      </c>
      <c r="AB1" s="14" t="s">
        <v>28</v>
      </c>
      <c r="AC1" s="14" t="s">
        <v>29</v>
      </c>
    </row>
    <row r="2" spans="1:29" s="15" customFormat="1" x14ac:dyDescent="0.25">
      <c r="C2" s="19"/>
      <c r="E2" s="20">
        <f>+D3</f>
        <v>0.65</v>
      </c>
      <c r="F2" s="20">
        <f>+D4</f>
        <v>0.4</v>
      </c>
      <c r="G2" s="20">
        <f>+D5</f>
        <v>0.25</v>
      </c>
      <c r="H2" s="20">
        <f>+D6</f>
        <v>0.19999999999999996</v>
      </c>
      <c r="I2" s="20">
        <f>+D8</f>
        <v>0.44999999999999996</v>
      </c>
      <c r="J2" s="20">
        <f>+D9</f>
        <v>0.7</v>
      </c>
      <c r="K2" s="20">
        <f>+D10</f>
        <v>0.45999999999999996</v>
      </c>
      <c r="L2" s="20">
        <f>+D11</f>
        <v>0.51</v>
      </c>
      <c r="M2" s="20">
        <f>+D12</f>
        <v>0.66999999999999993</v>
      </c>
      <c r="N2" s="20">
        <f>+D13</f>
        <v>0.6</v>
      </c>
      <c r="O2" s="20">
        <f>+D14</f>
        <v>0.43000000000000005</v>
      </c>
      <c r="P2" s="20">
        <f>+D15</f>
        <v>0.69</v>
      </c>
      <c r="Q2" s="20">
        <f>+D16</f>
        <v>0.69</v>
      </c>
      <c r="R2" s="20">
        <f>+D17</f>
        <v>0.87</v>
      </c>
      <c r="S2" s="20">
        <f>+D18</f>
        <v>0.87</v>
      </c>
      <c r="T2" s="20">
        <f>+D19</f>
        <v>0.85</v>
      </c>
      <c r="U2" s="20">
        <f>+D20</f>
        <v>0.7</v>
      </c>
      <c r="V2" s="20">
        <f>+D21</f>
        <v>0.8</v>
      </c>
      <c r="W2" s="20">
        <f>+D22</f>
        <v>0.63</v>
      </c>
      <c r="X2" s="20">
        <f>+D23</f>
        <v>0.63</v>
      </c>
      <c r="Y2" s="20">
        <f>+D24</f>
        <v>0.5</v>
      </c>
      <c r="Z2" s="20">
        <f>+D25</f>
        <v>0.5</v>
      </c>
    </row>
    <row r="3" spans="1:29" x14ac:dyDescent="0.25">
      <c r="A3" s="14" t="s">
        <v>4</v>
      </c>
      <c r="B3" s="14" t="s">
        <v>46</v>
      </c>
      <c r="C3" s="16">
        <v>0.35</v>
      </c>
      <c r="D3" s="20">
        <f>+(1-C3)</f>
        <v>0.65</v>
      </c>
      <c r="E3" s="21">
        <f>1-($D$3*E2)</f>
        <v>0.5774999999999999</v>
      </c>
      <c r="F3" s="22">
        <f t="shared" ref="F3:Z3" si="0">1-($D$3*F2)</f>
        <v>0.74</v>
      </c>
      <c r="G3" s="22">
        <f t="shared" si="0"/>
        <v>0.83750000000000002</v>
      </c>
      <c r="H3" s="22">
        <f t="shared" si="0"/>
        <v>0.87</v>
      </c>
      <c r="I3" s="23">
        <f t="shared" si="0"/>
        <v>0.70750000000000002</v>
      </c>
      <c r="J3" s="23">
        <f t="shared" si="0"/>
        <v>0.54500000000000004</v>
      </c>
      <c r="K3" s="22">
        <f t="shared" si="0"/>
        <v>0.70100000000000007</v>
      </c>
      <c r="L3" s="24">
        <f t="shared" si="0"/>
        <v>0.66849999999999998</v>
      </c>
      <c r="M3" s="22">
        <f t="shared" si="0"/>
        <v>0.5645</v>
      </c>
      <c r="N3" s="24">
        <f t="shared" si="0"/>
        <v>0.61</v>
      </c>
      <c r="O3" s="24">
        <f t="shared" si="0"/>
        <v>0.72049999999999992</v>
      </c>
      <c r="P3" s="24">
        <f t="shared" si="0"/>
        <v>0.5515000000000001</v>
      </c>
      <c r="Q3" s="25">
        <f t="shared" si="0"/>
        <v>0.5515000000000001</v>
      </c>
      <c r="R3" s="24">
        <f t="shared" si="0"/>
        <v>0.4345</v>
      </c>
      <c r="S3" s="24">
        <f t="shared" si="0"/>
        <v>0.4345</v>
      </c>
      <c r="T3" s="22">
        <f t="shared" si="0"/>
        <v>0.44750000000000001</v>
      </c>
      <c r="U3" s="24">
        <f t="shared" si="0"/>
        <v>0.54500000000000004</v>
      </c>
      <c r="V3" s="24">
        <f t="shared" si="0"/>
        <v>0.48</v>
      </c>
      <c r="W3" s="24">
        <f t="shared" si="0"/>
        <v>0.59050000000000002</v>
      </c>
      <c r="X3" s="24">
        <f t="shared" si="0"/>
        <v>0.59050000000000002</v>
      </c>
      <c r="Y3" s="25">
        <f t="shared" si="0"/>
        <v>0.67500000000000004</v>
      </c>
      <c r="Z3" s="25">
        <f t="shared" si="0"/>
        <v>0.67500000000000004</v>
      </c>
    </row>
    <row r="4" spans="1:29" x14ac:dyDescent="0.25">
      <c r="A4" s="14" t="s">
        <v>5</v>
      </c>
      <c r="B4" s="14" t="s">
        <v>30</v>
      </c>
      <c r="C4" s="16">
        <v>0.6</v>
      </c>
      <c r="D4" s="20">
        <f t="shared" ref="D4:D25" si="1">+(1-C4)</f>
        <v>0.4</v>
      </c>
      <c r="E4" s="22">
        <f>1-+$D$4*E2</f>
        <v>0.74</v>
      </c>
      <c r="F4" s="21">
        <f t="shared" ref="F4:Z4" si="2">1-+$D$4*F2</f>
        <v>0.84</v>
      </c>
      <c r="G4" s="22">
        <f t="shared" si="2"/>
        <v>0.9</v>
      </c>
      <c r="H4" s="22">
        <f t="shared" si="2"/>
        <v>0.92</v>
      </c>
      <c r="I4" s="22">
        <f t="shared" si="2"/>
        <v>0.82000000000000006</v>
      </c>
      <c r="J4" s="22">
        <f t="shared" si="2"/>
        <v>0.72</v>
      </c>
      <c r="K4" s="22">
        <f t="shared" si="2"/>
        <v>0.81600000000000006</v>
      </c>
      <c r="L4" s="24">
        <f t="shared" si="2"/>
        <v>0.79600000000000004</v>
      </c>
      <c r="M4" s="22">
        <f t="shared" si="2"/>
        <v>0.73199999999999998</v>
      </c>
      <c r="N4" s="24">
        <f t="shared" si="2"/>
        <v>0.76</v>
      </c>
      <c r="O4" s="24">
        <f t="shared" si="2"/>
        <v>0.82799999999999996</v>
      </c>
      <c r="P4" s="22">
        <f t="shared" si="2"/>
        <v>0.72399999999999998</v>
      </c>
      <c r="Q4" s="22">
        <f t="shared" si="2"/>
        <v>0.72399999999999998</v>
      </c>
      <c r="R4" s="22">
        <f t="shared" si="2"/>
        <v>0.65199999999999991</v>
      </c>
      <c r="S4" s="22">
        <f t="shared" si="2"/>
        <v>0.65199999999999991</v>
      </c>
      <c r="T4" s="22">
        <f t="shared" si="2"/>
        <v>0.65999999999999992</v>
      </c>
      <c r="U4" s="24">
        <f t="shared" si="2"/>
        <v>0.72</v>
      </c>
      <c r="V4" s="24">
        <f t="shared" si="2"/>
        <v>0.67999999999999994</v>
      </c>
      <c r="W4" s="22">
        <f t="shared" si="2"/>
        <v>0.748</v>
      </c>
      <c r="X4" s="22">
        <f t="shared" si="2"/>
        <v>0.748</v>
      </c>
      <c r="Y4" s="22">
        <f t="shared" si="2"/>
        <v>0.8</v>
      </c>
      <c r="Z4" s="22">
        <f t="shared" si="2"/>
        <v>0.8</v>
      </c>
    </row>
    <row r="5" spans="1:29" x14ac:dyDescent="0.25">
      <c r="A5" s="14" t="s">
        <v>6</v>
      </c>
      <c r="B5" s="14" t="s">
        <v>31</v>
      </c>
      <c r="C5" s="16">
        <v>0.75</v>
      </c>
      <c r="D5" s="20">
        <f t="shared" si="1"/>
        <v>0.25</v>
      </c>
      <c r="E5" s="22">
        <f>1-+$D$5*E2</f>
        <v>0.83750000000000002</v>
      </c>
      <c r="F5" s="22">
        <f t="shared" ref="F5:Z5" si="3">1-+$D$5*F2</f>
        <v>0.9</v>
      </c>
      <c r="G5" s="21">
        <f t="shared" si="3"/>
        <v>0.9375</v>
      </c>
      <c r="H5" s="22">
        <f t="shared" si="3"/>
        <v>0.95</v>
      </c>
      <c r="I5" s="22">
        <f t="shared" si="3"/>
        <v>0.88749999999999996</v>
      </c>
      <c r="J5" s="22">
        <f t="shared" si="3"/>
        <v>0.82499999999999996</v>
      </c>
      <c r="K5" s="22">
        <f t="shared" si="3"/>
        <v>0.88500000000000001</v>
      </c>
      <c r="L5" s="24">
        <f t="shared" si="3"/>
        <v>0.87250000000000005</v>
      </c>
      <c r="M5" s="22">
        <f t="shared" si="3"/>
        <v>0.83250000000000002</v>
      </c>
      <c r="N5" s="24">
        <f t="shared" si="3"/>
        <v>0.85</v>
      </c>
      <c r="O5" s="24">
        <f t="shared" si="3"/>
        <v>0.89249999999999996</v>
      </c>
      <c r="P5" s="22">
        <f t="shared" si="3"/>
        <v>0.82750000000000001</v>
      </c>
      <c r="Q5" s="22">
        <f t="shared" si="3"/>
        <v>0.82750000000000001</v>
      </c>
      <c r="R5" s="22">
        <f t="shared" si="3"/>
        <v>0.78249999999999997</v>
      </c>
      <c r="S5" s="22">
        <f t="shared" si="3"/>
        <v>0.78249999999999997</v>
      </c>
      <c r="T5" s="22">
        <f t="shared" si="3"/>
        <v>0.78749999999999998</v>
      </c>
      <c r="U5" s="24">
        <f t="shared" si="3"/>
        <v>0.82499999999999996</v>
      </c>
      <c r="V5" s="24">
        <f t="shared" si="3"/>
        <v>0.8</v>
      </c>
      <c r="W5" s="22">
        <f t="shared" si="3"/>
        <v>0.84250000000000003</v>
      </c>
      <c r="X5" s="22">
        <f t="shared" si="3"/>
        <v>0.84250000000000003</v>
      </c>
      <c r="Y5" s="22">
        <f t="shared" si="3"/>
        <v>0.875</v>
      </c>
      <c r="Z5" s="22">
        <f t="shared" si="3"/>
        <v>0.875</v>
      </c>
    </row>
    <row r="6" spans="1:29" x14ac:dyDescent="0.25">
      <c r="A6" s="14" t="s">
        <v>7</v>
      </c>
      <c r="B6" s="14" t="s">
        <v>32</v>
      </c>
      <c r="C6" s="16">
        <v>0.8</v>
      </c>
      <c r="D6" s="20">
        <f t="shared" si="1"/>
        <v>0.19999999999999996</v>
      </c>
      <c r="E6" s="22">
        <f>1-+$D$6*E2</f>
        <v>0.87</v>
      </c>
      <c r="F6" s="22">
        <f t="shared" ref="F6:Z6" si="4">1-+$D$6*F2</f>
        <v>0.92</v>
      </c>
      <c r="G6" s="22">
        <f t="shared" si="4"/>
        <v>0.95</v>
      </c>
      <c r="H6" s="21">
        <f t="shared" si="4"/>
        <v>0.96</v>
      </c>
      <c r="I6" s="22">
        <f t="shared" si="4"/>
        <v>0.91</v>
      </c>
      <c r="J6" s="22">
        <f t="shared" si="4"/>
        <v>0.8600000000000001</v>
      </c>
      <c r="K6" s="22">
        <f t="shared" si="4"/>
        <v>0.90800000000000003</v>
      </c>
      <c r="L6" s="24">
        <f t="shared" si="4"/>
        <v>0.89800000000000002</v>
      </c>
      <c r="M6" s="22">
        <f t="shared" si="4"/>
        <v>0.8660000000000001</v>
      </c>
      <c r="N6" s="24">
        <f t="shared" si="4"/>
        <v>0.88</v>
      </c>
      <c r="O6" s="24">
        <f t="shared" si="4"/>
        <v>0.91400000000000003</v>
      </c>
      <c r="P6" s="22">
        <f t="shared" si="4"/>
        <v>0.8620000000000001</v>
      </c>
      <c r="Q6" s="22">
        <f t="shared" si="4"/>
        <v>0.8620000000000001</v>
      </c>
      <c r="R6" s="22">
        <f t="shared" si="4"/>
        <v>0.82600000000000007</v>
      </c>
      <c r="S6" s="22">
        <f t="shared" si="4"/>
        <v>0.82600000000000007</v>
      </c>
      <c r="T6" s="22">
        <f t="shared" si="4"/>
        <v>0.83000000000000007</v>
      </c>
      <c r="U6" s="24">
        <f t="shared" si="4"/>
        <v>0.8600000000000001</v>
      </c>
      <c r="V6" s="24">
        <f t="shared" si="4"/>
        <v>0.84000000000000008</v>
      </c>
      <c r="W6" s="22">
        <f t="shared" si="4"/>
        <v>0.874</v>
      </c>
      <c r="X6" s="22">
        <f t="shared" si="4"/>
        <v>0.874</v>
      </c>
      <c r="Y6" s="22">
        <f t="shared" si="4"/>
        <v>0.9</v>
      </c>
      <c r="Z6" s="22">
        <f t="shared" si="4"/>
        <v>0.9</v>
      </c>
    </row>
    <row r="7" spans="1:29" x14ac:dyDescent="0.25">
      <c r="B7" s="14" t="s">
        <v>77</v>
      </c>
      <c r="D7" s="20"/>
      <c r="E7" s="22"/>
      <c r="F7" s="22"/>
      <c r="G7" s="22"/>
      <c r="H7" s="21"/>
      <c r="I7" s="22"/>
      <c r="J7" s="22"/>
      <c r="K7" s="22"/>
      <c r="L7" s="24"/>
      <c r="M7" s="22"/>
      <c r="N7" s="24"/>
      <c r="O7" s="24"/>
      <c r="P7" s="22"/>
      <c r="Q7" s="22"/>
      <c r="R7" s="22"/>
      <c r="S7" s="22"/>
      <c r="T7" s="22"/>
      <c r="U7" s="24"/>
      <c r="V7" s="24"/>
      <c r="W7" s="22"/>
      <c r="X7" s="22"/>
      <c r="Y7" s="22"/>
      <c r="Z7" s="22"/>
    </row>
    <row r="8" spans="1:29" x14ac:dyDescent="0.25">
      <c r="A8" s="14" t="s">
        <v>8</v>
      </c>
      <c r="B8" s="14" t="s">
        <v>78</v>
      </c>
      <c r="C8" s="16">
        <v>0.55000000000000004</v>
      </c>
      <c r="D8" s="20">
        <f t="shared" si="1"/>
        <v>0.44999999999999996</v>
      </c>
      <c r="E8" s="23">
        <f>1-+$D$8*E2</f>
        <v>0.70750000000000002</v>
      </c>
      <c r="F8" s="22">
        <f t="shared" ref="F8:Z8" si="5">1-+$D$8*F2</f>
        <v>0.82000000000000006</v>
      </c>
      <c r="G8" s="22">
        <f t="shared" si="5"/>
        <v>0.88749999999999996</v>
      </c>
      <c r="H8" s="22">
        <f t="shared" si="5"/>
        <v>0.91</v>
      </c>
      <c r="I8" s="21">
        <f t="shared" si="5"/>
        <v>0.7975000000000001</v>
      </c>
      <c r="J8" s="24">
        <f t="shared" si="5"/>
        <v>0.68500000000000005</v>
      </c>
      <c r="K8" s="22">
        <f t="shared" si="5"/>
        <v>0.79300000000000004</v>
      </c>
      <c r="L8" s="22">
        <f t="shared" si="5"/>
        <v>0.77049999999999996</v>
      </c>
      <c r="M8" s="25">
        <f t="shared" si="5"/>
        <v>0.69850000000000012</v>
      </c>
      <c r="N8" s="25">
        <f t="shared" si="5"/>
        <v>0.73</v>
      </c>
      <c r="O8" s="25">
        <f t="shared" si="5"/>
        <v>0.80649999999999999</v>
      </c>
      <c r="P8" s="26">
        <f t="shared" si="5"/>
        <v>0.6895</v>
      </c>
      <c r="Q8" s="26">
        <f t="shared" si="5"/>
        <v>0.6895</v>
      </c>
      <c r="R8" s="26">
        <f t="shared" si="5"/>
        <v>0.60850000000000004</v>
      </c>
      <c r="S8" s="26">
        <f t="shared" si="5"/>
        <v>0.60850000000000004</v>
      </c>
      <c r="T8" s="22">
        <f t="shared" si="5"/>
        <v>0.61750000000000005</v>
      </c>
      <c r="U8" s="24">
        <f t="shared" si="5"/>
        <v>0.68500000000000005</v>
      </c>
      <c r="V8" s="24">
        <f t="shared" si="5"/>
        <v>0.64</v>
      </c>
      <c r="W8" s="26">
        <f t="shared" si="5"/>
        <v>0.71650000000000003</v>
      </c>
      <c r="X8" s="26">
        <f t="shared" si="5"/>
        <v>0.71650000000000003</v>
      </c>
      <c r="Y8" s="24">
        <f t="shared" si="5"/>
        <v>0.77500000000000002</v>
      </c>
      <c r="Z8" s="26">
        <f t="shared" si="5"/>
        <v>0.77500000000000002</v>
      </c>
    </row>
    <row r="9" spans="1:29" x14ac:dyDescent="0.25">
      <c r="A9" s="14" t="s">
        <v>15</v>
      </c>
      <c r="B9" s="14" t="s">
        <v>79</v>
      </c>
      <c r="C9" s="16">
        <v>0.3</v>
      </c>
      <c r="D9" s="20">
        <f t="shared" si="1"/>
        <v>0.7</v>
      </c>
      <c r="E9" s="23">
        <f>1-+$D$9*E2</f>
        <v>0.54500000000000004</v>
      </c>
      <c r="F9" s="22">
        <f t="shared" ref="F9:Z9" si="6">1-+$D$9*F2</f>
        <v>0.72</v>
      </c>
      <c r="G9" s="22">
        <f t="shared" si="6"/>
        <v>0.82499999999999996</v>
      </c>
      <c r="H9" s="22">
        <f t="shared" si="6"/>
        <v>0.8600000000000001</v>
      </c>
      <c r="I9" s="22">
        <f t="shared" si="6"/>
        <v>0.68500000000000005</v>
      </c>
      <c r="J9" s="21">
        <f t="shared" si="6"/>
        <v>0.51</v>
      </c>
      <c r="K9" s="22">
        <f t="shared" si="6"/>
        <v>0.67800000000000005</v>
      </c>
      <c r="L9" s="22">
        <f t="shared" si="6"/>
        <v>0.64300000000000002</v>
      </c>
      <c r="M9" s="24">
        <f t="shared" si="6"/>
        <v>0.53100000000000014</v>
      </c>
      <c r="N9" s="24">
        <f t="shared" si="6"/>
        <v>0.58000000000000007</v>
      </c>
      <c r="O9" s="24">
        <f t="shared" si="6"/>
        <v>0.69900000000000007</v>
      </c>
      <c r="P9" s="26">
        <f t="shared" si="6"/>
        <v>0.51700000000000013</v>
      </c>
      <c r="Q9" s="26">
        <f t="shared" si="6"/>
        <v>0.51700000000000013</v>
      </c>
      <c r="R9" s="26">
        <f t="shared" si="6"/>
        <v>0.39100000000000001</v>
      </c>
      <c r="S9" s="26">
        <f t="shared" si="6"/>
        <v>0.39100000000000001</v>
      </c>
      <c r="T9" s="22">
        <f t="shared" si="6"/>
        <v>0.40500000000000003</v>
      </c>
      <c r="U9" s="24">
        <f t="shared" si="6"/>
        <v>0.51</v>
      </c>
      <c r="V9" s="24">
        <f t="shared" si="6"/>
        <v>0.44000000000000006</v>
      </c>
      <c r="W9" s="26">
        <f t="shared" si="6"/>
        <v>0.55900000000000005</v>
      </c>
      <c r="X9" s="26">
        <f t="shared" si="6"/>
        <v>0.55900000000000005</v>
      </c>
      <c r="Y9" s="26">
        <f t="shared" si="6"/>
        <v>0.65</v>
      </c>
      <c r="Z9" s="26">
        <f t="shared" si="6"/>
        <v>0.65</v>
      </c>
    </row>
    <row r="10" spans="1:29" x14ac:dyDescent="0.25">
      <c r="A10" s="14" t="s">
        <v>9</v>
      </c>
      <c r="B10" s="14" t="s">
        <v>80</v>
      </c>
      <c r="C10" s="16">
        <v>0.54</v>
      </c>
      <c r="D10" s="20">
        <f t="shared" si="1"/>
        <v>0.45999999999999996</v>
      </c>
      <c r="E10" s="22">
        <f>1-+$D$10*E2</f>
        <v>0.70100000000000007</v>
      </c>
      <c r="F10" s="22">
        <f t="shared" ref="F10:Z10" si="7">1-+$D$10*F2</f>
        <v>0.81600000000000006</v>
      </c>
      <c r="G10" s="22">
        <f t="shared" si="7"/>
        <v>0.88500000000000001</v>
      </c>
      <c r="H10" s="22">
        <f t="shared" si="7"/>
        <v>0.90800000000000003</v>
      </c>
      <c r="I10" s="22">
        <f t="shared" si="7"/>
        <v>0.79300000000000004</v>
      </c>
      <c r="J10" s="22">
        <f t="shared" si="7"/>
        <v>0.67800000000000005</v>
      </c>
      <c r="K10" s="21">
        <f t="shared" si="7"/>
        <v>0.78839999999999999</v>
      </c>
      <c r="L10" s="22">
        <f t="shared" si="7"/>
        <v>0.76540000000000008</v>
      </c>
      <c r="M10" s="22">
        <f t="shared" si="7"/>
        <v>0.69180000000000008</v>
      </c>
      <c r="N10" s="22">
        <f t="shared" si="7"/>
        <v>0.72399999999999998</v>
      </c>
      <c r="O10" s="22">
        <f t="shared" si="7"/>
        <v>0.80220000000000002</v>
      </c>
      <c r="P10" s="22">
        <f t="shared" si="7"/>
        <v>0.6826000000000001</v>
      </c>
      <c r="Q10" s="22">
        <f t="shared" si="7"/>
        <v>0.6826000000000001</v>
      </c>
      <c r="R10" s="22">
        <f t="shared" si="7"/>
        <v>0.59980000000000011</v>
      </c>
      <c r="S10" s="22">
        <f t="shared" si="7"/>
        <v>0.59980000000000011</v>
      </c>
      <c r="T10" s="22">
        <f t="shared" si="7"/>
        <v>0.60899999999999999</v>
      </c>
      <c r="U10" s="22">
        <f t="shared" si="7"/>
        <v>0.67800000000000005</v>
      </c>
      <c r="V10" s="22">
        <f t="shared" si="7"/>
        <v>0.63200000000000001</v>
      </c>
      <c r="W10" s="22">
        <f t="shared" si="7"/>
        <v>0.71019999999999994</v>
      </c>
      <c r="X10" s="22">
        <f t="shared" si="7"/>
        <v>0.71019999999999994</v>
      </c>
      <c r="Y10" s="22">
        <f t="shared" si="7"/>
        <v>0.77</v>
      </c>
      <c r="Z10" s="22">
        <f t="shared" si="7"/>
        <v>0.77</v>
      </c>
    </row>
    <row r="11" spans="1:29" x14ac:dyDescent="0.25">
      <c r="A11" s="14" t="s">
        <v>10</v>
      </c>
      <c r="B11" s="14" t="s">
        <v>34</v>
      </c>
      <c r="C11" s="16">
        <v>0.49</v>
      </c>
      <c r="D11" s="20">
        <f t="shared" si="1"/>
        <v>0.51</v>
      </c>
      <c r="E11" s="24">
        <f>1-+$D$11*E2</f>
        <v>0.66849999999999998</v>
      </c>
      <c r="F11" s="24">
        <f t="shared" ref="F11:Z11" si="8">1-+$D$11*F2</f>
        <v>0.79600000000000004</v>
      </c>
      <c r="G11" s="24">
        <f t="shared" si="8"/>
        <v>0.87250000000000005</v>
      </c>
      <c r="H11" s="24">
        <f t="shared" si="8"/>
        <v>0.89800000000000002</v>
      </c>
      <c r="I11" s="22">
        <f t="shared" si="8"/>
        <v>0.77049999999999996</v>
      </c>
      <c r="J11" s="22">
        <f t="shared" si="8"/>
        <v>0.64300000000000002</v>
      </c>
      <c r="K11" s="22">
        <f t="shared" si="8"/>
        <v>0.76540000000000008</v>
      </c>
      <c r="L11" s="21">
        <f t="shared" si="8"/>
        <v>0.7399</v>
      </c>
      <c r="M11" s="24">
        <f t="shared" si="8"/>
        <v>0.65830000000000011</v>
      </c>
      <c r="N11" s="24">
        <f t="shared" si="8"/>
        <v>0.69399999999999995</v>
      </c>
      <c r="O11" s="24">
        <f t="shared" si="8"/>
        <v>0.78069999999999995</v>
      </c>
      <c r="P11" s="24">
        <f t="shared" si="8"/>
        <v>0.64810000000000001</v>
      </c>
      <c r="Q11" s="24">
        <f t="shared" si="8"/>
        <v>0.64810000000000001</v>
      </c>
      <c r="R11" s="24">
        <f t="shared" si="8"/>
        <v>0.55630000000000002</v>
      </c>
      <c r="S11" s="24">
        <f t="shared" si="8"/>
        <v>0.55630000000000002</v>
      </c>
      <c r="T11" s="22">
        <f t="shared" si="8"/>
        <v>0.5665</v>
      </c>
      <c r="U11" s="22">
        <f t="shared" si="8"/>
        <v>0.64300000000000002</v>
      </c>
      <c r="V11" s="22">
        <f t="shared" si="8"/>
        <v>0.59199999999999997</v>
      </c>
      <c r="W11" s="24">
        <f t="shared" si="8"/>
        <v>0.67869999999999997</v>
      </c>
      <c r="X11" s="24">
        <f t="shared" si="8"/>
        <v>0.67869999999999997</v>
      </c>
      <c r="Y11" s="24">
        <f t="shared" si="8"/>
        <v>0.745</v>
      </c>
      <c r="Z11" s="24">
        <f t="shared" si="8"/>
        <v>0.745</v>
      </c>
    </row>
    <row r="12" spans="1:29" x14ac:dyDescent="0.25">
      <c r="A12" s="14" t="s">
        <v>11</v>
      </c>
      <c r="B12" s="14" t="s">
        <v>35</v>
      </c>
      <c r="C12" s="16">
        <v>0.33</v>
      </c>
      <c r="D12" s="20">
        <f t="shared" si="1"/>
        <v>0.66999999999999993</v>
      </c>
      <c r="E12" s="22">
        <f>1-+$D$12*E2</f>
        <v>0.5645</v>
      </c>
      <c r="F12" s="22">
        <f t="shared" ref="F12:Z12" si="9">1-+$D$12*F2</f>
        <v>0.73199999999999998</v>
      </c>
      <c r="G12" s="22">
        <f t="shared" si="9"/>
        <v>0.83250000000000002</v>
      </c>
      <c r="H12" s="22">
        <f t="shared" si="9"/>
        <v>0.8660000000000001</v>
      </c>
      <c r="I12" s="25">
        <f t="shared" si="9"/>
        <v>0.69850000000000012</v>
      </c>
      <c r="J12" s="24">
        <f t="shared" si="9"/>
        <v>0.53100000000000014</v>
      </c>
      <c r="K12" s="22">
        <f t="shared" si="9"/>
        <v>0.69180000000000008</v>
      </c>
      <c r="L12" s="24">
        <f t="shared" si="9"/>
        <v>0.65830000000000011</v>
      </c>
      <c r="M12" s="21">
        <f t="shared" si="9"/>
        <v>0.55110000000000015</v>
      </c>
      <c r="N12" s="24">
        <f t="shared" si="9"/>
        <v>0.59800000000000009</v>
      </c>
      <c r="O12" s="24">
        <f t="shared" si="9"/>
        <v>0.71189999999999998</v>
      </c>
      <c r="P12" s="25">
        <f t="shared" si="9"/>
        <v>0.53770000000000007</v>
      </c>
      <c r="Q12" s="25">
        <f t="shared" si="9"/>
        <v>0.53770000000000007</v>
      </c>
      <c r="R12" s="24">
        <f t="shared" si="9"/>
        <v>0.41710000000000003</v>
      </c>
      <c r="S12" s="24">
        <f t="shared" si="9"/>
        <v>0.41710000000000003</v>
      </c>
      <c r="T12" s="22">
        <f t="shared" si="9"/>
        <v>0.4305000000000001</v>
      </c>
      <c r="U12" s="24">
        <f t="shared" si="9"/>
        <v>0.53100000000000014</v>
      </c>
      <c r="V12" s="24">
        <f t="shared" si="9"/>
        <v>0.46400000000000008</v>
      </c>
      <c r="W12" s="24">
        <f t="shared" si="9"/>
        <v>0.57790000000000008</v>
      </c>
      <c r="X12" s="24">
        <f t="shared" si="9"/>
        <v>0.57790000000000008</v>
      </c>
      <c r="Y12" s="24">
        <f t="shared" si="9"/>
        <v>0.66500000000000004</v>
      </c>
      <c r="Z12" s="25">
        <f t="shared" si="9"/>
        <v>0.66500000000000004</v>
      </c>
    </row>
    <row r="13" spans="1:29" x14ac:dyDescent="0.25">
      <c r="A13" s="14" t="s">
        <v>12</v>
      </c>
      <c r="B13" s="14" t="s">
        <v>36</v>
      </c>
      <c r="C13" s="16">
        <v>0.4</v>
      </c>
      <c r="D13" s="20">
        <f t="shared" si="1"/>
        <v>0.6</v>
      </c>
      <c r="E13" s="24">
        <f>1-+$D$13*E2</f>
        <v>0.61</v>
      </c>
      <c r="F13" s="24">
        <f t="shared" ref="F13:Z13" si="10">1-+$D$13*F2</f>
        <v>0.76</v>
      </c>
      <c r="G13" s="24">
        <f t="shared" si="10"/>
        <v>0.85</v>
      </c>
      <c r="H13" s="24">
        <f t="shared" si="10"/>
        <v>0.88</v>
      </c>
      <c r="I13" s="25">
        <f t="shared" si="10"/>
        <v>0.73</v>
      </c>
      <c r="J13" s="24">
        <f t="shared" si="10"/>
        <v>0.58000000000000007</v>
      </c>
      <c r="K13" s="22">
        <f t="shared" si="10"/>
        <v>0.72399999999999998</v>
      </c>
      <c r="L13" s="24">
        <f t="shared" si="10"/>
        <v>0.69399999999999995</v>
      </c>
      <c r="M13" s="24">
        <f t="shared" si="10"/>
        <v>0.59800000000000009</v>
      </c>
      <c r="N13" s="21">
        <f t="shared" si="10"/>
        <v>0.64</v>
      </c>
      <c r="O13" s="24">
        <f t="shared" si="10"/>
        <v>0.74199999999999999</v>
      </c>
      <c r="P13" s="24">
        <f t="shared" si="10"/>
        <v>0.58600000000000008</v>
      </c>
      <c r="Q13" s="25">
        <f t="shared" si="10"/>
        <v>0.58600000000000008</v>
      </c>
      <c r="R13" s="24">
        <f t="shared" si="10"/>
        <v>0.47799999999999998</v>
      </c>
      <c r="S13" s="24">
        <f t="shared" si="10"/>
        <v>0.47799999999999998</v>
      </c>
      <c r="T13" s="22">
        <f t="shared" si="10"/>
        <v>0.49</v>
      </c>
      <c r="U13" s="24">
        <f t="shared" si="10"/>
        <v>0.58000000000000007</v>
      </c>
      <c r="V13" s="24">
        <f t="shared" si="10"/>
        <v>0.52</v>
      </c>
      <c r="W13" s="24">
        <f t="shared" si="10"/>
        <v>0.622</v>
      </c>
      <c r="X13" s="24">
        <f t="shared" si="10"/>
        <v>0.622</v>
      </c>
      <c r="Y13" s="24">
        <f t="shared" si="10"/>
        <v>0.7</v>
      </c>
      <c r="Z13" s="24">
        <f t="shared" si="10"/>
        <v>0.7</v>
      </c>
    </row>
    <row r="14" spans="1:29" x14ac:dyDescent="0.25">
      <c r="A14" s="14" t="s">
        <v>16</v>
      </c>
      <c r="B14" s="14" t="s">
        <v>1</v>
      </c>
      <c r="C14" s="16">
        <v>0.56999999999999995</v>
      </c>
      <c r="D14" s="20">
        <f t="shared" si="1"/>
        <v>0.43000000000000005</v>
      </c>
      <c r="E14" s="24">
        <f>1-+$D$14*E2</f>
        <v>0.72049999999999992</v>
      </c>
      <c r="F14" s="24">
        <f t="shared" ref="F14:Z14" si="11">1-+$D$14*F2</f>
        <v>0.82799999999999996</v>
      </c>
      <c r="G14" s="24">
        <f t="shared" si="11"/>
        <v>0.89249999999999996</v>
      </c>
      <c r="H14" s="24">
        <f t="shared" si="11"/>
        <v>0.91400000000000003</v>
      </c>
      <c r="I14" s="25">
        <f t="shared" si="11"/>
        <v>0.80649999999999999</v>
      </c>
      <c r="J14" s="24">
        <f t="shared" si="11"/>
        <v>0.69900000000000007</v>
      </c>
      <c r="K14" s="22">
        <f t="shared" si="11"/>
        <v>0.80220000000000002</v>
      </c>
      <c r="L14" s="24">
        <f t="shared" si="11"/>
        <v>0.78069999999999995</v>
      </c>
      <c r="M14" s="24">
        <f t="shared" si="11"/>
        <v>0.71189999999999998</v>
      </c>
      <c r="N14" s="24">
        <f t="shared" si="11"/>
        <v>0.74199999999999999</v>
      </c>
      <c r="O14" s="21">
        <f t="shared" si="11"/>
        <v>0.81509999999999994</v>
      </c>
      <c r="P14" s="25">
        <f t="shared" si="11"/>
        <v>0.70330000000000004</v>
      </c>
      <c r="Q14" s="25">
        <f t="shared" si="11"/>
        <v>0.70330000000000004</v>
      </c>
      <c r="R14" s="24">
        <f t="shared" si="11"/>
        <v>0.6258999999999999</v>
      </c>
      <c r="S14" s="25">
        <f t="shared" si="11"/>
        <v>0.6258999999999999</v>
      </c>
      <c r="T14" s="22">
        <f t="shared" si="11"/>
        <v>0.63449999999999995</v>
      </c>
      <c r="U14" s="24">
        <f t="shared" si="11"/>
        <v>0.69900000000000007</v>
      </c>
      <c r="V14" s="24">
        <f t="shared" si="11"/>
        <v>0.65599999999999992</v>
      </c>
      <c r="W14" s="24">
        <f t="shared" si="11"/>
        <v>0.72909999999999997</v>
      </c>
      <c r="X14" s="24">
        <f t="shared" si="11"/>
        <v>0.72909999999999997</v>
      </c>
      <c r="Y14" s="24">
        <f t="shared" si="11"/>
        <v>0.78499999999999992</v>
      </c>
      <c r="Z14" s="25">
        <f t="shared" si="11"/>
        <v>0.78499999999999992</v>
      </c>
    </row>
    <row r="15" spans="1:29" x14ac:dyDescent="0.25">
      <c r="A15" s="14" t="s">
        <v>13</v>
      </c>
      <c r="B15" s="14" t="s">
        <v>47</v>
      </c>
      <c r="C15" s="16">
        <v>0.31</v>
      </c>
      <c r="D15" s="20">
        <f t="shared" si="1"/>
        <v>0.69</v>
      </c>
      <c r="E15" s="24">
        <f>1-+$D$15*E2</f>
        <v>0.5515000000000001</v>
      </c>
      <c r="F15" s="22">
        <f t="shared" ref="F15:Z15" si="12">1-+$D$15*F2</f>
        <v>0.72399999999999998</v>
      </c>
      <c r="G15" s="22">
        <f t="shared" si="12"/>
        <v>0.82750000000000001</v>
      </c>
      <c r="H15" s="22">
        <f t="shared" si="12"/>
        <v>0.8620000000000001</v>
      </c>
      <c r="I15" s="26">
        <f t="shared" si="12"/>
        <v>0.6895</v>
      </c>
      <c r="J15" s="26">
        <f t="shared" si="12"/>
        <v>0.51700000000000013</v>
      </c>
      <c r="K15" s="22">
        <f t="shared" si="12"/>
        <v>0.6826000000000001</v>
      </c>
      <c r="L15" s="24">
        <f t="shared" si="12"/>
        <v>0.64810000000000001</v>
      </c>
      <c r="M15" s="25">
        <f t="shared" si="12"/>
        <v>0.53770000000000007</v>
      </c>
      <c r="N15" s="24">
        <f t="shared" si="12"/>
        <v>0.58600000000000008</v>
      </c>
      <c r="O15" s="25">
        <f t="shared" si="12"/>
        <v>0.70330000000000004</v>
      </c>
      <c r="P15" s="21">
        <f t="shared" si="12"/>
        <v>0.52390000000000003</v>
      </c>
      <c r="Q15" s="21">
        <f t="shared" si="12"/>
        <v>0.52390000000000003</v>
      </c>
      <c r="R15" s="22">
        <f t="shared" si="12"/>
        <v>0.39970000000000006</v>
      </c>
      <c r="S15" s="22">
        <f t="shared" si="12"/>
        <v>0.39970000000000006</v>
      </c>
      <c r="T15" s="22">
        <f t="shared" si="12"/>
        <v>0.41350000000000009</v>
      </c>
      <c r="U15" s="26">
        <f t="shared" si="12"/>
        <v>0.51700000000000013</v>
      </c>
      <c r="V15" s="26">
        <f t="shared" si="12"/>
        <v>0.44800000000000006</v>
      </c>
      <c r="W15" s="24">
        <f t="shared" si="12"/>
        <v>0.56530000000000002</v>
      </c>
      <c r="X15" s="24">
        <f t="shared" si="12"/>
        <v>0.56530000000000002</v>
      </c>
      <c r="Y15" s="22">
        <f t="shared" si="12"/>
        <v>0.65500000000000003</v>
      </c>
      <c r="Z15" s="22">
        <f t="shared" si="12"/>
        <v>0.65500000000000003</v>
      </c>
    </row>
    <row r="16" spans="1:29" x14ac:dyDescent="0.25">
      <c r="A16" s="14" t="s">
        <v>17</v>
      </c>
      <c r="B16" s="14" t="s">
        <v>48</v>
      </c>
      <c r="C16" s="16">
        <v>0.31</v>
      </c>
      <c r="D16" s="20">
        <f t="shared" si="1"/>
        <v>0.69</v>
      </c>
      <c r="E16" s="23">
        <f>1-+$D$16*E2</f>
        <v>0.5515000000000001</v>
      </c>
      <c r="F16" s="22">
        <f t="shared" ref="F16:Z16" si="13">1-+$D$16*F2</f>
        <v>0.72399999999999998</v>
      </c>
      <c r="G16" s="22">
        <f t="shared" si="13"/>
        <v>0.82750000000000001</v>
      </c>
      <c r="H16" s="22">
        <f t="shared" si="13"/>
        <v>0.8620000000000001</v>
      </c>
      <c r="I16" s="26">
        <f t="shared" si="13"/>
        <v>0.6895</v>
      </c>
      <c r="J16" s="26">
        <f t="shared" si="13"/>
        <v>0.51700000000000013</v>
      </c>
      <c r="K16" s="22">
        <f t="shared" si="13"/>
        <v>0.6826000000000001</v>
      </c>
      <c r="L16" s="24">
        <f t="shared" si="13"/>
        <v>0.64810000000000001</v>
      </c>
      <c r="M16" s="25">
        <f t="shared" si="13"/>
        <v>0.53770000000000007</v>
      </c>
      <c r="N16" s="25">
        <f t="shared" si="13"/>
        <v>0.58600000000000008</v>
      </c>
      <c r="O16" s="25">
        <f t="shared" si="13"/>
        <v>0.70330000000000004</v>
      </c>
      <c r="P16" s="21">
        <f t="shared" si="13"/>
        <v>0.52390000000000003</v>
      </c>
      <c r="Q16" s="21">
        <f t="shared" si="13"/>
        <v>0.52390000000000003</v>
      </c>
      <c r="R16" s="22">
        <f t="shared" si="13"/>
        <v>0.39970000000000006</v>
      </c>
      <c r="S16" s="22">
        <f t="shared" si="13"/>
        <v>0.39970000000000006</v>
      </c>
      <c r="T16" s="22">
        <f t="shared" si="13"/>
        <v>0.41350000000000009</v>
      </c>
      <c r="U16" s="25">
        <f t="shared" si="13"/>
        <v>0.51700000000000013</v>
      </c>
      <c r="V16" s="25">
        <f t="shared" si="13"/>
        <v>0.44800000000000006</v>
      </c>
      <c r="W16" s="24">
        <f t="shared" si="13"/>
        <v>0.56530000000000002</v>
      </c>
      <c r="X16" s="24">
        <f t="shared" si="13"/>
        <v>0.56530000000000002</v>
      </c>
      <c r="Y16" s="22">
        <f t="shared" si="13"/>
        <v>0.65500000000000003</v>
      </c>
      <c r="Z16" s="22">
        <f t="shared" si="13"/>
        <v>0.65500000000000003</v>
      </c>
    </row>
    <row r="17" spans="1:26" x14ac:dyDescent="0.25">
      <c r="A17" s="14" t="s">
        <v>18</v>
      </c>
      <c r="B17" s="14" t="s">
        <v>49</v>
      </c>
      <c r="C17" s="16">
        <v>0.13</v>
      </c>
      <c r="D17" s="20">
        <f t="shared" si="1"/>
        <v>0.87</v>
      </c>
      <c r="E17" s="27">
        <f>1-+$D$17*E2</f>
        <v>0.4345</v>
      </c>
      <c r="F17" s="22">
        <f t="shared" ref="F17:Z17" si="14">1-+$D$17*F2</f>
        <v>0.65199999999999991</v>
      </c>
      <c r="G17" s="22">
        <f t="shared" si="14"/>
        <v>0.78249999999999997</v>
      </c>
      <c r="H17" s="22">
        <f t="shared" si="14"/>
        <v>0.82600000000000007</v>
      </c>
      <c r="I17" s="26">
        <f t="shared" si="14"/>
        <v>0.60850000000000004</v>
      </c>
      <c r="J17" s="26">
        <f t="shared" si="14"/>
        <v>0.39100000000000001</v>
      </c>
      <c r="K17" s="22">
        <f t="shared" si="14"/>
        <v>0.59980000000000011</v>
      </c>
      <c r="L17" s="24">
        <f t="shared" si="14"/>
        <v>0.55630000000000002</v>
      </c>
      <c r="M17" s="24">
        <f t="shared" si="14"/>
        <v>0.41710000000000003</v>
      </c>
      <c r="N17" s="24">
        <f t="shared" si="14"/>
        <v>0.47799999999999998</v>
      </c>
      <c r="O17" s="24">
        <f t="shared" si="14"/>
        <v>0.6258999999999999</v>
      </c>
      <c r="P17" s="22">
        <f t="shared" si="14"/>
        <v>0.39970000000000006</v>
      </c>
      <c r="Q17" s="22">
        <f t="shared" si="14"/>
        <v>0.39970000000000006</v>
      </c>
      <c r="R17" s="21">
        <f t="shared" si="14"/>
        <v>0.24309999999999998</v>
      </c>
      <c r="S17" s="21">
        <f t="shared" si="14"/>
        <v>0.24309999999999998</v>
      </c>
      <c r="T17" s="22">
        <f t="shared" si="14"/>
        <v>0.26050000000000006</v>
      </c>
      <c r="U17" s="25">
        <f t="shared" si="14"/>
        <v>0.39100000000000001</v>
      </c>
      <c r="V17" s="25">
        <f t="shared" si="14"/>
        <v>0.30399999999999994</v>
      </c>
      <c r="W17" s="24">
        <f t="shared" si="14"/>
        <v>0.45189999999999997</v>
      </c>
      <c r="X17" s="24">
        <f t="shared" si="14"/>
        <v>0.45189999999999997</v>
      </c>
      <c r="Y17" s="22">
        <f t="shared" si="14"/>
        <v>0.56499999999999995</v>
      </c>
      <c r="Z17" s="22">
        <f t="shared" si="14"/>
        <v>0.56499999999999995</v>
      </c>
    </row>
    <row r="18" spans="1:26" x14ac:dyDescent="0.25">
      <c r="A18" s="14" t="s">
        <v>19</v>
      </c>
      <c r="B18" s="14" t="s">
        <v>50</v>
      </c>
      <c r="C18" s="16">
        <v>0.13</v>
      </c>
      <c r="D18" s="20">
        <f t="shared" si="1"/>
        <v>0.87</v>
      </c>
      <c r="E18" s="24">
        <f>1-+$D$18*E2</f>
        <v>0.4345</v>
      </c>
      <c r="F18" s="22">
        <f t="shared" ref="F18:Z18" si="15">1-+$D$18*F2</f>
        <v>0.65199999999999991</v>
      </c>
      <c r="G18" s="22">
        <f t="shared" si="15"/>
        <v>0.78249999999999997</v>
      </c>
      <c r="H18" s="22">
        <f t="shared" si="15"/>
        <v>0.82600000000000007</v>
      </c>
      <c r="I18" s="26">
        <f t="shared" si="15"/>
        <v>0.60850000000000004</v>
      </c>
      <c r="J18" s="26">
        <f t="shared" si="15"/>
        <v>0.39100000000000001</v>
      </c>
      <c r="K18" s="22">
        <f t="shared" si="15"/>
        <v>0.59980000000000011</v>
      </c>
      <c r="L18" s="24">
        <f t="shared" si="15"/>
        <v>0.55630000000000002</v>
      </c>
      <c r="M18" s="24">
        <f t="shared" si="15"/>
        <v>0.41710000000000003</v>
      </c>
      <c r="N18" s="24">
        <f t="shared" si="15"/>
        <v>0.47799999999999998</v>
      </c>
      <c r="O18" s="25">
        <f t="shared" si="15"/>
        <v>0.6258999999999999</v>
      </c>
      <c r="P18" s="22">
        <f t="shared" si="15"/>
        <v>0.39970000000000006</v>
      </c>
      <c r="Q18" s="22">
        <f t="shared" si="15"/>
        <v>0.39970000000000006</v>
      </c>
      <c r="R18" s="21">
        <f t="shared" si="15"/>
        <v>0.24309999999999998</v>
      </c>
      <c r="S18" s="21">
        <f t="shared" si="15"/>
        <v>0.24309999999999998</v>
      </c>
      <c r="T18" s="22">
        <f t="shared" si="15"/>
        <v>0.26050000000000006</v>
      </c>
      <c r="U18" s="24">
        <f t="shared" si="15"/>
        <v>0.39100000000000001</v>
      </c>
      <c r="V18" s="24">
        <f t="shared" si="15"/>
        <v>0.30399999999999994</v>
      </c>
      <c r="W18" s="24">
        <f t="shared" si="15"/>
        <v>0.45189999999999997</v>
      </c>
      <c r="X18" s="24">
        <f t="shared" si="15"/>
        <v>0.45189999999999997</v>
      </c>
      <c r="Y18" s="22">
        <f t="shared" si="15"/>
        <v>0.56499999999999995</v>
      </c>
      <c r="Z18" s="22">
        <f t="shared" si="15"/>
        <v>0.56499999999999995</v>
      </c>
    </row>
    <row r="19" spans="1:26" x14ac:dyDescent="0.25">
      <c r="A19" s="14" t="s">
        <v>20</v>
      </c>
      <c r="B19" s="14" t="s">
        <v>37</v>
      </c>
      <c r="C19" s="16">
        <v>0.15</v>
      </c>
      <c r="D19" s="20">
        <f t="shared" si="1"/>
        <v>0.85</v>
      </c>
      <c r="E19" s="22">
        <f>1-+$D$19*E2</f>
        <v>0.44750000000000001</v>
      </c>
      <c r="F19" s="22">
        <f t="shared" ref="F19:Z19" si="16">1-+$D$19*F2</f>
        <v>0.65999999999999992</v>
      </c>
      <c r="G19" s="22">
        <f t="shared" si="16"/>
        <v>0.78749999999999998</v>
      </c>
      <c r="H19" s="22">
        <f t="shared" si="16"/>
        <v>0.83000000000000007</v>
      </c>
      <c r="I19" s="26">
        <f t="shared" si="16"/>
        <v>0.61750000000000005</v>
      </c>
      <c r="J19" s="26">
        <f t="shared" si="16"/>
        <v>0.40500000000000003</v>
      </c>
      <c r="K19" s="22">
        <f t="shared" si="16"/>
        <v>0.60899999999999999</v>
      </c>
      <c r="L19" s="22">
        <f t="shared" si="16"/>
        <v>0.5665</v>
      </c>
      <c r="M19" s="22">
        <f t="shared" si="16"/>
        <v>0.4305000000000001</v>
      </c>
      <c r="N19" s="22">
        <f t="shared" si="16"/>
        <v>0.49</v>
      </c>
      <c r="O19" s="22">
        <f t="shared" si="16"/>
        <v>0.63449999999999995</v>
      </c>
      <c r="P19" s="22">
        <f t="shared" si="16"/>
        <v>0.41350000000000009</v>
      </c>
      <c r="Q19" s="22">
        <f t="shared" si="16"/>
        <v>0.41350000000000009</v>
      </c>
      <c r="R19" s="22">
        <f t="shared" si="16"/>
        <v>0.26050000000000006</v>
      </c>
      <c r="S19" s="22">
        <f t="shared" si="16"/>
        <v>0.26050000000000006</v>
      </c>
      <c r="T19" s="21">
        <f t="shared" si="16"/>
        <v>0.27750000000000008</v>
      </c>
      <c r="U19" s="24">
        <f t="shared" si="16"/>
        <v>0.40500000000000003</v>
      </c>
      <c r="V19" s="22">
        <f t="shared" si="16"/>
        <v>0.31999999999999995</v>
      </c>
      <c r="W19" s="24">
        <f t="shared" si="16"/>
        <v>0.46450000000000002</v>
      </c>
      <c r="X19" s="24">
        <f t="shared" si="16"/>
        <v>0.46450000000000002</v>
      </c>
      <c r="Y19" s="22">
        <f t="shared" si="16"/>
        <v>0.57499999999999996</v>
      </c>
      <c r="Z19" s="22">
        <f t="shared" si="16"/>
        <v>0.57499999999999996</v>
      </c>
    </row>
    <row r="20" spans="1:26" x14ac:dyDescent="0.25">
      <c r="A20" s="14" t="s">
        <v>21</v>
      </c>
      <c r="B20" s="14" t="s">
        <v>33</v>
      </c>
      <c r="C20" s="16">
        <v>0.3</v>
      </c>
      <c r="D20" s="20">
        <f t="shared" si="1"/>
        <v>0.7</v>
      </c>
      <c r="E20" s="24">
        <f>1-+$D$20*E2</f>
        <v>0.54500000000000004</v>
      </c>
      <c r="F20" s="24">
        <f t="shared" ref="F20:Z20" si="17">1-+$D$20*F2</f>
        <v>0.72</v>
      </c>
      <c r="G20" s="24">
        <f t="shared" si="17"/>
        <v>0.82499999999999996</v>
      </c>
      <c r="H20" s="24">
        <f t="shared" si="17"/>
        <v>0.8600000000000001</v>
      </c>
      <c r="I20" s="24">
        <f t="shared" si="17"/>
        <v>0.68500000000000005</v>
      </c>
      <c r="J20" s="24">
        <f t="shared" si="17"/>
        <v>0.51</v>
      </c>
      <c r="K20" s="22">
        <f t="shared" si="17"/>
        <v>0.67800000000000005</v>
      </c>
      <c r="L20" s="22">
        <f t="shared" si="17"/>
        <v>0.64300000000000002</v>
      </c>
      <c r="M20" s="24">
        <f t="shared" si="17"/>
        <v>0.53100000000000014</v>
      </c>
      <c r="N20" s="24">
        <f t="shared" si="17"/>
        <v>0.58000000000000007</v>
      </c>
      <c r="O20" s="24">
        <f t="shared" si="17"/>
        <v>0.69900000000000007</v>
      </c>
      <c r="P20" s="26">
        <f t="shared" si="17"/>
        <v>0.51700000000000013</v>
      </c>
      <c r="Q20" s="25">
        <f t="shared" si="17"/>
        <v>0.51700000000000013</v>
      </c>
      <c r="R20" s="25">
        <f t="shared" si="17"/>
        <v>0.39100000000000001</v>
      </c>
      <c r="S20" s="24">
        <f t="shared" si="17"/>
        <v>0.39100000000000001</v>
      </c>
      <c r="T20" s="22">
        <f t="shared" si="17"/>
        <v>0.40500000000000003</v>
      </c>
      <c r="U20" s="21">
        <f t="shared" si="17"/>
        <v>0.51</v>
      </c>
      <c r="V20" s="22">
        <f t="shared" si="17"/>
        <v>0.44000000000000006</v>
      </c>
      <c r="W20" s="25">
        <f t="shared" si="17"/>
        <v>0.55900000000000005</v>
      </c>
      <c r="X20" s="25">
        <f t="shared" si="17"/>
        <v>0.55900000000000005</v>
      </c>
      <c r="Y20" s="25">
        <f t="shared" si="17"/>
        <v>0.65</v>
      </c>
      <c r="Z20" s="24">
        <f t="shared" si="17"/>
        <v>0.65</v>
      </c>
    </row>
    <row r="21" spans="1:26" x14ac:dyDescent="0.25">
      <c r="A21" s="14" t="s">
        <v>22</v>
      </c>
      <c r="B21" s="14" t="s">
        <v>38</v>
      </c>
      <c r="C21" s="16">
        <v>0.2</v>
      </c>
      <c r="D21" s="20">
        <f t="shared" si="1"/>
        <v>0.8</v>
      </c>
      <c r="E21" s="24">
        <f>1-+$D$21*E2</f>
        <v>0.48</v>
      </c>
      <c r="F21" s="24">
        <f t="shared" ref="F21:Z21" si="18">1-+$D$21*F2</f>
        <v>0.67999999999999994</v>
      </c>
      <c r="G21" s="24">
        <f t="shared" si="18"/>
        <v>0.8</v>
      </c>
      <c r="H21" s="24">
        <f t="shared" si="18"/>
        <v>0.84000000000000008</v>
      </c>
      <c r="I21" s="24">
        <f t="shared" si="18"/>
        <v>0.64</v>
      </c>
      <c r="J21" s="24">
        <f t="shared" si="18"/>
        <v>0.44000000000000006</v>
      </c>
      <c r="K21" s="22">
        <f t="shared" si="18"/>
        <v>0.63200000000000001</v>
      </c>
      <c r="L21" s="22">
        <f t="shared" si="18"/>
        <v>0.59199999999999997</v>
      </c>
      <c r="M21" s="24">
        <f t="shared" si="18"/>
        <v>0.46400000000000008</v>
      </c>
      <c r="N21" s="24">
        <f t="shared" si="18"/>
        <v>0.52</v>
      </c>
      <c r="O21" s="24">
        <f t="shared" si="18"/>
        <v>0.65599999999999992</v>
      </c>
      <c r="P21" s="26">
        <f t="shared" si="18"/>
        <v>0.44800000000000006</v>
      </c>
      <c r="Q21" s="25">
        <f t="shared" si="18"/>
        <v>0.44800000000000006</v>
      </c>
      <c r="R21" s="25">
        <f t="shared" si="18"/>
        <v>0.30399999999999994</v>
      </c>
      <c r="S21" s="24">
        <f t="shared" si="18"/>
        <v>0.30399999999999994</v>
      </c>
      <c r="T21" s="22">
        <f t="shared" si="18"/>
        <v>0.31999999999999995</v>
      </c>
      <c r="U21" s="22">
        <f t="shared" si="18"/>
        <v>0.44000000000000006</v>
      </c>
      <c r="V21" s="21">
        <f t="shared" si="18"/>
        <v>0.35999999999999988</v>
      </c>
      <c r="W21" s="25">
        <f t="shared" si="18"/>
        <v>0.496</v>
      </c>
      <c r="X21" s="25">
        <f t="shared" si="18"/>
        <v>0.496</v>
      </c>
      <c r="Y21" s="25">
        <f t="shared" si="18"/>
        <v>0.6</v>
      </c>
      <c r="Z21" s="24">
        <f t="shared" si="18"/>
        <v>0.6</v>
      </c>
    </row>
    <row r="22" spans="1:26" x14ac:dyDescent="0.25">
      <c r="A22" s="14" t="s">
        <v>23</v>
      </c>
      <c r="B22" s="14" t="s">
        <v>51</v>
      </c>
      <c r="C22" s="16">
        <v>0.37</v>
      </c>
      <c r="D22" s="20">
        <f t="shared" si="1"/>
        <v>0.63</v>
      </c>
      <c r="E22" s="24">
        <f>1-+$D$22*E2</f>
        <v>0.59050000000000002</v>
      </c>
      <c r="F22" s="22">
        <f t="shared" ref="F22:Z22" si="19">1-+$D$22*F2</f>
        <v>0.748</v>
      </c>
      <c r="G22" s="22">
        <f t="shared" si="19"/>
        <v>0.84250000000000003</v>
      </c>
      <c r="H22" s="22">
        <f t="shared" si="19"/>
        <v>0.874</v>
      </c>
      <c r="I22" s="26">
        <f t="shared" si="19"/>
        <v>0.71650000000000003</v>
      </c>
      <c r="J22" s="26">
        <f t="shared" si="19"/>
        <v>0.55900000000000005</v>
      </c>
      <c r="K22" s="22">
        <f t="shared" si="19"/>
        <v>0.71019999999999994</v>
      </c>
      <c r="L22" s="24">
        <f t="shared" si="19"/>
        <v>0.67869999999999997</v>
      </c>
      <c r="M22" s="24">
        <f t="shared" si="19"/>
        <v>0.57790000000000008</v>
      </c>
      <c r="N22" s="24">
        <f t="shared" si="19"/>
        <v>0.622</v>
      </c>
      <c r="O22" s="24">
        <f t="shared" si="19"/>
        <v>0.72909999999999997</v>
      </c>
      <c r="P22" s="22">
        <f t="shared" si="19"/>
        <v>0.56530000000000002</v>
      </c>
      <c r="Q22" s="22">
        <f t="shared" si="19"/>
        <v>0.56530000000000002</v>
      </c>
      <c r="R22" s="22">
        <f t="shared" si="19"/>
        <v>0.45189999999999997</v>
      </c>
      <c r="S22" s="22">
        <f t="shared" si="19"/>
        <v>0.45189999999999997</v>
      </c>
      <c r="T22" s="22">
        <f t="shared" si="19"/>
        <v>0.46450000000000002</v>
      </c>
      <c r="U22" s="25">
        <f t="shared" si="19"/>
        <v>0.55900000000000005</v>
      </c>
      <c r="V22" s="25">
        <f t="shared" si="19"/>
        <v>0.496</v>
      </c>
      <c r="W22" s="21">
        <f t="shared" si="19"/>
        <v>0.60309999999999997</v>
      </c>
      <c r="X22" s="21">
        <f t="shared" si="19"/>
        <v>0.60309999999999997</v>
      </c>
      <c r="Y22" s="22">
        <f t="shared" si="19"/>
        <v>0.68500000000000005</v>
      </c>
      <c r="Z22" s="22">
        <f t="shared" si="19"/>
        <v>0.68500000000000005</v>
      </c>
    </row>
    <row r="23" spans="1:26" x14ac:dyDescent="0.25">
      <c r="A23" s="14" t="s">
        <v>24</v>
      </c>
      <c r="B23" s="14" t="s">
        <v>52</v>
      </c>
      <c r="C23" s="16">
        <v>0.37</v>
      </c>
      <c r="D23" s="20">
        <f t="shared" si="1"/>
        <v>0.63</v>
      </c>
      <c r="E23" s="24">
        <f>1-+$D$23*E2</f>
        <v>0.59050000000000002</v>
      </c>
      <c r="F23" s="22">
        <f t="shared" ref="F23:Z23" si="20">1-+$D$23*F2</f>
        <v>0.748</v>
      </c>
      <c r="G23" s="22">
        <f t="shared" si="20"/>
        <v>0.84250000000000003</v>
      </c>
      <c r="H23" s="22">
        <f t="shared" si="20"/>
        <v>0.874</v>
      </c>
      <c r="I23" s="26">
        <f t="shared" si="20"/>
        <v>0.71650000000000003</v>
      </c>
      <c r="J23" s="26">
        <f t="shared" si="20"/>
        <v>0.55900000000000005</v>
      </c>
      <c r="K23" s="22">
        <f t="shared" si="20"/>
        <v>0.71019999999999994</v>
      </c>
      <c r="L23" s="24">
        <f t="shared" si="20"/>
        <v>0.67869999999999997</v>
      </c>
      <c r="M23" s="24">
        <f t="shared" si="20"/>
        <v>0.57790000000000008</v>
      </c>
      <c r="N23" s="24">
        <f t="shared" si="20"/>
        <v>0.622</v>
      </c>
      <c r="O23" s="24">
        <f t="shared" si="20"/>
        <v>0.72909999999999997</v>
      </c>
      <c r="P23" s="22">
        <f t="shared" si="20"/>
        <v>0.56530000000000002</v>
      </c>
      <c r="Q23" s="22">
        <f t="shared" si="20"/>
        <v>0.56530000000000002</v>
      </c>
      <c r="R23" s="22">
        <f t="shared" si="20"/>
        <v>0.45189999999999997</v>
      </c>
      <c r="S23" s="22">
        <f t="shared" si="20"/>
        <v>0.45189999999999997</v>
      </c>
      <c r="T23" s="22">
        <f t="shared" si="20"/>
        <v>0.46450000000000002</v>
      </c>
      <c r="U23" s="25">
        <f t="shared" si="20"/>
        <v>0.55900000000000005</v>
      </c>
      <c r="V23" s="25">
        <f t="shared" si="20"/>
        <v>0.496</v>
      </c>
      <c r="W23" s="21">
        <f t="shared" si="20"/>
        <v>0.60309999999999997</v>
      </c>
      <c r="X23" s="21">
        <f t="shared" si="20"/>
        <v>0.60309999999999997</v>
      </c>
      <c r="Y23" s="22">
        <f t="shared" si="20"/>
        <v>0.68500000000000005</v>
      </c>
      <c r="Z23" s="22">
        <f t="shared" si="20"/>
        <v>0.68500000000000005</v>
      </c>
    </row>
    <row r="24" spans="1:26" x14ac:dyDescent="0.25">
      <c r="A24" s="14" t="s">
        <v>25</v>
      </c>
      <c r="B24" s="14" t="s">
        <v>53</v>
      </c>
      <c r="C24" s="16">
        <v>0.5</v>
      </c>
      <c r="D24" s="20">
        <f t="shared" si="1"/>
        <v>0.5</v>
      </c>
      <c r="E24" s="25">
        <f>1-+$D$24*E2</f>
        <v>0.67500000000000004</v>
      </c>
      <c r="F24" s="22">
        <f t="shared" ref="F24:Z24" si="21">1-+$D$24*F2</f>
        <v>0.8</v>
      </c>
      <c r="G24" s="22">
        <f t="shared" si="21"/>
        <v>0.875</v>
      </c>
      <c r="H24" s="22">
        <f t="shared" si="21"/>
        <v>0.9</v>
      </c>
      <c r="I24" s="26">
        <f t="shared" si="21"/>
        <v>0.77500000000000002</v>
      </c>
      <c r="J24" s="26">
        <f t="shared" si="21"/>
        <v>0.65</v>
      </c>
      <c r="K24" s="22">
        <f t="shared" si="21"/>
        <v>0.77</v>
      </c>
      <c r="L24" s="24">
        <f t="shared" si="21"/>
        <v>0.745</v>
      </c>
      <c r="M24" s="24">
        <f t="shared" si="21"/>
        <v>0.66500000000000004</v>
      </c>
      <c r="N24" s="24">
        <f t="shared" si="21"/>
        <v>0.7</v>
      </c>
      <c r="O24" s="24">
        <f t="shared" si="21"/>
        <v>0.78499999999999992</v>
      </c>
      <c r="P24" s="22">
        <f t="shared" si="21"/>
        <v>0.65500000000000003</v>
      </c>
      <c r="Q24" s="22">
        <f t="shared" si="21"/>
        <v>0.65500000000000003</v>
      </c>
      <c r="R24" s="22">
        <f t="shared" si="21"/>
        <v>0.56499999999999995</v>
      </c>
      <c r="S24" s="22">
        <f t="shared" si="21"/>
        <v>0.56499999999999995</v>
      </c>
      <c r="T24" s="22">
        <f t="shared" si="21"/>
        <v>0.57499999999999996</v>
      </c>
      <c r="U24" s="25">
        <f t="shared" si="21"/>
        <v>0.65</v>
      </c>
      <c r="V24" s="25">
        <f t="shared" si="21"/>
        <v>0.6</v>
      </c>
      <c r="W24" s="22">
        <f t="shared" si="21"/>
        <v>0.68500000000000005</v>
      </c>
      <c r="X24" s="22">
        <f t="shared" si="21"/>
        <v>0.68500000000000005</v>
      </c>
      <c r="Y24" s="21">
        <f t="shared" si="21"/>
        <v>0.75</v>
      </c>
      <c r="Z24" s="21">
        <f t="shared" si="21"/>
        <v>0.75</v>
      </c>
    </row>
    <row r="25" spans="1:26" x14ac:dyDescent="0.25">
      <c r="A25" s="14" t="s">
        <v>26</v>
      </c>
      <c r="B25" s="14" t="s">
        <v>54</v>
      </c>
      <c r="C25" s="16">
        <v>0.5</v>
      </c>
      <c r="D25" s="20">
        <f t="shared" si="1"/>
        <v>0.5</v>
      </c>
      <c r="E25" s="25">
        <f>1-+$D$25*E2</f>
        <v>0.67500000000000004</v>
      </c>
      <c r="F25" s="22">
        <f t="shared" ref="F25:Z25" si="22">1-+$D$25*F2</f>
        <v>0.8</v>
      </c>
      <c r="G25" s="22">
        <f t="shared" si="22"/>
        <v>0.875</v>
      </c>
      <c r="H25" s="22">
        <f t="shared" si="22"/>
        <v>0.9</v>
      </c>
      <c r="I25" s="26">
        <f t="shared" si="22"/>
        <v>0.77500000000000002</v>
      </c>
      <c r="J25" s="26">
        <f t="shared" si="22"/>
        <v>0.65</v>
      </c>
      <c r="K25" s="22">
        <f t="shared" si="22"/>
        <v>0.77</v>
      </c>
      <c r="L25" s="24">
        <f t="shared" si="22"/>
        <v>0.745</v>
      </c>
      <c r="M25" s="25">
        <f t="shared" si="22"/>
        <v>0.66500000000000004</v>
      </c>
      <c r="N25" s="24">
        <f t="shared" si="22"/>
        <v>0.7</v>
      </c>
      <c r="O25" s="25">
        <f t="shared" si="22"/>
        <v>0.78499999999999992</v>
      </c>
      <c r="P25" s="22">
        <f t="shared" si="22"/>
        <v>0.65500000000000003</v>
      </c>
      <c r="Q25" s="22">
        <f t="shared" si="22"/>
        <v>0.65500000000000003</v>
      </c>
      <c r="R25" s="22">
        <f t="shared" si="22"/>
        <v>0.56499999999999995</v>
      </c>
      <c r="S25" s="22">
        <f t="shared" si="22"/>
        <v>0.56499999999999995</v>
      </c>
      <c r="T25" s="22">
        <f t="shared" si="22"/>
        <v>0.57499999999999996</v>
      </c>
      <c r="U25" s="24">
        <f t="shared" si="22"/>
        <v>0.65</v>
      </c>
      <c r="V25" s="24">
        <f t="shared" si="22"/>
        <v>0.6</v>
      </c>
      <c r="W25" s="22">
        <f t="shared" si="22"/>
        <v>0.68500000000000005</v>
      </c>
      <c r="X25" s="22">
        <f t="shared" si="22"/>
        <v>0.68500000000000005</v>
      </c>
      <c r="Y25" s="21">
        <f t="shared" si="22"/>
        <v>0.75</v>
      </c>
      <c r="Z25" s="21">
        <f t="shared" si="22"/>
        <v>0.75</v>
      </c>
    </row>
    <row r="26" spans="1:26" x14ac:dyDescent="0.25">
      <c r="E26" s="17"/>
      <c r="F26" s="17"/>
      <c r="G26" s="17"/>
      <c r="H26" s="17"/>
      <c r="I26" s="28"/>
      <c r="J26" s="28"/>
      <c r="K26" s="17"/>
      <c r="L26" s="17"/>
      <c r="M26" s="17"/>
      <c r="N26" s="17"/>
      <c r="O26" s="17"/>
      <c r="P26" s="17"/>
      <c r="Q26" s="17"/>
      <c r="R26" s="17"/>
      <c r="S26" s="29"/>
    </row>
    <row r="27" spans="1:26" x14ac:dyDescent="0.25">
      <c r="E27" s="17"/>
      <c r="F27" s="17"/>
      <c r="G27" s="17"/>
      <c r="H27" s="17"/>
      <c r="I27" s="28"/>
      <c r="J27" s="28"/>
      <c r="K27" s="17"/>
      <c r="L27" s="17"/>
      <c r="M27" s="17"/>
      <c r="N27" s="17"/>
      <c r="O27" s="17"/>
      <c r="P27" s="17"/>
      <c r="Q27" s="17"/>
      <c r="R27" s="17"/>
      <c r="S27" s="17"/>
    </row>
    <row r="28" spans="1:26" x14ac:dyDescent="0.25">
      <c r="B28" s="14" t="s">
        <v>39</v>
      </c>
      <c r="E28" s="29"/>
      <c r="F28" s="29"/>
      <c r="G28" s="29"/>
      <c r="H28" s="29"/>
      <c r="I28" s="28"/>
      <c r="J28" s="28"/>
      <c r="K28" s="17"/>
      <c r="L28" s="17"/>
      <c r="M28" s="17"/>
      <c r="N28" s="17"/>
      <c r="O28" s="17"/>
      <c r="P28" s="17"/>
      <c r="Q28" s="17"/>
      <c r="R28" s="17"/>
      <c r="S28" s="17"/>
    </row>
    <row r="29" spans="1:26" x14ac:dyDescent="0.25">
      <c r="B29" s="14" t="s">
        <v>40</v>
      </c>
      <c r="C29" s="16" t="s">
        <v>41</v>
      </c>
      <c r="E29" s="17"/>
      <c r="F29" s="17"/>
      <c r="G29" s="17"/>
      <c r="H29" s="17"/>
      <c r="I29" s="28"/>
      <c r="J29" s="28"/>
      <c r="K29" s="17"/>
      <c r="L29" s="17"/>
      <c r="M29" s="17"/>
      <c r="N29" s="17"/>
      <c r="O29" s="17"/>
      <c r="P29" s="17"/>
      <c r="Q29" s="17"/>
      <c r="R29" s="17"/>
      <c r="S29" s="29"/>
    </row>
    <row r="30" spans="1:26" x14ac:dyDescent="0.25">
      <c r="B30" s="14" t="s">
        <v>42</v>
      </c>
      <c r="C30" s="16" t="s">
        <v>43</v>
      </c>
      <c r="E30" s="29"/>
      <c r="F30" s="29"/>
      <c r="G30" s="29"/>
      <c r="H30" s="29"/>
      <c r="I30" s="28"/>
      <c r="J30" s="28"/>
      <c r="K30" s="17"/>
      <c r="L30" s="17"/>
      <c r="M30" s="17"/>
      <c r="N30" s="17"/>
      <c r="O30" s="17"/>
      <c r="P30" s="17"/>
      <c r="Q30" s="17"/>
      <c r="R30" s="17"/>
      <c r="S30" s="29"/>
    </row>
    <row r="31" spans="1:26" x14ac:dyDescent="0.25">
      <c r="B31" s="14" t="s">
        <v>44</v>
      </c>
      <c r="C31" s="16" t="s">
        <v>45</v>
      </c>
      <c r="E31" s="29"/>
      <c r="F31" s="29"/>
      <c r="G31" s="29"/>
      <c r="H31" s="29"/>
      <c r="I31" s="28"/>
      <c r="J31" s="28"/>
      <c r="K31" s="17"/>
      <c r="L31" s="17"/>
      <c r="M31" s="17"/>
      <c r="N31" s="17"/>
      <c r="O31" s="17"/>
      <c r="P31" s="17"/>
      <c r="Q31" s="17"/>
      <c r="R31" s="17"/>
      <c r="S31" s="29"/>
    </row>
    <row r="32" spans="1:26" x14ac:dyDescent="0.25">
      <c r="B32" s="14" t="s">
        <v>104</v>
      </c>
      <c r="E32" s="17"/>
      <c r="F32" s="17"/>
      <c r="G32" s="17"/>
      <c r="H32" s="17"/>
      <c r="I32" s="28"/>
      <c r="J32" s="28"/>
      <c r="K32" s="17"/>
      <c r="L32" s="17"/>
      <c r="M32" s="17"/>
      <c r="N32" s="17"/>
      <c r="O32" s="17"/>
      <c r="P32" s="17"/>
      <c r="Q32" s="17"/>
      <c r="R32" s="17"/>
      <c r="S32" s="29"/>
    </row>
    <row r="33" spans="2:19" x14ac:dyDescent="0.25">
      <c r="B33" s="14" t="s">
        <v>209</v>
      </c>
      <c r="C33" s="16" t="s">
        <v>112</v>
      </c>
      <c r="E33" s="17"/>
      <c r="F33" s="17"/>
      <c r="G33" s="17"/>
      <c r="H33" s="17"/>
      <c r="I33" s="28"/>
      <c r="J33" s="28"/>
      <c r="K33" s="17"/>
      <c r="L33" s="17"/>
      <c r="M33" s="17"/>
      <c r="N33" s="17"/>
      <c r="O33" s="17"/>
      <c r="P33" s="17"/>
      <c r="Q33" s="17"/>
      <c r="R33" s="17"/>
      <c r="S33" s="29"/>
    </row>
    <row r="34" spans="2:19" x14ac:dyDescent="0.25">
      <c r="B34" s="14" t="s">
        <v>210</v>
      </c>
      <c r="C34" s="16" t="s">
        <v>112</v>
      </c>
      <c r="E34" s="17"/>
      <c r="F34" s="17"/>
      <c r="G34" s="17"/>
      <c r="H34" s="17"/>
      <c r="I34" s="28"/>
      <c r="J34" s="28"/>
      <c r="K34" s="17"/>
      <c r="L34" s="17"/>
      <c r="M34" s="17"/>
      <c r="N34" s="17"/>
      <c r="O34" s="17"/>
      <c r="P34" s="17"/>
      <c r="Q34" s="17"/>
      <c r="R34" s="17"/>
      <c r="S34" s="17"/>
    </row>
    <row r="35" spans="2:19" x14ac:dyDescent="0.25">
      <c r="B35" s="14" t="s">
        <v>83</v>
      </c>
      <c r="C35" s="16" t="s">
        <v>113</v>
      </c>
      <c r="E35" s="29"/>
      <c r="F35" s="29"/>
      <c r="G35" s="29"/>
      <c r="H35" s="29"/>
      <c r="I35" s="29"/>
      <c r="J35" s="29"/>
      <c r="K35" s="17"/>
      <c r="L35" s="17"/>
      <c r="M35" s="29"/>
      <c r="N35" s="29"/>
      <c r="O35" s="17"/>
      <c r="P35" s="17"/>
      <c r="Q35" s="17"/>
      <c r="R35" s="17"/>
      <c r="S35" s="17"/>
    </row>
    <row r="36" spans="2:19" x14ac:dyDescent="0.25">
      <c r="B36" s="14" t="s">
        <v>84</v>
      </c>
      <c r="E36" s="17"/>
      <c r="F36" s="17"/>
      <c r="G36" s="17"/>
      <c r="H36" s="17"/>
      <c r="I36" s="17"/>
      <c r="J36" s="17"/>
      <c r="K36" s="17"/>
      <c r="L36" s="17"/>
      <c r="M36" s="17"/>
      <c r="N36" s="17"/>
      <c r="O36" s="17"/>
      <c r="P36" s="17"/>
      <c r="Q36" s="17"/>
      <c r="R36" s="17"/>
      <c r="S36" s="17"/>
    </row>
    <row r="37" spans="2:19" x14ac:dyDescent="0.25">
      <c r="B37" s="14" t="s">
        <v>85</v>
      </c>
      <c r="C37" s="14" t="s">
        <v>104</v>
      </c>
      <c r="E37" s="17"/>
      <c r="F37" s="17"/>
      <c r="G37" s="17"/>
      <c r="H37" s="17"/>
      <c r="I37" s="17"/>
      <c r="J37" s="17"/>
      <c r="K37" s="17"/>
      <c r="L37" s="17"/>
      <c r="M37" s="17"/>
      <c r="N37" s="17"/>
      <c r="O37" s="17"/>
      <c r="P37" s="17"/>
      <c r="Q37" s="17"/>
      <c r="R37" s="17"/>
      <c r="S37" s="17"/>
    </row>
    <row r="38" spans="2:19" x14ac:dyDescent="0.25">
      <c r="B38" s="14" t="s">
        <v>111</v>
      </c>
      <c r="C38" s="14" t="s">
        <v>111</v>
      </c>
      <c r="E38" s="17"/>
      <c r="F38" s="17"/>
      <c r="G38" s="17"/>
      <c r="H38" s="17"/>
      <c r="I38" s="17"/>
      <c r="J38" s="17"/>
      <c r="K38" s="17"/>
      <c r="L38" s="17"/>
      <c r="M38" s="17"/>
      <c r="N38" s="17"/>
      <c r="O38" s="17"/>
      <c r="P38" s="17"/>
      <c r="Q38" s="17"/>
      <c r="R38" s="17"/>
      <c r="S38" s="17"/>
    </row>
    <row r="39" spans="2:19" x14ac:dyDescent="0.25">
      <c r="B39" s="14" t="s">
        <v>86</v>
      </c>
      <c r="C39" s="14" t="s">
        <v>86</v>
      </c>
      <c r="E39" s="17"/>
      <c r="F39" s="17"/>
      <c r="G39" s="17"/>
      <c r="H39" s="17"/>
      <c r="I39" s="17"/>
      <c r="J39" s="17"/>
      <c r="K39" s="17"/>
      <c r="L39" s="17"/>
      <c r="M39" s="17"/>
      <c r="N39" s="17"/>
      <c r="O39" s="17"/>
      <c r="P39" s="17"/>
      <c r="Q39" s="17"/>
      <c r="R39" s="17"/>
      <c r="S39" s="17"/>
    </row>
    <row r="40" spans="2:19" x14ac:dyDescent="0.25">
      <c r="B40" s="14" t="s">
        <v>87</v>
      </c>
      <c r="C40" s="14" t="s">
        <v>87</v>
      </c>
      <c r="E40" s="17"/>
      <c r="F40" s="17"/>
      <c r="G40" s="17"/>
      <c r="H40" s="17"/>
      <c r="I40" s="17"/>
      <c r="J40" s="17"/>
      <c r="K40" s="17"/>
      <c r="L40" s="17"/>
      <c r="M40" s="17"/>
      <c r="N40" s="17"/>
      <c r="O40" s="17"/>
      <c r="P40" s="17"/>
      <c r="Q40" s="17"/>
      <c r="R40" s="17"/>
      <c r="S40" s="17"/>
    </row>
    <row r="41" spans="2:19" x14ac:dyDescent="0.25">
      <c r="B41" s="14" t="s">
        <v>200</v>
      </c>
    </row>
    <row r="42" spans="2:19" x14ac:dyDescent="0.25">
      <c r="B42" s="14" t="s">
        <v>89</v>
      </c>
      <c r="C42" s="16" t="s">
        <v>112</v>
      </c>
    </row>
    <row r="43" spans="2:19" x14ac:dyDescent="0.25">
      <c r="B43" s="14" t="s">
        <v>88</v>
      </c>
      <c r="C43" s="16" t="s">
        <v>115</v>
      </c>
    </row>
    <row r="44" spans="2:19" x14ac:dyDescent="0.25">
      <c r="B44" s="14" t="s">
        <v>90</v>
      </c>
      <c r="C44" s="16" t="s">
        <v>116</v>
      </c>
    </row>
    <row r="45" spans="2:19" x14ac:dyDescent="0.25">
      <c r="B45" s="14" t="s">
        <v>91</v>
      </c>
      <c r="C45" s="16" t="s">
        <v>117</v>
      </c>
    </row>
    <row r="46" spans="2:19" x14ac:dyDescent="0.25">
      <c r="B46" s="14" t="s">
        <v>92</v>
      </c>
    </row>
    <row r="47" spans="2:19" x14ac:dyDescent="0.25">
      <c r="B47" s="14" t="s">
        <v>93</v>
      </c>
    </row>
    <row r="48" spans="2:19" x14ac:dyDescent="0.25">
      <c r="B48" s="14" t="s">
        <v>118</v>
      </c>
    </row>
    <row r="49" spans="2:3" x14ac:dyDescent="0.25">
      <c r="B49" s="14" t="s">
        <v>119</v>
      </c>
    </row>
    <row r="51" spans="2:3" x14ac:dyDescent="0.25">
      <c r="B51" s="14" t="s">
        <v>81</v>
      </c>
      <c r="C51" s="16" t="s">
        <v>81</v>
      </c>
    </row>
    <row r="52" spans="2:3" x14ac:dyDescent="0.25">
      <c r="B52" s="14" t="s">
        <v>82</v>
      </c>
      <c r="C52" s="16" t="s">
        <v>82</v>
      </c>
    </row>
    <row r="53" spans="2:3" x14ac:dyDescent="0.25">
      <c r="C53" s="16" t="str">
        <f>IF(VLEESKUIKENS!$L$20="geen techniek","GEEN TECHNIEK","JA")</f>
        <v>GEEN TECHNIEK</v>
      </c>
    </row>
    <row r="54" spans="2:3" x14ac:dyDescent="0.25">
      <c r="C54" s="16" t="s">
        <v>82</v>
      </c>
    </row>
  </sheetData>
  <sheetProtection algorithmName="SHA-512" hashValue="Jz0oGqmfm1DX0P4v7I/wcejv2yZLlw1o+9DuC5UJaARWQWPFMhrOJhaj8jYiVSCoNZQeDTI9ubZmXqLaL1bMEQ==" saltValue="NK0aRdZ6X6IvzxlGSgeHTQ==" spinCount="100000" sheet="1" objects="1" scenarios="1"/>
  <pageMargins left="0.75" right="0.75" top="1" bottom="1" header="0.5" footer="0.5"/>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VLEESKUIKENS</vt:lpstr>
      <vt:lpstr>PLUIMVEECATEGORIE</vt:lpstr>
      <vt:lpstr>wisselend debiet en reductie</vt:lpstr>
      <vt:lpstr>Max waarden</vt:lpstr>
      <vt:lpstr>Reductietechnieken</vt:lpstr>
      <vt:lpstr>VLEESKUIKENS!Afdrukbereik</vt:lpstr>
      <vt:lpstr>'wisselend debiet en reductie'!Afdruktitels</vt:lpstr>
    </vt:vector>
  </TitlesOfParts>
  <Company>Wageningen 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van Emous</dc:creator>
  <cp:lastModifiedBy>Vierhuis, Esther (WVL)</cp:lastModifiedBy>
  <cp:lastPrinted>2021-01-06T13:43:31Z</cp:lastPrinted>
  <dcterms:created xsi:type="dcterms:W3CDTF">2010-11-01T16:40:05Z</dcterms:created>
  <dcterms:modified xsi:type="dcterms:W3CDTF">2021-03-12T11:06:37Z</dcterms:modified>
</cp:coreProperties>
</file>