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vl\LO_IM\Algemeen\OpdrachtenKR\Industriële emissies\SLA\Uitvoering SLA\2020 factsheets\tool\"/>
    </mc:Choice>
  </mc:AlternateContent>
  <bookViews>
    <workbookView xWindow="0" yWindow="0" windowWidth="3510" windowHeight="7380" firstSheet="2" activeTab="2"/>
  </bookViews>
  <sheets>
    <sheet name="Factsheets" sheetId="1" state="hidden" r:id="rId1"/>
    <sheet name="Links" sheetId="4" state="hidden" r:id="rId2"/>
    <sheet name="KE-berekening" sheetId="3" r:id="rId3"/>
    <sheet name="Data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E15" i="3"/>
  <c r="F17" i="3"/>
  <c r="G17" i="3" s="1"/>
  <c r="E17" i="3"/>
  <c r="F18" i="3" l="1"/>
  <c r="E18" i="3"/>
  <c r="C18" i="3"/>
  <c r="C17" i="3"/>
  <c r="C15" i="3"/>
  <c r="C16" i="3"/>
  <c r="F16" i="3"/>
  <c r="E16" i="3"/>
  <c r="E11" i="3"/>
  <c r="F45" i="3"/>
  <c r="E4" i="2" l="1"/>
  <c r="H10" i="3" l="1"/>
  <c r="H41" i="3" l="1"/>
  <c r="E49" i="3" l="1"/>
  <c r="F49" i="3" s="1"/>
  <c r="C47" i="3"/>
  <c r="F47" i="3" s="1"/>
  <c r="C46" i="3"/>
  <c r="F46" i="3" s="1"/>
  <c r="C49" i="3"/>
  <c r="F48" i="3"/>
  <c r="C48" i="3"/>
  <c r="H4" i="2"/>
  <c r="I3" i="2"/>
  <c r="H3" i="2"/>
  <c r="I2" i="2"/>
  <c r="C4" i="2"/>
  <c r="C43" i="3" l="1"/>
  <c r="E41" i="3"/>
  <c r="F41" i="3"/>
  <c r="F43" i="3"/>
  <c r="AI58" i="1"/>
  <c r="AI57" i="1"/>
  <c r="AI56" i="1"/>
  <c r="J31" i="1"/>
  <c r="B3" i="1"/>
  <c r="F3" i="1"/>
  <c r="G2" i="3" l="1"/>
  <c r="AI83" i="1" l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16" i="4"/>
  <c r="A15" i="4"/>
  <c r="A14" i="4"/>
  <c r="A13" i="4"/>
  <c r="A12" i="4"/>
  <c r="A11" i="4"/>
  <c r="A10" i="4"/>
  <c r="A8" i="4"/>
  <c r="A7" i="4"/>
  <c r="A6" i="4"/>
  <c r="A5" i="4"/>
  <c r="A4" i="4"/>
  <c r="A3" i="4"/>
  <c r="A2" i="4"/>
  <c r="A1" i="4"/>
  <c r="U31" i="1" l="1"/>
  <c r="T31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C36" i="3" l="1"/>
  <c r="C35" i="3"/>
  <c r="C34" i="3"/>
  <c r="D29" i="3" l="1"/>
  <c r="D32" i="3"/>
  <c r="D31" i="3"/>
  <c r="A6" i="2"/>
  <c r="A7" i="2" s="1"/>
  <c r="A8" i="2" s="1"/>
  <c r="A9" i="2" s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H153" i="1" l="1"/>
  <c r="B5" i="1"/>
  <c r="B6" i="1" s="1"/>
  <c r="B7" i="1" s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4" i="2" l="1"/>
  <c r="C6" i="3" s="1"/>
  <c r="C41" i="3" l="1"/>
  <c r="C42" i="3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J4" i="1"/>
  <c r="D4" i="1" l="1"/>
  <c r="F4" i="1" s="1"/>
  <c r="D5" i="1" l="1"/>
  <c r="F5" i="1" s="1"/>
  <c r="D6" i="1" l="1"/>
  <c r="F6" i="1" s="1"/>
  <c r="D7" i="1" l="1"/>
  <c r="F7" i="1" s="1"/>
  <c r="D8" i="1" l="1"/>
  <c r="F8" i="1" s="1"/>
  <c r="D9" i="1" l="1"/>
  <c r="F9" i="1" s="1"/>
  <c r="D10" i="1" l="1"/>
  <c r="F10" i="1" s="1"/>
  <c r="D11" i="1" l="1"/>
  <c r="F11" i="1" s="1"/>
  <c r="D12" i="1" l="1"/>
  <c r="F12" i="1" s="1"/>
  <c r="D13" i="1" l="1"/>
  <c r="F13" i="1" s="1"/>
  <c r="D14" i="1" l="1"/>
  <c r="F14" i="1" s="1"/>
  <c r="D15" i="1" l="1"/>
  <c r="F15" i="1" s="1"/>
  <c r="D16" i="1" l="1"/>
  <c r="F16" i="1" s="1"/>
  <c r="D17" i="1" l="1"/>
  <c r="F17" i="1" s="1"/>
  <c r="D18" i="1" l="1"/>
  <c r="F18" i="1" s="1"/>
  <c r="D19" i="1" l="1"/>
  <c r="F19" i="1" s="1"/>
  <c r="D20" i="1" l="1"/>
  <c r="F20" i="1" s="1"/>
  <c r="D21" i="1" l="1"/>
  <c r="F21" i="1" s="1"/>
  <c r="D22" i="1" l="1"/>
  <c r="F22" i="1" s="1"/>
  <c r="D23" i="1" l="1"/>
  <c r="F23" i="1" s="1"/>
  <c r="D24" i="1" l="1"/>
  <c r="F24" i="1" s="1"/>
  <c r="D25" i="1" l="1"/>
  <c r="F25" i="1" s="1"/>
  <c r="D26" i="1" l="1"/>
  <c r="F26" i="1" s="1"/>
  <c r="D27" i="1" l="1"/>
  <c r="F27" i="1" s="1"/>
  <c r="D28" i="1"/>
  <c r="F28" i="1" s="1"/>
  <c r="D29" i="1" l="1"/>
  <c r="F29" i="1" s="1"/>
  <c r="D30" i="1" l="1"/>
  <c r="F30" i="1" s="1"/>
  <c r="D31" i="1" l="1"/>
  <c r="F31" i="1" s="1"/>
  <c r="D32" i="1" l="1"/>
  <c r="F32" i="1" s="1"/>
  <c r="D33" i="1" l="1"/>
  <c r="F33" i="1" s="1"/>
  <c r="D34" i="1" l="1"/>
  <c r="F34" i="1" s="1"/>
  <c r="D35" i="1" l="1"/>
  <c r="F35" i="1" s="1"/>
  <c r="D36" i="1" l="1"/>
  <c r="F36" i="1" s="1"/>
  <c r="D37" i="1" l="1"/>
  <c r="F37" i="1" s="1"/>
  <c r="D38" i="1" l="1"/>
  <c r="F38" i="1" s="1"/>
  <c r="D39" i="1" l="1"/>
  <c r="F39" i="1" s="1"/>
  <c r="D40" i="1" l="1"/>
  <c r="F40" i="1" s="1"/>
  <c r="D41" i="1" l="1"/>
  <c r="F41" i="1" s="1"/>
  <c r="D42" i="1" l="1"/>
  <c r="F42" i="1" s="1"/>
  <c r="D43" i="1" l="1"/>
  <c r="F43" i="1" s="1"/>
  <c r="D44" i="1" l="1"/>
  <c r="F44" i="1" s="1"/>
  <c r="D45" i="1" l="1"/>
  <c r="F45" i="1" s="1"/>
  <c r="D46" i="1" l="1"/>
  <c r="F46" i="1" s="1"/>
  <c r="D47" i="1" l="1"/>
  <c r="F47" i="1" s="1"/>
  <c r="D48" i="1" l="1"/>
  <c r="F48" i="1" s="1"/>
  <c r="D49" i="1" l="1"/>
  <c r="F49" i="1" s="1"/>
  <c r="D50" i="1" l="1"/>
  <c r="F50" i="1" s="1"/>
  <c r="D51" i="1" l="1"/>
  <c r="F51" i="1" s="1"/>
  <c r="D52" i="1" l="1"/>
  <c r="F52" i="1" s="1"/>
  <c r="D53" i="1" l="1"/>
  <c r="F53" i="1" s="1"/>
  <c r="D54" i="1" l="1"/>
  <c r="F54" i="1" s="1"/>
  <c r="D55" i="1" l="1"/>
  <c r="F55" i="1" s="1"/>
  <c r="D56" i="1" l="1"/>
  <c r="F56" i="1" s="1"/>
  <c r="D57" i="1" l="1"/>
  <c r="F57" i="1" s="1"/>
  <c r="D58" i="1" l="1"/>
  <c r="F58" i="1" s="1"/>
  <c r="D59" i="1" l="1"/>
  <c r="F59" i="1" s="1"/>
  <c r="D60" i="1" l="1"/>
  <c r="F60" i="1" s="1"/>
  <c r="D61" i="1" l="1"/>
  <c r="F61" i="1" s="1"/>
  <c r="D62" i="1" l="1"/>
  <c r="F62" i="1" s="1"/>
  <c r="D63" i="1" l="1"/>
  <c r="F63" i="1" s="1"/>
  <c r="D64" i="1" l="1"/>
  <c r="F64" i="1" s="1"/>
  <c r="D65" i="1" l="1"/>
  <c r="F65" i="1" s="1"/>
  <c r="D66" i="1" l="1"/>
  <c r="F66" i="1" s="1"/>
  <c r="D67" i="1" l="1"/>
  <c r="F67" i="1" s="1"/>
  <c r="D68" i="1" l="1"/>
  <c r="F68" i="1" s="1"/>
  <c r="D69" i="1" l="1"/>
  <c r="F69" i="1" s="1"/>
  <c r="D70" i="1" l="1"/>
  <c r="F70" i="1" s="1"/>
  <c r="D71" i="1" l="1"/>
  <c r="D72" i="1" l="1"/>
  <c r="F71" i="1"/>
  <c r="B32" i="2"/>
  <c r="D73" i="1" l="1"/>
  <c r="F72" i="1"/>
  <c r="B33" i="2"/>
  <c r="D74" i="1" l="1"/>
  <c r="F73" i="1"/>
  <c r="B34" i="2"/>
  <c r="D75" i="1" l="1"/>
  <c r="F74" i="1"/>
  <c r="B35" i="2"/>
  <c r="D76" i="1" l="1"/>
  <c r="F75" i="1"/>
  <c r="B36" i="2"/>
  <c r="D77" i="1" l="1"/>
  <c r="F76" i="1"/>
  <c r="B37" i="2"/>
  <c r="D78" i="1" l="1"/>
  <c r="F77" i="1"/>
  <c r="B38" i="2"/>
  <c r="D79" i="1" l="1"/>
  <c r="F78" i="1"/>
  <c r="B39" i="2"/>
  <c r="D80" i="1" l="1"/>
  <c r="F79" i="1"/>
  <c r="B40" i="2"/>
  <c r="D81" i="1" l="1"/>
  <c r="F80" i="1"/>
  <c r="B41" i="2"/>
  <c r="D82" i="1" l="1"/>
  <c r="F81" i="1"/>
  <c r="B42" i="2"/>
  <c r="D83" i="1" l="1"/>
  <c r="F82" i="1"/>
  <c r="B43" i="2"/>
  <c r="D84" i="1" l="1"/>
  <c r="F83" i="1"/>
  <c r="B44" i="2"/>
  <c r="D85" i="1" l="1"/>
  <c r="F84" i="1"/>
  <c r="B45" i="2"/>
  <c r="D86" i="1" l="1"/>
  <c r="F85" i="1"/>
  <c r="B46" i="2"/>
  <c r="D87" i="1" l="1"/>
  <c r="F86" i="1"/>
  <c r="B47" i="2"/>
  <c r="D88" i="1" l="1"/>
  <c r="F87" i="1"/>
  <c r="B48" i="2"/>
  <c r="D89" i="1" l="1"/>
  <c r="F88" i="1"/>
  <c r="B49" i="2"/>
  <c r="D90" i="1" l="1"/>
  <c r="F89" i="1"/>
  <c r="B50" i="2"/>
  <c r="D91" i="1" l="1"/>
  <c r="F90" i="1"/>
  <c r="B51" i="2"/>
  <c r="D92" i="1" l="1"/>
  <c r="F91" i="1"/>
  <c r="B52" i="2"/>
  <c r="D93" i="1" l="1"/>
  <c r="F92" i="1"/>
  <c r="D94" i="1" l="1"/>
  <c r="F93" i="1"/>
  <c r="D95" i="1" l="1"/>
  <c r="F94" i="1"/>
  <c r="D96" i="1" l="1"/>
  <c r="F95" i="1"/>
  <c r="D97" i="1" l="1"/>
  <c r="F96" i="1"/>
  <c r="D98" i="1" l="1"/>
  <c r="F97" i="1"/>
  <c r="D99" i="1" l="1"/>
  <c r="F98" i="1"/>
  <c r="D100" i="1" l="1"/>
  <c r="F99" i="1"/>
  <c r="D101" i="1" l="1"/>
  <c r="F100" i="1"/>
  <c r="D102" i="1" l="1"/>
  <c r="F101" i="1"/>
  <c r="D103" i="1" l="1"/>
  <c r="F102" i="1"/>
  <c r="D104" i="1" l="1"/>
  <c r="F103" i="1"/>
  <c r="D105" i="1" l="1"/>
  <c r="F104" i="1"/>
  <c r="D106" i="1" l="1"/>
  <c r="F105" i="1"/>
  <c r="D107" i="1" l="1"/>
  <c r="F106" i="1"/>
  <c r="D108" i="1" l="1"/>
  <c r="F107" i="1"/>
  <c r="D109" i="1" l="1"/>
  <c r="F108" i="1"/>
  <c r="D110" i="1" l="1"/>
  <c r="F109" i="1"/>
  <c r="D111" i="1" l="1"/>
  <c r="F110" i="1"/>
  <c r="D112" i="1" l="1"/>
  <c r="F111" i="1"/>
  <c r="D113" i="1" l="1"/>
  <c r="F112" i="1"/>
  <c r="D114" i="1" l="1"/>
  <c r="F113" i="1"/>
  <c r="D115" i="1" l="1"/>
  <c r="F114" i="1"/>
  <c r="D116" i="1" l="1"/>
  <c r="F115" i="1"/>
  <c r="D117" i="1" l="1"/>
  <c r="F116" i="1"/>
  <c r="D118" i="1" l="1"/>
  <c r="F117" i="1"/>
  <c r="D119" i="1" l="1"/>
  <c r="F118" i="1"/>
  <c r="D120" i="1" l="1"/>
  <c r="F119" i="1"/>
  <c r="D121" i="1" l="1"/>
  <c r="F120" i="1"/>
  <c r="D122" i="1" l="1"/>
  <c r="F121" i="1"/>
  <c r="D123" i="1" l="1"/>
  <c r="F122" i="1"/>
  <c r="D124" i="1" l="1"/>
  <c r="F123" i="1"/>
  <c r="D125" i="1" l="1"/>
  <c r="F124" i="1"/>
  <c r="D126" i="1" l="1"/>
  <c r="F125" i="1"/>
  <c r="D127" i="1" l="1"/>
  <c r="F126" i="1"/>
  <c r="D128" i="1" l="1"/>
  <c r="F127" i="1"/>
  <c r="D129" i="1" l="1"/>
  <c r="F128" i="1"/>
  <c r="D130" i="1" l="1"/>
  <c r="F129" i="1"/>
  <c r="D131" i="1" l="1"/>
  <c r="F130" i="1"/>
  <c r="D132" i="1" l="1"/>
  <c r="F131" i="1"/>
  <c r="D133" i="1" l="1"/>
  <c r="F132" i="1"/>
  <c r="D134" i="1" l="1"/>
  <c r="F133" i="1"/>
  <c r="D135" i="1" l="1"/>
  <c r="F134" i="1"/>
  <c r="D136" i="1" l="1"/>
  <c r="F135" i="1"/>
  <c r="D137" i="1" l="1"/>
  <c r="F136" i="1"/>
  <c r="D138" i="1" l="1"/>
  <c r="F137" i="1"/>
  <c r="D139" i="1" l="1"/>
  <c r="F138" i="1"/>
  <c r="D140" i="1" l="1"/>
  <c r="F139" i="1"/>
  <c r="D141" i="1" l="1"/>
  <c r="F140" i="1"/>
  <c r="D142" i="1" l="1"/>
  <c r="F141" i="1"/>
  <c r="D143" i="1" l="1"/>
  <c r="F142" i="1"/>
  <c r="D144" i="1" l="1"/>
  <c r="F143" i="1"/>
  <c r="D145" i="1" l="1"/>
  <c r="F144" i="1"/>
  <c r="D146" i="1" l="1"/>
  <c r="F145" i="1"/>
  <c r="D147" i="1" l="1"/>
  <c r="F146" i="1"/>
  <c r="D148" i="1" l="1"/>
  <c r="F147" i="1"/>
  <c r="D149" i="1" l="1"/>
  <c r="F148" i="1"/>
  <c r="D150" i="1" l="1"/>
  <c r="F149" i="1"/>
  <c r="D151" i="1" l="1"/>
  <c r="F150" i="1"/>
  <c r="D152" i="1" l="1"/>
  <c r="F151" i="1"/>
  <c r="D153" i="1" l="1"/>
  <c r="F153" i="1" s="1"/>
  <c r="F152" i="1"/>
  <c r="F30" i="2" l="1"/>
  <c r="F14" i="2"/>
  <c r="F49" i="2"/>
  <c r="F34" i="2"/>
  <c r="F11" i="2"/>
  <c r="F26" i="2"/>
  <c r="F16" i="2"/>
  <c r="F47" i="2"/>
  <c r="F52" i="2"/>
  <c r="F12" i="2"/>
  <c r="F18" i="2"/>
  <c r="F9" i="2"/>
  <c r="F13" i="2"/>
  <c r="F41" i="2"/>
  <c r="F35" i="2"/>
  <c r="F37" i="2"/>
  <c r="F50" i="2"/>
  <c r="F19" i="2"/>
  <c r="F45" i="2"/>
  <c r="F6" i="2"/>
  <c r="F44" i="2"/>
  <c r="F25" i="2"/>
  <c r="F38" i="2"/>
  <c r="F22" i="2"/>
  <c r="F33" i="2"/>
  <c r="F36" i="2"/>
  <c r="F27" i="2"/>
  <c r="F31" i="2"/>
  <c r="F7" i="2"/>
  <c r="F48" i="2"/>
  <c r="F40" i="2"/>
  <c r="F51" i="2"/>
  <c r="F10" i="2"/>
  <c r="F32" i="2"/>
  <c r="F20" i="2"/>
  <c r="F5" i="2"/>
  <c r="F17" i="2"/>
  <c r="F43" i="2"/>
  <c r="F24" i="2"/>
  <c r="F8" i="2"/>
  <c r="F46" i="2"/>
  <c r="F39" i="2"/>
  <c r="F21" i="2"/>
  <c r="F29" i="2"/>
  <c r="F15" i="2"/>
  <c r="F42" i="2"/>
  <c r="F28" i="2"/>
  <c r="F23" i="2"/>
  <c r="G3" i="1"/>
  <c r="F4" i="2" l="1"/>
  <c r="AG3" i="1"/>
  <c r="C59" i="3" s="1"/>
  <c r="AF3" i="1"/>
  <c r="AE3" i="1"/>
  <c r="AD3" i="1"/>
  <c r="X3" i="1"/>
  <c r="E21" i="3" s="1"/>
  <c r="G21" i="3" s="1"/>
  <c r="U3" i="1"/>
  <c r="F20" i="3" s="1"/>
  <c r="W3" i="1"/>
  <c r="F24" i="3" s="1"/>
  <c r="F37" i="3" s="1"/>
  <c r="AH3" i="1"/>
  <c r="Z3" i="1"/>
  <c r="E22" i="3" s="1"/>
  <c r="G22" i="3" s="1"/>
  <c r="AI3" i="1"/>
  <c r="V3" i="1"/>
  <c r="E24" i="3" s="1"/>
  <c r="I3" i="1"/>
  <c r="J3" i="1"/>
  <c r="E25" i="3" s="1"/>
  <c r="AA3" i="1"/>
  <c r="F22" i="3" s="1"/>
  <c r="T3" i="1"/>
  <c r="Y3" i="1"/>
  <c r="F21" i="3" s="1"/>
  <c r="AC3" i="1"/>
  <c r="F23" i="3" s="1"/>
  <c r="AB3" i="1"/>
  <c r="E23" i="3" s="1"/>
  <c r="G23" i="3" s="1"/>
  <c r="H3" i="1"/>
  <c r="R3" i="1" s="1"/>
  <c r="C63" i="3" l="1"/>
  <c r="E62" i="3"/>
  <c r="E63" i="3" s="1"/>
  <c r="F63" i="3" s="1"/>
  <c r="H13" i="3"/>
  <c r="M3" i="1"/>
  <c r="P3" i="1"/>
  <c r="O3" i="1"/>
  <c r="D15" i="3" s="1"/>
  <c r="L3" i="1"/>
  <c r="N3" i="1"/>
  <c r="Q3" i="1"/>
  <c r="D18" i="3" s="1"/>
  <c r="S3" i="1"/>
  <c r="F7" i="3" s="1"/>
  <c r="E8" i="3" s="1"/>
  <c r="K3" i="1"/>
  <c r="C61" i="3"/>
  <c r="F61" i="3" s="1"/>
  <c r="C60" i="3"/>
  <c r="F60" i="3" s="1"/>
  <c r="C50" i="3"/>
  <c r="C55" i="3"/>
  <c r="G24" i="3"/>
  <c r="G34" i="3" s="1"/>
  <c r="G36" i="3" s="1"/>
  <c r="E37" i="3"/>
  <c r="E20" i="3"/>
  <c r="G20" i="3" s="1"/>
  <c r="F27" i="3"/>
  <c r="E34" i="3"/>
  <c r="F35" i="3"/>
  <c r="F28" i="3"/>
  <c r="F29" i="3" s="1"/>
  <c r="F32" i="3" s="1"/>
  <c r="E35" i="3"/>
  <c r="F34" i="3"/>
  <c r="C62" i="3" l="1"/>
  <c r="F62" i="3" s="1"/>
  <c r="D17" i="3"/>
  <c r="D16" i="3"/>
  <c r="G16" i="3"/>
  <c r="C53" i="3"/>
  <c r="H53" i="3" s="1"/>
  <c r="C52" i="3"/>
  <c r="H52" i="3" s="1"/>
  <c r="F50" i="3"/>
  <c r="E51" i="3"/>
  <c r="F51" i="3" s="1"/>
  <c r="C56" i="3"/>
  <c r="F56" i="3" s="1"/>
  <c r="C58" i="3"/>
  <c r="F55" i="3"/>
  <c r="G18" i="3"/>
  <c r="D4" i="2"/>
  <c r="F8" i="3"/>
  <c r="F9" i="3"/>
  <c r="E10" i="3" s="1"/>
  <c r="E27" i="3"/>
  <c r="E28" i="3"/>
  <c r="E29" i="3" s="1"/>
  <c r="E32" i="3" s="1"/>
  <c r="F31" i="3"/>
  <c r="F33" i="3" s="1"/>
  <c r="E53" i="3" l="1"/>
  <c r="F53" i="3" s="1"/>
  <c r="E52" i="3"/>
  <c r="F52" i="3" s="1"/>
  <c r="E54" i="3"/>
  <c r="F54" i="3" s="1"/>
  <c r="E56" i="3"/>
  <c r="C57" i="3" s="1"/>
  <c r="E12" i="3"/>
  <c r="F12" i="3"/>
  <c r="F10" i="3"/>
  <c r="G15" i="3"/>
  <c r="E31" i="3"/>
  <c r="E33" i="3" s="1"/>
  <c r="H40" i="3" l="1"/>
  <c r="E40" i="3"/>
  <c r="G40" i="3"/>
  <c r="F40" i="3"/>
  <c r="E57" i="3"/>
  <c r="F57" i="3" s="1"/>
  <c r="E44" i="3"/>
  <c r="E64" i="3" s="1"/>
  <c r="E36" i="3"/>
  <c r="F36" i="3"/>
  <c r="E38" i="3" l="1"/>
  <c r="E39" i="3" s="1"/>
  <c r="F38" i="3"/>
  <c r="F39" i="3" s="1"/>
  <c r="E58" i="3"/>
  <c r="F58" i="3" s="1"/>
  <c r="E65" i="3" l="1"/>
  <c r="E66" i="3" s="1"/>
</calcChain>
</file>

<file path=xl/comments1.xml><?xml version="1.0" encoding="utf-8"?>
<comments xmlns="http://schemas.openxmlformats.org/spreadsheetml/2006/main">
  <authors>
    <author>Rurup, Gijs (WVL)</author>
    <author>Burgers, Wim (WVL)</author>
  </authors>
  <commentList>
    <comment ref="E4" authorId="0" shapeId="0">
      <text>
        <r>
          <rPr>
            <sz val="9"/>
            <color indexed="81"/>
            <rFont val="Tahoma"/>
            <charset val="1"/>
          </rPr>
          <t>7 dagen/week; 24 uur/dag =8760 uur/jaar
7 dagen/week; 16 uur/dag =5840 uur/jaar
5 dagen/week; 16 uur/dag = 4171 uur/jaar 
5 dagen/week; 8 uur/dag = 2085 uur/jaar</t>
        </r>
      </text>
    </comment>
    <comment ref="E9" authorId="1" shapeId="0">
      <text>
        <r>
          <rPr>
            <sz val="9"/>
            <color indexed="81"/>
            <rFont val="Tahoma"/>
            <family val="2"/>
          </rPr>
          <t>De emissiegrenswaarde moet worden omgerekend naar de actuele zuurstof-concentratie om een juiste KE-berekening te maken. Gebruik hiervoor bv CalComEmis.</t>
        </r>
      </text>
    </comment>
  </commentList>
</comments>
</file>

<file path=xl/sharedStrings.xml><?xml version="1.0" encoding="utf-8"?>
<sst xmlns="http://schemas.openxmlformats.org/spreadsheetml/2006/main" count="578" uniqueCount="193">
  <si>
    <t>Techniek</t>
  </si>
  <si>
    <t>Component</t>
  </si>
  <si>
    <t>Verwijderingsrendement</t>
  </si>
  <si>
    <t>laag</t>
  </si>
  <si>
    <t>hoog</t>
  </si>
  <si>
    <t>SCR</t>
  </si>
  <si>
    <t>SNCR</t>
  </si>
  <si>
    <t>NOx</t>
  </si>
  <si>
    <t>Operationele kosten
in €/ton vermeden emissie</t>
  </si>
  <si>
    <t>Restemissie
in mg/Nm3</t>
  </si>
  <si>
    <t>Selectie</t>
  </si>
  <si>
    <t>Cycloon</t>
  </si>
  <si>
    <t>Elektrostatisch filter</t>
  </si>
  <si>
    <t>Nat elektrostatisch filter</t>
  </si>
  <si>
    <t>Stoffilter (doek)</t>
  </si>
  <si>
    <t>Stofwasser</t>
  </si>
  <si>
    <t>Venturi wasser</t>
  </si>
  <si>
    <t>Sproeitoren</t>
  </si>
  <si>
    <t>Droog stof</t>
  </si>
  <si>
    <t>Nat stof</t>
  </si>
  <si>
    <t>Mistfilter</t>
  </si>
  <si>
    <t>Investeringskosten 
in €/1000 Nm3/uur/jaar</t>
  </si>
  <si>
    <t>Operationele kosten 
in €/1000 Nm3/uur/jaar</t>
  </si>
  <si>
    <t>SO2</t>
  </si>
  <si>
    <t>Operationele kosten 
in €/jaar</t>
  </si>
  <si>
    <t>SOx</t>
  </si>
  <si>
    <t>HCl</t>
  </si>
  <si>
    <t>HF</t>
  </si>
  <si>
    <t>Kwik</t>
  </si>
  <si>
    <t>Opmerking bij techniek</t>
  </si>
  <si>
    <t>Semi-droge injectie</t>
  </si>
  <si>
    <t>Natte injectie</t>
  </si>
  <si>
    <t>Droge bicarbonaat injectie</t>
  </si>
  <si>
    <t>Droge injectie</t>
  </si>
  <si>
    <t>Droge kalkinjectie</t>
  </si>
  <si>
    <t>Semi-droge/natte injectie</t>
  </si>
  <si>
    <t>Droge injectie met kalk en actieve kool</t>
  </si>
  <si>
    <t>Excl filter en operationele kosten</t>
  </si>
  <si>
    <t>Gaswasser</t>
  </si>
  <si>
    <t>Alcoholen</t>
  </si>
  <si>
    <t>Amines</t>
  </si>
  <si>
    <t>Ammoniak</t>
  </si>
  <si>
    <t>Chloor</t>
  </si>
  <si>
    <t>Chroomzuur</t>
  </si>
  <si>
    <t>Esters</t>
  </si>
  <si>
    <t>Ethyleenoxide</t>
  </si>
  <si>
    <t>Gehalogeneerde koolwaterstoffen (geen ZZS)</t>
  </si>
  <si>
    <t>Fenolen</t>
  </si>
  <si>
    <t>Formaldehyde</t>
  </si>
  <si>
    <t>Geur</t>
  </si>
  <si>
    <t>Methanol</t>
  </si>
  <si>
    <t>H2S</t>
  </si>
  <si>
    <t>VOS</t>
  </si>
  <si>
    <t>Wasvloeistof: water</t>
  </si>
  <si>
    <t>Wasvloeistof: alkalisch-oxiderend</t>
  </si>
  <si>
    <t>Wasvloeistof: water (indien water oplosbaar)</t>
  </si>
  <si>
    <t>Afgasdebiet</t>
  </si>
  <si>
    <t>Nm3/uur</t>
  </si>
  <si>
    <t>Bedrijfstijd</t>
  </si>
  <si>
    <t>uur/jaar</t>
  </si>
  <si>
    <t>mg/Nm3</t>
  </si>
  <si>
    <t>Emissie</t>
  </si>
  <si>
    <t>Emissiereductie</t>
  </si>
  <si>
    <t>Rentevoet</t>
  </si>
  <si>
    <t>Installatie</t>
  </si>
  <si>
    <t>Jaarvracht</t>
  </si>
  <si>
    <t>Kosten</t>
  </si>
  <si>
    <t>Annuiteit technisch deel</t>
  </si>
  <si>
    <t>Annuiteit aandeel gebouw</t>
  </si>
  <si>
    <t>per jaar</t>
  </si>
  <si>
    <t>Totaal jaarlijkse kosten</t>
  </si>
  <si>
    <t>Kosteneffectiviteit</t>
  </si>
  <si>
    <t>Jaarvracht vergunde emissie</t>
  </si>
  <si>
    <t>De lage kosten zijn gebaseerd op middelgrote stookinstallaties</t>
  </si>
  <si>
    <t>Vereist verwijderingsrendement</t>
  </si>
  <si>
    <t>Zure gaswasser</t>
  </si>
  <si>
    <t>Alkalische gaswasser</t>
  </si>
  <si>
    <t>Alkalische oxiderende gaswasser</t>
  </si>
  <si>
    <t>Totale investering</t>
  </si>
  <si>
    <t>Investeringskosten</t>
  </si>
  <si>
    <t>Emissiereductie afhankelijke operationele kosten</t>
  </si>
  <si>
    <t>Operationele kosten</t>
  </si>
  <si>
    <t>Technisch deel (afschrijving in 10 jaar)</t>
  </si>
  <si>
    <t>Aandeel gebouw (afschrijving in 25 jaar)</t>
  </si>
  <si>
    <t>eenheid</t>
  </si>
  <si>
    <t>Adsorptiefilter</t>
  </si>
  <si>
    <t>Adsorbent: polymeer</t>
  </si>
  <si>
    <t>Dioxines / furanen</t>
  </si>
  <si>
    <t>Adsorbent: actief kool</t>
  </si>
  <si>
    <t>ng/Nm3</t>
  </si>
  <si>
    <t>Biofilter</t>
  </si>
  <si>
    <t>Biologische wasser</t>
  </si>
  <si>
    <t>OUe/m3</t>
  </si>
  <si>
    <t>Excl biologische afvalwaterzuivering</t>
  </si>
  <si>
    <t>Biotricklingfilter</t>
  </si>
  <si>
    <t>Mercaptanen</t>
  </si>
  <si>
    <t>CS2</t>
  </si>
  <si>
    <t>Moving bed biotricklingfilter</t>
  </si>
  <si>
    <t>PM10</t>
  </si>
  <si>
    <t>Thermische naverbrander - standaard</t>
  </si>
  <si>
    <t>Thermische naverbrander - recuperatief</t>
  </si>
  <si>
    <t>(Cryo)condensatie</t>
  </si>
  <si>
    <t>Ionisator</t>
  </si>
  <si>
    <t>Kosten excl filter en adsorptiemateriaal</t>
  </si>
  <si>
    <t>Operationele kosten 
in €/1000 Nm3/jaar</t>
  </si>
  <si>
    <t>Uursdebiet afhankelijke operationele kosten</t>
  </si>
  <si>
    <t>Jaardebiet afhankelijke operationele kosten</t>
  </si>
  <si>
    <t>Overige component of alle technieken?</t>
  </si>
  <si>
    <t>Stoffilter (keramisch en metaalgaas tweetraps)</t>
  </si>
  <si>
    <t>OUe/Nm3</t>
  </si>
  <si>
    <t>g/Nm3</t>
  </si>
  <si>
    <t>kenmerk eenheid</t>
  </si>
  <si>
    <t>https://iplo.nl/thema/lucht/milieubelastende-activiteiten-lucht/technieken-beperking-luchtemissie/adsorptiefilter/</t>
  </si>
  <si>
    <t>https://iplo.nl/thema/lucht/milieubelastende-activiteiten-lucht/technieken-beperking-luchtemissie/bezinkkamer/</t>
  </si>
  <si>
    <t>https://iplo.nl/thema/lucht/milieubelastende-activiteiten-lucht/technieken-beperking-luchtemissie/biofilter/</t>
  </si>
  <si>
    <t>https://iplo.nl/thema/lucht/milieubelastende-activiteiten-lucht/technieken-beperking-luchtemissie/biologische-wasser/</t>
  </si>
  <si>
    <t>https://iplo.nl/thema/lucht/milieubelastende-activiteiten-lucht/technieken-beperking-luchtemissie/biotricklingfilter/</t>
  </si>
  <si>
    <t>https://iplo.nl/thema/lucht/milieubelastende-activiteiten-lucht/technieken-beperking-luchtemissie/condensor/</t>
  </si>
  <si>
    <t>https://iplo.nl/thema/lucht/milieubelastende-activiteiten-lucht/technieken-beperking-luchtemissie/cycloon/</t>
  </si>
  <si>
    <t>https://iplo.nl/thema/lucht/milieubelastende-activiteiten-lucht/technieken-beperking-luchtemissie/elektrostatisch-filter/</t>
  </si>
  <si>
    <t>https://iplo.nl/thema/lucht/milieubelastende-activiteiten-lucht/technieken-beperking-luchtemissie/filter-kalkinjectie/</t>
  </si>
  <si>
    <t>https://iplo.nl/thema/lucht/milieubelastende-activiteiten-lucht/technieken-beperking-luchtemissie/gaswasser/</t>
  </si>
  <si>
    <t>https://iplo.nl/thema/lucht/milieubelastende-activiteiten-lucht/technieken-beperking-luchtemissie/ionisator/</t>
  </si>
  <si>
    <t>https://iplo.nl/thema/lucht/milieubelastende-activiteiten-lucht/technieken-beperking-luchtemissie/mistfilter/</t>
  </si>
  <si>
    <t>https://iplo.nl/thema/lucht/milieubelastende-activiteiten-lucht/technieken-beperking-luchtemissie/naverbrander/</t>
  </si>
  <si>
    <t>https://iplo.nl/thema/lucht/milieubelastende-activiteiten-lucht/technieken-beperking-luchtemissie/scr-sncr/</t>
  </si>
  <si>
    <t>https://iplo.nl/thema/lucht/milieubelastende-activiteiten-lucht/technieken-beperking-luchtemissie/stoffilter/</t>
  </si>
  <si>
    <t>https://iplo.nl/thema/lucht/milieubelastende-activiteiten-lucht/technieken-beperking-luchtemissie/stofwasser/</t>
  </si>
  <si>
    <t>https://iplo.nl/thema/lucht/milieubelastende-activiteiten-lucht/technieken-beperking-luchtemissie/</t>
  </si>
  <si>
    <t>adsorptiefilter</t>
  </si>
  <si>
    <t>biofilter</t>
  </si>
  <si>
    <t>biologische-wasser</t>
  </si>
  <si>
    <t>biotricklingfilter</t>
  </si>
  <si>
    <t>condensor</t>
  </si>
  <si>
    <t>cycloon</t>
  </si>
  <si>
    <t>elektrostatisch-filter</t>
  </si>
  <si>
    <t>gaswasser</t>
  </si>
  <si>
    <t>ionisator</t>
  </si>
  <si>
    <t>mistfilter</t>
  </si>
  <si>
    <t>naverbrander</t>
  </si>
  <si>
    <t>scr-sncr</t>
  </si>
  <si>
    <t>stoffilter</t>
  </si>
  <si>
    <t>stofwasser</t>
  </si>
  <si>
    <t>Link</t>
  </si>
  <si>
    <t>Specifieke techniek</t>
  </si>
  <si>
    <t>Actuele technieklijst</t>
  </si>
  <si>
    <t>Volgnummer selectie</t>
  </si>
  <si>
    <t>Inlaatconcentratie</t>
  </si>
  <si>
    <t>Debiet  in Nm3/uur</t>
  </si>
  <si>
    <t>Bij cryocondensatie is het maximale debiet 250-5000 Nm3/uur. Bij gebruik van stikstof geldt een investeringsbedrag van €400000.</t>
  </si>
  <si>
    <t>injectie</t>
  </si>
  <si>
    <t>Voor pijpfilters geldt een maximum van 10000 mg/Nm3 als inlaatconcentratie</t>
  </si>
  <si>
    <t>Thermische naverbrander - regeneratief (RTO)</t>
  </si>
  <si>
    <t>Gegevens factsheet</t>
  </si>
  <si>
    <t>Milieuwinst</t>
  </si>
  <si>
    <t>Milieueffecten</t>
  </si>
  <si>
    <t>CE-prijs midden</t>
  </si>
  <si>
    <t>CO2</t>
  </si>
  <si>
    <t>keuze</t>
  </si>
  <si>
    <t>Nr-keuze</t>
  </si>
  <si>
    <t>Neveneffecten</t>
  </si>
  <si>
    <t>E-verbruik in kWh/1000 m3</t>
  </si>
  <si>
    <t>Neveneffect</t>
  </si>
  <si>
    <t>ja</t>
  </si>
  <si>
    <t>€/kWh</t>
  </si>
  <si>
    <t>Emissies en milieuschade tgv E-verbruik</t>
  </si>
  <si>
    <t>Milieuschade elektriciteitsverbruik</t>
  </si>
  <si>
    <t>ammoniak</t>
  </si>
  <si>
    <t>Andere gereduceerde emissie</t>
  </si>
  <si>
    <t>Milieuschade</t>
  </si>
  <si>
    <t>Netto milieuwinst</t>
  </si>
  <si>
    <t>• Bestreden emissies van een tweede component</t>
  </si>
  <si>
    <t>Toelichting</t>
  </si>
  <si>
    <t>Ongereinigde emissieconcentratie</t>
  </si>
  <si>
    <t>Gereinigde emissieconcentratie</t>
  </si>
  <si>
    <t>• Vul hier nul in als er uitsluitend groene elektriciteit wordt gebruikt</t>
  </si>
  <si>
    <t>• In euro's uitgedrukte milieuwinst</t>
  </si>
  <si>
    <t>Andere stof(fen)</t>
  </si>
  <si>
    <t>benzeen</t>
  </si>
  <si>
    <t xml:space="preserve">• Als er meerdere componenten worden gereinigd, herbereken dan de kosteneffectiviteit op basis van de totale emissiereductie.  </t>
  </si>
  <si>
    <t>Component specifieke reductietechniek</t>
  </si>
  <si>
    <t>• Vul hier de laagst haalbare concentratie of de emissiegrenswaarde in</t>
  </si>
  <si>
    <t>Overige operationele kosten</t>
  </si>
  <si>
    <t>Relevante informatie</t>
  </si>
  <si>
    <t>KE-range</t>
  </si>
  <si>
    <t>€5-€20 per kg</t>
  </si>
  <si>
    <t>€5-€10 per kg</t>
  </si>
  <si>
    <t>€8-€15 per kg</t>
  </si>
  <si>
    <t>Jaarlijkse investeringskosten (Capex)</t>
  </si>
  <si>
    <t>Jaarlijkse operationele kosten (Opex)</t>
  </si>
  <si>
    <t>Kosten volgens factsheet</t>
  </si>
  <si>
    <t>Versie 
19-06-2023</t>
  </si>
  <si>
    <t>Berekening van kosteneffectiviteit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</si>
</sst>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&quot;€&quot;\ #,##0"/>
    <numFmt numFmtId="166" formatCode="&quot;€&quot;\ #,##0.0"/>
    <numFmt numFmtId="167" formatCode="0.0%"/>
  </numFmts>
  <fonts count="19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9"/>
      <color theme="9" tint="-0.249977111117893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9"/>
      <color theme="0"/>
      <name val="Verdana"/>
      <family val="2"/>
    </font>
    <font>
      <sz val="9"/>
      <color rgb="FFFF0000"/>
      <name val="Verdana"/>
      <family val="2"/>
    </font>
    <font>
      <b/>
      <sz val="10"/>
      <name val="Verdana"/>
      <family val="2"/>
    </font>
    <font>
      <b/>
      <sz val="24"/>
      <name val="Calibri"/>
      <family val="2"/>
      <scheme val="minor"/>
    </font>
    <font>
      <b/>
      <sz val="24"/>
      <name val="Verdana"/>
      <family val="2"/>
    </font>
    <font>
      <b/>
      <u/>
      <sz val="10"/>
      <name val="Verdana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sz val="9"/>
      <color rgb="FF00B05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vertical="center"/>
    </xf>
    <xf numFmtId="0" fontId="0" fillId="4" borderId="0" xfId="0" applyFill="1" applyBorder="1"/>
    <xf numFmtId="165" fontId="0" fillId="4" borderId="0" xfId="0" applyNumberFormat="1" applyFill="1" applyBorder="1"/>
    <xf numFmtId="0" fontId="3" fillId="4" borderId="5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4" fillId="4" borderId="0" xfId="0" applyFont="1" applyFill="1" applyBorder="1"/>
    <xf numFmtId="0" fontId="0" fillId="0" borderId="0" xfId="0" applyNumberFormat="1"/>
    <xf numFmtId="0" fontId="2" fillId="4" borderId="5" xfId="0" applyFont="1" applyFill="1" applyBorder="1" applyAlignment="1">
      <alignment vertical="center"/>
    </xf>
    <xf numFmtId="165" fontId="2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3" fillId="4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5" fontId="5" fillId="5" borderId="0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5" fontId="0" fillId="4" borderId="0" xfId="0" applyNumberFormat="1" applyFont="1" applyFill="1" applyBorder="1" applyAlignment="1">
      <alignment horizontal="right" vertical="center"/>
    </xf>
    <xf numFmtId="0" fontId="0" fillId="7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167" fontId="0" fillId="4" borderId="0" xfId="1" applyNumberFormat="1" applyFont="1" applyFill="1" applyBorder="1" applyAlignment="1">
      <alignment vertical="center"/>
    </xf>
    <xf numFmtId="11" fontId="0" fillId="0" borderId="0" xfId="0" applyNumberFormat="1" applyBorder="1" applyAlignment="1">
      <alignment vertical="center"/>
    </xf>
    <xf numFmtId="11" fontId="0" fillId="4" borderId="0" xfId="0" applyNumberFormat="1" applyFill="1" applyBorder="1" applyAlignment="1">
      <alignment vertical="center"/>
    </xf>
    <xf numFmtId="0" fontId="9" fillId="0" borderId="0" xfId="2"/>
    <xf numFmtId="0" fontId="0" fillId="4" borderId="8" xfId="0" applyFill="1" applyBorder="1" applyAlignment="1">
      <alignment vertical="center"/>
    </xf>
    <xf numFmtId="165" fontId="0" fillId="4" borderId="8" xfId="0" applyNumberFormat="1" applyFill="1" applyBorder="1" applyAlignment="1">
      <alignment vertic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1" applyNumberFormat="1" applyFont="1" applyAlignment="1">
      <alignment horizontal="center"/>
    </xf>
    <xf numFmtId="0" fontId="3" fillId="4" borderId="0" xfId="1" applyNumberFormat="1" applyFont="1" applyFill="1" applyBorder="1" applyAlignment="1">
      <alignment horizontal="right" vertical="center"/>
    </xf>
    <xf numFmtId="10" fontId="3" fillId="4" borderId="0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9" fontId="0" fillId="0" borderId="0" xfId="1" applyFon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vertical="center"/>
    </xf>
    <xf numFmtId="2" fontId="0" fillId="0" borderId="0" xfId="0" applyNumberFormat="1"/>
    <xf numFmtId="0" fontId="3" fillId="4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165" fontId="3" fillId="4" borderId="5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horizontal="right" vertical="center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166" fontId="3" fillId="3" borderId="0" xfId="0" applyNumberFormat="1" applyFont="1" applyFill="1" applyBorder="1" applyAlignment="1" applyProtection="1">
      <alignment horizontal="right" vertical="center"/>
      <protection locked="0"/>
    </xf>
    <xf numFmtId="166" fontId="6" fillId="4" borderId="0" xfId="0" applyNumberFormat="1" applyFont="1" applyFill="1" applyBorder="1" applyAlignment="1" applyProtection="1">
      <alignment horizontal="right" vertical="center"/>
      <protection locked="0"/>
    </xf>
    <xf numFmtId="0" fontId="6" fillId="4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  <protection locked="0"/>
    </xf>
    <xf numFmtId="1" fontId="3" fillId="4" borderId="0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5" fontId="5" fillId="8" borderId="0" xfId="0" applyNumberFormat="1" applyFont="1" applyFill="1" applyBorder="1" applyAlignment="1">
      <alignment vertical="center"/>
    </xf>
    <xf numFmtId="164" fontId="5" fillId="8" borderId="0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165" fontId="5" fillId="8" borderId="3" xfId="0" applyNumberFormat="1" applyFont="1" applyFill="1" applyBorder="1" applyAlignment="1">
      <alignment vertical="center"/>
    </xf>
    <xf numFmtId="164" fontId="5" fillId="8" borderId="3" xfId="0" applyNumberFormat="1" applyFont="1" applyFill="1" applyBorder="1" applyAlignment="1">
      <alignment vertical="center"/>
    </xf>
    <xf numFmtId="165" fontId="10" fillId="8" borderId="0" xfId="0" applyNumberFormat="1" applyFont="1" applyFill="1" applyBorder="1" applyAlignment="1">
      <alignment vertical="center"/>
    </xf>
    <xf numFmtId="164" fontId="10" fillId="8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10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4" borderId="13" xfId="0" applyFont="1" applyFill="1" applyBorder="1" applyAlignment="1">
      <alignment vertical="top"/>
    </xf>
    <xf numFmtId="0" fontId="3" fillId="6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9" fontId="0" fillId="3" borderId="12" xfId="1" applyFont="1" applyFill="1" applyBorder="1" applyAlignment="1" applyProtection="1">
      <alignment vertical="center"/>
      <protection locked="0"/>
    </xf>
    <xf numFmtId="9" fontId="0" fillId="4" borderId="12" xfId="0" applyNumberFormat="1" applyFill="1" applyBorder="1" applyAlignment="1">
      <alignment vertical="center"/>
    </xf>
    <xf numFmtId="9" fontId="0" fillId="3" borderId="14" xfId="1" applyFont="1" applyFill="1" applyBorder="1" applyAlignment="1" applyProtection="1">
      <alignment vertical="center"/>
      <protection locked="0"/>
    </xf>
    <xf numFmtId="9" fontId="0" fillId="4" borderId="12" xfId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0" fillId="4" borderId="12" xfId="0" applyFill="1" applyBorder="1"/>
    <xf numFmtId="0" fontId="5" fillId="5" borderId="12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0" fillId="4" borderId="0" xfId="0" applyFont="1" applyFill="1" applyBorder="1"/>
    <xf numFmtId="0" fontId="0" fillId="0" borderId="0" xfId="0" applyFont="1"/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center" wrapText="1"/>
    </xf>
    <xf numFmtId="0" fontId="15" fillId="5" borderId="7" xfId="2" applyFont="1" applyFill="1" applyBorder="1" applyAlignment="1">
      <alignment horizontal="right" vertical="center" wrapText="1"/>
    </xf>
    <xf numFmtId="0" fontId="0" fillId="4" borderId="18" xfId="0" applyFont="1" applyFill="1" applyBorder="1" applyAlignment="1" applyProtection="1">
      <alignment vertical="center"/>
      <protection locked="0"/>
    </xf>
    <xf numFmtId="0" fontId="0" fillId="4" borderId="19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9" fillId="4" borderId="19" xfId="2" applyFill="1" applyBorder="1" applyAlignment="1">
      <alignment vertical="top" wrapText="1"/>
    </xf>
    <xf numFmtId="0" fontId="3" fillId="4" borderId="19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horizontal="left" vertical="top" wrapText="1"/>
      <protection locked="0"/>
    </xf>
    <xf numFmtId="0" fontId="11" fillId="4" borderId="18" xfId="0" applyFont="1" applyFill="1" applyBorder="1" applyAlignment="1" applyProtection="1">
      <alignment vertical="center"/>
      <protection locked="0"/>
    </xf>
    <xf numFmtId="0" fontId="0" fillId="4" borderId="20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Protection="1">
      <protection locked="0"/>
    </xf>
    <xf numFmtId="0" fontId="3" fillId="4" borderId="21" xfId="0" applyFont="1" applyFill="1" applyBorder="1" applyAlignment="1" applyProtection="1">
      <alignment vertical="center"/>
      <protection locked="0"/>
    </xf>
    <xf numFmtId="0" fontId="16" fillId="0" borderId="0" xfId="0" applyFont="1"/>
    <xf numFmtId="0" fontId="12" fillId="5" borderId="17" xfId="2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0" borderId="1" xfId="0" applyBorder="1"/>
    <xf numFmtId="0" fontId="11" fillId="4" borderId="18" xfId="0" applyNumberFormat="1" applyFont="1" applyFill="1" applyBorder="1" applyAlignment="1" applyProtection="1">
      <alignment vertical="center" wrapText="1"/>
      <protection locked="0"/>
    </xf>
    <xf numFmtId="0" fontId="11" fillId="4" borderId="20" xfId="0" applyFont="1" applyFill="1" applyBorder="1" applyAlignment="1" applyProtection="1">
      <alignment vertical="center"/>
      <protection locked="0"/>
    </xf>
    <xf numFmtId="0" fontId="18" fillId="4" borderId="19" xfId="0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</xf>
    <xf numFmtId="0" fontId="3" fillId="4" borderId="21" xfId="0" applyFont="1" applyFill="1" applyBorder="1" applyAlignment="1" applyProtection="1">
      <alignment vertical="center"/>
    </xf>
    <xf numFmtId="0" fontId="9" fillId="4" borderId="17" xfId="2" applyFill="1" applyBorder="1" applyAlignment="1" applyProtection="1">
      <alignment vertical="center"/>
    </xf>
    <xf numFmtId="0" fontId="3" fillId="4" borderId="18" xfId="0" applyFont="1" applyFill="1" applyBorder="1" applyAlignment="1" applyProtection="1">
      <alignment wrapText="1"/>
    </xf>
    <xf numFmtId="0" fontId="9" fillId="4" borderId="21" xfId="2" applyFill="1" applyBorder="1" applyAlignment="1" applyProtection="1">
      <alignment wrapText="1"/>
    </xf>
    <xf numFmtId="0" fontId="3" fillId="6" borderId="18" xfId="0" applyFont="1" applyFill="1" applyBorder="1" applyAlignment="1" applyProtection="1">
      <alignment vertical="center"/>
    </xf>
    <xf numFmtId="0" fontId="6" fillId="5" borderId="18" xfId="0" applyFont="1" applyFill="1" applyBorder="1" applyAlignment="1" applyProtection="1">
      <alignment vertical="center"/>
    </xf>
    <xf numFmtId="0" fontId="6" fillId="8" borderId="18" xfId="0" applyFont="1" applyFill="1" applyBorder="1" applyAlignment="1" applyProtection="1">
      <alignment vertical="center"/>
    </xf>
    <xf numFmtId="0" fontId="6" fillId="8" borderId="22" xfId="0" applyFont="1" applyFill="1" applyBorder="1" applyAlignment="1" applyProtection="1">
      <alignment vertical="center"/>
    </xf>
    <xf numFmtId="0" fontId="18" fillId="0" borderId="18" xfId="0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5" xfId="0" applyFont="1" applyFill="1" applyBorder="1" applyAlignment="1">
      <alignment horizontal="left" vertical="top" wrapText="1"/>
    </xf>
    <xf numFmtId="0" fontId="13" fillId="5" borderId="7" xfId="2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 applyProtection="1">
      <alignment horizontal="left" vertical="center" wrapText="1"/>
    </xf>
    <xf numFmtId="0" fontId="3" fillId="4" borderId="24" xfId="0" applyNumberFormat="1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/>
    </xf>
    <xf numFmtId="0" fontId="5" fillId="5" borderId="22" xfId="0" applyFont="1" applyFill="1" applyBorder="1" applyAlignment="1" applyProtection="1">
      <alignment vertical="center"/>
    </xf>
  </cellXfs>
  <cellStyles count="3">
    <cellStyle name="Hyperlink" xfId="2" builtinId="8"/>
    <cellStyle name="Procent" xfId="1" builtinId="5"/>
    <cellStyle name="Standaard" xfId="0" builtinId="0"/>
  </cellStyles>
  <dxfs count="20"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4" fmlaLink="Data!$B$3" fmlaRange="Data!$B$5:$B$31" noThreeD="1" sel="8" val="7"/>
</file>

<file path=xl/ctrlProps/ctrlProp2.xml><?xml version="1.0" encoding="utf-8"?>
<formControlPr xmlns="http://schemas.microsoft.com/office/spreadsheetml/2009/9/main" objectType="Drop" dropStyle="combo" dx="14" fmlaLink="Data!$F$3" fmlaRange="Data!$F$5:$F$5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19050</xdr:rowOff>
        </xdr:from>
        <xdr:to>
          <xdr:col>6</xdr:col>
          <xdr:colOff>1752600</xdr:colOff>
          <xdr:row>5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6</xdr:col>
          <xdr:colOff>1743075</xdr:colOff>
          <xdr:row>12</xdr:row>
          <xdr:rowOff>161925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plo.nl/thema/lucht/milieubelastende-activiteiten-lucht/technieken-beperking-luchtemissie/ionisator/" TargetMode="External"/><Relationship Id="rId13" Type="http://schemas.openxmlformats.org/officeDocument/2006/relationships/hyperlink" Target="https://iplo.nl/thema/lucht/milieubelastende-activiteiten-lucht/technieken-beperking-luchtemissie/stofwasser/" TargetMode="External"/><Relationship Id="rId3" Type="http://schemas.openxmlformats.org/officeDocument/2006/relationships/hyperlink" Target="https://iplo.nl/thema/lucht/milieubelastende-activiteiten-lucht/technieken-beperking-luchtemissie/condensor/" TargetMode="External"/><Relationship Id="rId7" Type="http://schemas.openxmlformats.org/officeDocument/2006/relationships/hyperlink" Target="https://iplo.nl/thema/lucht/milieubelastende-activiteiten-lucht/technieken-beperking-luchtemissie/gaswasser/" TargetMode="External"/><Relationship Id="rId12" Type="http://schemas.openxmlformats.org/officeDocument/2006/relationships/hyperlink" Target="https://iplo.nl/thema/lucht/milieubelastende-activiteiten-lucht/technieken-beperking-luchtemissie/stoffilter/" TargetMode="External"/><Relationship Id="rId17" Type="http://schemas.openxmlformats.org/officeDocument/2006/relationships/hyperlink" Target="https://iplo.nl/thema/lucht/milieubelastende-activiteiten-lucht/technieken-beperking-luchtemissie/" TargetMode="External"/><Relationship Id="rId2" Type="http://schemas.openxmlformats.org/officeDocument/2006/relationships/hyperlink" Target="https://iplo.nl/thema/lucht/milieubelastende-activiteiten-lucht/technieken-beperking-luchtemissie/biotricklingfilter/" TargetMode="External"/><Relationship Id="rId16" Type="http://schemas.openxmlformats.org/officeDocument/2006/relationships/hyperlink" Target="https://iplo.nl/thema/lucht/milieubelastende-activiteiten-lucht/technieken-beperking-luchtemissie/biofilter/" TargetMode="External"/><Relationship Id="rId1" Type="http://schemas.openxmlformats.org/officeDocument/2006/relationships/hyperlink" Target="https://iplo.nl/thema/lucht/milieubelastende-activiteiten-lucht/technieken-beperking-luchtemissie/biologische-wasser/" TargetMode="External"/><Relationship Id="rId6" Type="http://schemas.openxmlformats.org/officeDocument/2006/relationships/hyperlink" Target="https://iplo.nl/thema/lucht/milieubelastende-activiteiten-lucht/technieken-beperking-luchtemissie/filter-kalkinjectie/" TargetMode="External"/><Relationship Id="rId11" Type="http://schemas.openxmlformats.org/officeDocument/2006/relationships/hyperlink" Target="https://iplo.nl/thema/lucht/milieubelastende-activiteiten-lucht/technieken-beperking-luchtemissie/scr-sncr/" TargetMode="External"/><Relationship Id="rId5" Type="http://schemas.openxmlformats.org/officeDocument/2006/relationships/hyperlink" Target="https://iplo.nl/thema/lucht/milieubelastende-activiteiten-lucht/technieken-beperking-luchtemissie/elektrostatisch-filter/" TargetMode="External"/><Relationship Id="rId15" Type="http://schemas.openxmlformats.org/officeDocument/2006/relationships/hyperlink" Target="https://iplo.nl/thema/lucht/milieubelastende-activiteiten-lucht/technieken-beperking-luchtemissie/bezinkkamer/" TargetMode="External"/><Relationship Id="rId10" Type="http://schemas.openxmlformats.org/officeDocument/2006/relationships/hyperlink" Target="https://iplo.nl/thema/lucht/milieubelastende-activiteiten-lucht/technieken-beperking-luchtemissie/naverbrander/" TargetMode="External"/><Relationship Id="rId4" Type="http://schemas.openxmlformats.org/officeDocument/2006/relationships/hyperlink" Target="https://iplo.nl/thema/lucht/milieubelastende-activiteiten-lucht/technieken-beperking-luchtemissie/cycloon/" TargetMode="External"/><Relationship Id="rId9" Type="http://schemas.openxmlformats.org/officeDocument/2006/relationships/hyperlink" Target="https://iplo.nl/thema/lucht/milieubelastende-activiteiten-lucht/technieken-beperking-luchtemissie/mistfilter/" TargetMode="External"/><Relationship Id="rId14" Type="http://schemas.openxmlformats.org/officeDocument/2006/relationships/hyperlink" Target="https://iplo.nl/thema/lucht/milieubelastende-activiteiten-lucht/technieken-beperking-luchtemissie/adsorptiefilt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3"/>
  <sheetViews>
    <sheetView topLeftCell="H6" zoomScale="70" zoomScaleNormal="70" workbookViewId="0">
      <selection activeCell="R7" sqref="R7"/>
    </sheetView>
  </sheetViews>
  <sheetFormatPr defaultRowHeight="11.25" x14ac:dyDescent="0.15"/>
  <cols>
    <col min="1" max="1" width="9" style="1"/>
    <col min="2" max="2" width="9.5" style="1" bestFit="1" customWidth="1"/>
    <col min="3" max="3" width="7.375" style="1" customWidth="1"/>
    <col min="4" max="4" width="7.25" style="1" customWidth="1"/>
    <col min="5" max="5" width="8.375" style="1" customWidth="1"/>
    <col min="6" max="7" width="9" style="1"/>
    <col min="8" max="9" width="12.125" style="17" customWidth="1"/>
    <col min="10" max="10" width="21.625" style="17" customWidth="1"/>
    <col min="11" max="11" width="8.375" style="1" customWidth="1"/>
    <col min="12" max="12" width="9.625" style="1" customWidth="1"/>
    <col min="13" max="16" width="10" style="4" customWidth="1"/>
    <col min="17" max="19" width="10" style="1" customWidth="1"/>
    <col min="20" max="33" width="9" style="1"/>
    <col min="34" max="34" width="16.75" bestFit="1" customWidth="1"/>
  </cols>
  <sheetData>
    <row r="1" spans="1:42" ht="33" customHeight="1" x14ac:dyDescent="0.15">
      <c r="B1" s="1" t="s">
        <v>1</v>
      </c>
      <c r="C1" s="166" t="s">
        <v>107</v>
      </c>
      <c r="D1" s="166"/>
      <c r="E1" s="52" t="s">
        <v>144</v>
      </c>
      <c r="F1" s="52" t="s">
        <v>145</v>
      </c>
      <c r="G1" s="52" t="s">
        <v>146</v>
      </c>
      <c r="H1" s="15" t="s">
        <v>1</v>
      </c>
      <c r="I1" s="15" t="s">
        <v>0</v>
      </c>
      <c r="J1" s="15" t="s">
        <v>29</v>
      </c>
      <c r="K1" s="168" t="s">
        <v>148</v>
      </c>
      <c r="L1" s="168"/>
      <c r="M1" s="167" t="s">
        <v>2</v>
      </c>
      <c r="N1" s="167"/>
      <c r="O1" s="167" t="s">
        <v>147</v>
      </c>
      <c r="P1" s="167"/>
      <c r="Q1" s="165" t="s">
        <v>9</v>
      </c>
      <c r="R1" s="165"/>
      <c r="S1" s="165"/>
      <c r="T1" s="165" t="s">
        <v>21</v>
      </c>
      <c r="U1" s="165"/>
      <c r="V1" s="165" t="s">
        <v>24</v>
      </c>
      <c r="W1" s="165"/>
      <c r="X1" s="165" t="s">
        <v>22</v>
      </c>
      <c r="Y1" s="165"/>
      <c r="Z1" s="165" t="s">
        <v>104</v>
      </c>
      <c r="AA1" s="165"/>
      <c r="AB1" s="165" t="s">
        <v>8</v>
      </c>
      <c r="AC1" s="165"/>
      <c r="AD1" s="165" t="s">
        <v>161</v>
      </c>
      <c r="AE1" s="165"/>
      <c r="AF1" s="54" t="s">
        <v>162</v>
      </c>
      <c r="AG1" s="54" t="s">
        <v>157</v>
      </c>
      <c r="AH1" t="s">
        <v>0</v>
      </c>
      <c r="AI1" t="s">
        <v>143</v>
      </c>
    </row>
    <row r="2" spans="1:42" x14ac:dyDescent="0.15">
      <c r="H2" s="15"/>
      <c r="I2" s="15"/>
      <c r="J2" s="15"/>
      <c r="K2" s="13" t="s">
        <v>3</v>
      </c>
      <c r="L2" s="13" t="s">
        <v>4</v>
      </c>
      <c r="M2" s="14" t="s">
        <v>3</v>
      </c>
      <c r="N2" s="14" t="s">
        <v>4</v>
      </c>
      <c r="O2" s="53" t="s">
        <v>3</v>
      </c>
      <c r="P2" s="53" t="s">
        <v>4</v>
      </c>
      <c r="Q2" s="13" t="s">
        <v>3</v>
      </c>
      <c r="R2" s="13" t="s">
        <v>4</v>
      </c>
      <c r="S2" s="13" t="s">
        <v>84</v>
      </c>
      <c r="T2" s="13" t="s">
        <v>3</v>
      </c>
      <c r="U2" s="13" t="s">
        <v>4</v>
      </c>
      <c r="V2" s="13" t="s">
        <v>3</v>
      </c>
      <c r="W2" s="13" t="s">
        <v>4</v>
      </c>
      <c r="X2" s="13" t="s">
        <v>3</v>
      </c>
      <c r="Y2" s="13" t="s">
        <v>4</v>
      </c>
      <c r="Z2" s="13" t="s">
        <v>3</v>
      </c>
      <c r="AA2" s="13" t="s">
        <v>4</v>
      </c>
      <c r="AB2" s="13" t="s">
        <v>3</v>
      </c>
      <c r="AC2" s="13" t="s">
        <v>4</v>
      </c>
      <c r="AD2" s="57" t="s">
        <v>3</v>
      </c>
      <c r="AE2" s="57" t="s">
        <v>4</v>
      </c>
      <c r="AF2" s="57"/>
      <c r="AG2" s="57"/>
    </row>
    <row r="3" spans="1:42" x14ac:dyDescent="0.15">
      <c r="A3" s="56" t="s">
        <v>10</v>
      </c>
      <c r="B3" s="3">
        <f>Data!B3</f>
        <v>8</v>
      </c>
      <c r="C3" s="56"/>
      <c r="D3" s="56"/>
      <c r="E3" s="56"/>
      <c r="F3" s="3">
        <f>Data!F3</f>
        <v>1</v>
      </c>
      <c r="G3" s="56">
        <f>VLOOKUP(Data!$F$3,Factsheets!$F$4:$G$153,2,FALSE)</f>
        <v>29</v>
      </c>
      <c r="H3" s="16" t="str">
        <f>IF(ISNA(INDEX(H4:H153,$G$3)),"",INDEX(H4:H153,$G$3))</f>
        <v>Droog stof</v>
      </c>
      <c r="I3" s="16" t="str">
        <f>IF(ISNA(INDEX(I4:I153,$G$3)),"",INDEX(I4:I153,$G$3))</f>
        <v>Cycloon</v>
      </c>
      <c r="J3" s="3" t="str">
        <f>IF(ISNA(INDEX(J4:J153,$G$3)),"Selecteer een reductietechniek",IF(INDEX(J4:J153,$G$3)=0,"",INDEX(J4:J153,$G$3)))</f>
        <v/>
      </c>
      <c r="K3" s="3">
        <f>IF(ISNA($G$3),0,IF(OR($H$3&lt;&gt;Data!$B$4,INDEX(K4:K153,$G$3)=""),0,INDEX(K4:K153,$G$3)))</f>
        <v>1000</v>
      </c>
      <c r="L3" s="3">
        <f>IF(ISNA($G$3),0,IF(OR($H$3&lt;&gt;Data!$B$4,INDEX(L4:L153,$G$3)=""),0,INDEX(L4:L153,$G$3)))</f>
        <v>95000</v>
      </c>
      <c r="M3" s="3">
        <f>IF(ISNA($G$3),0,IF(OR($H$3&lt;&gt;Data!$B$4,INDEX(M4:M153,$G$3)=""),0,INDEX(M4:M153,$G$3)))</f>
        <v>0.9</v>
      </c>
      <c r="N3" s="3">
        <f>IF(ISNA($G$3),0,IF(OR($H$3&lt;&gt;Data!$B$4,INDEX(N4:N153,$G$3)=""),0,INDEX(N4:N153,$G$3)))</f>
        <v>0.99</v>
      </c>
      <c r="O3" s="3">
        <f>IF(ISNA($G$3),0,IF(OR($H$3&lt;&gt;Data!$B$4,INDEX(O4:O153,$G$3)=""),0,INDEX(O4:O153,$G$3)))</f>
        <v>-1000</v>
      </c>
      <c r="P3" s="3">
        <f>IF(ISNA($G$3),0,IF(OR($H$3&lt;&gt;Data!$B$4,INDEX(P4:P153,$G$3)=""),0,INDEX(P4:P153,$G$3)))</f>
        <v>0</v>
      </c>
      <c r="Q3" s="3">
        <f>IF(ISNA($G$3),0,IF(OR($H$3&lt;&gt;Data!$B$4,INDEX(Q4:Q153,$G$3)=""),0,INDEX(Q4:Q153,$G$3)))</f>
        <v>0.3</v>
      </c>
      <c r="R3" s="3">
        <f>IF(ISNA($G$3),0,IF(OR($H$3&lt;&gt;Data!$B$4,INDEX(R4:R153,$G$3)=""),0,INDEX(R4:R153,$G$3)))</f>
        <v>9</v>
      </c>
      <c r="S3" s="3" t="str">
        <f>IF(OR($C$4&lt;&gt;"",ISNA(G3)),"mg/Nm3",IF($H$3&lt;&gt;Data!$B$4,"",INDEX(S4:S153,$G$3)))</f>
        <v>mg/Nm3</v>
      </c>
      <c r="T3" s="3">
        <f t="shared" ref="T3:AI3" si="0">IF(ISNA(INDEX(T4:T153,$G$3)),"",INDEX(T4:T153,$G$3))</f>
        <v>500</v>
      </c>
      <c r="U3" s="3">
        <f t="shared" si="0"/>
        <v>1500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0.25</v>
      </c>
      <c r="AE3" s="3">
        <f t="shared" si="0"/>
        <v>1.5</v>
      </c>
      <c r="AF3" s="3" t="str">
        <f>IF(OR(ISNA(INDEX(AF4:AF153,$G$3)),INDEX(AF4:AF153,$G$3)=0),"",INDEX(AF4:AF153,$G$3))</f>
        <v/>
      </c>
      <c r="AG3" s="3" t="str">
        <f>IF(OR(ISNA(INDEX(AG4:AG153,$G$3)),INDEX(AG4:AG153,$G$3)=0),"",INDEX(AG4:AG153,$G$3))</f>
        <v/>
      </c>
      <c r="AH3" s="3" t="str">
        <f t="shared" si="0"/>
        <v>cycloon</v>
      </c>
      <c r="AI3" s="3" t="str">
        <f t="shared" si="0"/>
        <v>https://iplo.nl/thema/lucht/milieubelastende-activiteiten-lucht/technieken-beperking-luchtemissie/cycloon/</v>
      </c>
      <c r="AJ3" s="55"/>
      <c r="AK3" s="55"/>
      <c r="AL3" s="55"/>
      <c r="AM3" s="55"/>
      <c r="AN3" s="55"/>
      <c r="AO3" s="55"/>
      <c r="AP3" s="55"/>
    </row>
    <row r="4" spans="1:42" x14ac:dyDescent="0.15">
      <c r="B4" s="1">
        <v>1</v>
      </c>
      <c r="C4" s="1" t="str">
        <f>IF(AND(OR(Data!$B$4="Overig",ISNUMBER(FIND("Emissie",'KE-berekening'!$C$13)))),"Ja","")</f>
        <v/>
      </c>
      <c r="D4" s="1">
        <f>IF(C4="Ja",ABS(D3)+1,-ABS(D3))</f>
        <v>0</v>
      </c>
      <c r="E4" s="1">
        <f>IF(H4=Data!$B$4,1,0)</f>
        <v>0</v>
      </c>
      <c r="F4" s="1">
        <f>IF($C$4="Ja",D4,E4)</f>
        <v>0</v>
      </c>
      <c r="G4" s="1">
        <f>ROW(F4)-ROW($B$3)</f>
        <v>1</v>
      </c>
      <c r="H4" s="17" t="s">
        <v>52</v>
      </c>
      <c r="I4" s="43" t="s">
        <v>85</v>
      </c>
      <c r="J4" s="17" t="str">
        <f>IF(H4&lt;&gt;Data!$B$4,"","Adsorbent: actief kool of zeolieten")</f>
        <v/>
      </c>
      <c r="K4" s="1">
        <v>20</v>
      </c>
      <c r="L4" s="1">
        <v>35000</v>
      </c>
      <c r="M4" s="4">
        <v>0.9</v>
      </c>
      <c r="N4" s="4">
        <v>0.99</v>
      </c>
      <c r="O4" s="58">
        <v>30</v>
      </c>
      <c r="P4" s="58">
        <v>5000</v>
      </c>
      <c r="Q4" s="1">
        <v>1</v>
      </c>
      <c r="R4" s="1">
        <v>465</v>
      </c>
      <c r="S4" s="1" t="s">
        <v>60</v>
      </c>
      <c r="T4" s="1">
        <v>10000</v>
      </c>
      <c r="U4" s="1">
        <v>50000</v>
      </c>
      <c r="X4" s="1">
        <v>2500</v>
      </c>
      <c r="Y4" s="1">
        <v>2500</v>
      </c>
      <c r="AD4" s="1">
        <v>0.2</v>
      </c>
      <c r="AE4" s="1">
        <v>2</v>
      </c>
      <c r="AH4" t="s">
        <v>129</v>
      </c>
      <c r="AI4" t="str">
        <f>VLOOKUP(AH4,Links!$A$1:$B$16,2,FALSE)</f>
        <v>https://iplo.nl/thema/lucht/milieubelastende-activiteiten-lucht/technieken-beperking-luchtemissie/adsorptiefilter/</v>
      </c>
    </row>
    <row r="5" spans="1:42" x14ac:dyDescent="0.15">
      <c r="B5" s="1">
        <f>IF(ISNONTEXT(VLOOKUP(H5,H$4:H4,1,FALSE)),ABS(B4)+1,-ABS(B4))</f>
        <v>-1</v>
      </c>
      <c r="C5" s="1" t="str">
        <f>IF(AND(OR(Data!$B$4="Overig",ISNUMBER(FIND("Emissie",'KE-berekening'!$C$13))),I5&lt;&gt;"",OR(T4&lt;&gt;T5,U4&lt;&gt;U5,V4&lt;&gt;V5,W4&lt;&gt;W5,X4&lt;&gt;X5,Y4&lt;&gt;Y5,Z4&lt;&gt;Z5,AA4&lt;&gt;AA5,AB4&lt;&gt;AB5,AC4&lt;&gt;AC5,C4="Nee")),"Ja","")</f>
        <v/>
      </c>
      <c r="D5" s="1">
        <f>IF(C5="Ja",ABS(D4)+1,-ABS(D4))</f>
        <v>0</v>
      </c>
      <c r="E5" s="1">
        <f>IF(H5=Data!$B$4,ABS(E4)+1,-ABS(E4))</f>
        <v>0</v>
      </c>
      <c r="F5" s="1">
        <f t="shared" ref="F5:F68" si="1">IF($C$4="Ja",D5,E5)</f>
        <v>0</v>
      </c>
      <c r="G5" s="1">
        <f t="shared" ref="G5:G68" si="2">ROW(F5)-ROW($B$3)</f>
        <v>2</v>
      </c>
      <c r="H5" s="17" t="s">
        <v>52</v>
      </c>
      <c r="I5" s="43" t="s">
        <v>85</v>
      </c>
      <c r="J5" s="17" t="s">
        <v>86</v>
      </c>
      <c r="K5" s="1">
        <v>20</v>
      </c>
      <c r="L5" s="1">
        <v>35000</v>
      </c>
      <c r="M5" s="4">
        <v>0.95</v>
      </c>
      <c r="N5" s="4">
        <v>0.98</v>
      </c>
      <c r="O5" s="58">
        <v>30</v>
      </c>
      <c r="P5" s="58">
        <v>5000</v>
      </c>
      <c r="Q5" s="1">
        <v>25</v>
      </c>
      <c r="R5" s="1">
        <v>1000</v>
      </c>
      <c r="S5" s="1" t="s">
        <v>60</v>
      </c>
      <c r="T5" s="1">
        <v>10000</v>
      </c>
      <c r="U5" s="1">
        <v>50000</v>
      </c>
      <c r="X5" s="1">
        <v>2500</v>
      </c>
      <c r="Y5" s="1">
        <v>2500</v>
      </c>
      <c r="AD5" s="1">
        <v>0.2</v>
      </c>
      <c r="AE5" s="1">
        <v>2</v>
      </c>
      <c r="AH5" t="s">
        <v>129</v>
      </c>
      <c r="AI5" t="str">
        <f>VLOOKUP(AH5,Links!$A$1:$B$16,2,FALSE)</f>
        <v>https://iplo.nl/thema/lucht/milieubelastende-activiteiten-lucht/technieken-beperking-luchtemissie/adsorptiefilter/</v>
      </c>
    </row>
    <row r="6" spans="1:42" x14ac:dyDescent="0.15">
      <c r="B6" s="1">
        <f>IF(ISNONTEXT(VLOOKUP(H6,H$4:H5,1,FALSE)),ABS(B5)+1,-ABS(B5))</f>
        <v>2</v>
      </c>
      <c r="C6" s="1" t="str">
        <f>IF(AND(OR(Data!$B$4="Overig",ISNUMBER(FIND("Emissie",'KE-berekening'!$C$13))),I6&lt;&gt;"",OR(T5&lt;&gt;T6,U5&lt;&gt;U6,V5&lt;&gt;V6,W5&lt;&gt;W6,X5&lt;&gt;X6,Y5&lt;&gt;Y6,Z5&lt;&gt;Z6,AA5&lt;&gt;AA6,AB5&lt;&gt;AB6,AC5&lt;&gt;AC6,C5="Nee")),"Ja","")</f>
        <v/>
      </c>
      <c r="D6" s="1">
        <f t="shared" ref="D6:D69" si="3">IF(C6="Ja",ABS(D5)+1,-ABS(D5))</f>
        <v>0</v>
      </c>
      <c r="E6" s="1">
        <f>IF(H6=Data!$B$4,ABS(E5)+1,-ABS(E5))</f>
        <v>0</v>
      </c>
      <c r="F6" s="1">
        <f t="shared" si="1"/>
        <v>0</v>
      </c>
      <c r="G6" s="1">
        <f t="shared" si="2"/>
        <v>3</v>
      </c>
      <c r="H6" s="17" t="s">
        <v>48</v>
      </c>
      <c r="I6" s="43" t="s">
        <v>85</v>
      </c>
      <c r="J6" s="17" t="s">
        <v>86</v>
      </c>
      <c r="K6" s="1">
        <v>20</v>
      </c>
      <c r="L6" s="1">
        <v>35000</v>
      </c>
      <c r="O6" s="58">
        <v>30</v>
      </c>
      <c r="P6" s="58">
        <v>5000</v>
      </c>
      <c r="R6" s="1">
        <v>1</v>
      </c>
      <c r="S6" s="1" t="s">
        <v>60</v>
      </c>
      <c r="T6" s="1">
        <v>10000</v>
      </c>
      <c r="U6" s="1">
        <v>50000</v>
      </c>
      <c r="X6" s="1">
        <v>2500</v>
      </c>
      <c r="Y6" s="1">
        <v>2500</v>
      </c>
      <c r="AD6" s="1">
        <v>0.2</v>
      </c>
      <c r="AE6" s="1">
        <v>2</v>
      </c>
      <c r="AH6" t="s">
        <v>129</v>
      </c>
      <c r="AI6" t="str">
        <f>VLOOKUP(AH6,Links!$A$1:$B$16,2,FALSE)</f>
        <v>https://iplo.nl/thema/lucht/milieubelastende-activiteiten-lucht/technieken-beperking-luchtemissie/adsorptiefilter/</v>
      </c>
    </row>
    <row r="7" spans="1:42" x14ac:dyDescent="0.15">
      <c r="B7" s="1">
        <f>IF(ISNONTEXT(VLOOKUP(H7,H$4:H6,1,FALSE)),ABS(B6)+1,-ABS(B6))</f>
        <v>3</v>
      </c>
      <c r="C7" s="1" t="str">
        <f>IF(AND(OR(Data!$B$4="Overig",ISNUMBER(FIND("Emissie",'KE-berekening'!$C$13))),I7&lt;&gt;"",OR(T6&lt;&gt;T7,U6&lt;&gt;U7,V6&lt;&gt;V7,W6&lt;&gt;W7,X6&lt;&gt;X7,Y6&lt;&gt;Y7,Z6&lt;&gt;Z7,AA6&lt;&gt;AA7,AB6&lt;&gt;AB7,AC6&lt;&gt;AC7,C6="Nee")),"Ja","")</f>
        <v/>
      </c>
      <c r="D7" s="1">
        <f t="shared" si="3"/>
        <v>0</v>
      </c>
      <c r="E7" s="1">
        <f>IF(H7=Data!$B$4,ABS(E6)+1,-ABS(E6))</f>
        <v>0</v>
      </c>
      <c r="F7" s="1">
        <f t="shared" si="1"/>
        <v>0</v>
      </c>
      <c r="G7" s="1">
        <f t="shared" si="2"/>
        <v>4</v>
      </c>
      <c r="H7" s="17" t="s">
        <v>87</v>
      </c>
      <c r="I7" s="43" t="s">
        <v>85</v>
      </c>
      <c r="J7" s="17" t="s">
        <v>88</v>
      </c>
      <c r="K7" s="1">
        <v>20</v>
      </c>
      <c r="L7" s="1">
        <v>35000</v>
      </c>
      <c r="M7" s="4">
        <v>-0.98</v>
      </c>
      <c r="O7" s="58">
        <v>10</v>
      </c>
      <c r="P7" s="58">
        <v>100</v>
      </c>
      <c r="R7" s="1">
        <v>-0.1</v>
      </c>
      <c r="S7" s="1" t="s">
        <v>89</v>
      </c>
      <c r="T7" s="1">
        <v>10000</v>
      </c>
      <c r="U7" s="1">
        <v>50000</v>
      </c>
      <c r="X7" s="1">
        <v>2500</v>
      </c>
      <c r="Y7" s="1">
        <v>2500</v>
      </c>
      <c r="AD7" s="1">
        <v>0.2</v>
      </c>
      <c r="AE7" s="1">
        <v>2</v>
      </c>
      <c r="AH7" t="s">
        <v>129</v>
      </c>
      <c r="AI7" t="str">
        <f>VLOOKUP(AH7,Links!$A$1:$B$16,2,FALSE)</f>
        <v>https://iplo.nl/thema/lucht/milieubelastende-activiteiten-lucht/technieken-beperking-luchtemissie/adsorptiefilter/</v>
      </c>
    </row>
    <row r="8" spans="1:42" x14ac:dyDescent="0.15">
      <c r="B8" s="1">
        <f>IF(ISNONTEXT(VLOOKUP(H8,H$4:H7,1,FALSE)),ABS(B7)+1,-ABS(B7))</f>
        <v>4</v>
      </c>
      <c r="C8" s="1" t="str">
        <f>IF(AND(OR(Data!$B$4="Overig",ISNUMBER(FIND("Emissie",'KE-berekening'!$C$13))),I8&lt;&gt;"",OR(T7&lt;&gt;T8,U7&lt;&gt;U8,V7&lt;&gt;V8,W7&lt;&gt;W8,X7&lt;&gt;X8,Y7&lt;&gt;Y8,Z7&lt;&gt;Z8,AA7&lt;&gt;AA8,AB7&lt;&gt;AB8,AC7&lt;&gt;AC8,C7="Nee")),"Ja","")</f>
        <v/>
      </c>
      <c r="D8" s="1">
        <f t="shared" si="3"/>
        <v>0</v>
      </c>
      <c r="E8" s="1">
        <f>IF(H8=Data!$B$4,ABS(E7)+1,-ABS(E7))</f>
        <v>0</v>
      </c>
      <c r="F8" s="1">
        <f t="shared" si="1"/>
        <v>0</v>
      </c>
      <c r="G8" s="1">
        <f t="shared" si="2"/>
        <v>5</v>
      </c>
      <c r="H8" s="17" t="s">
        <v>49</v>
      </c>
      <c r="I8" s="43" t="s">
        <v>85</v>
      </c>
      <c r="K8" s="1">
        <v>20</v>
      </c>
      <c r="L8" s="1">
        <v>35000</v>
      </c>
      <c r="M8" s="4">
        <v>0.8</v>
      </c>
      <c r="N8" s="4">
        <v>0.95</v>
      </c>
      <c r="O8" s="58">
        <v>5000</v>
      </c>
      <c r="P8" s="58">
        <v>100000</v>
      </c>
      <c r="S8" s="1" t="s">
        <v>109</v>
      </c>
      <c r="T8" s="1">
        <v>10000</v>
      </c>
      <c r="U8" s="1">
        <v>50000</v>
      </c>
      <c r="X8" s="1">
        <v>2500</v>
      </c>
      <c r="Y8" s="1">
        <v>2500</v>
      </c>
      <c r="AD8" s="1">
        <v>0.2</v>
      </c>
      <c r="AE8" s="1">
        <v>2</v>
      </c>
      <c r="AH8" t="s">
        <v>129</v>
      </c>
      <c r="AI8" t="str">
        <f>VLOOKUP(AH8,Links!$A$1:$B$16,2,FALSE)</f>
        <v>https://iplo.nl/thema/lucht/milieubelastende-activiteiten-lucht/technieken-beperking-luchtemissie/adsorptiefilter/</v>
      </c>
    </row>
    <row r="9" spans="1:42" x14ac:dyDescent="0.15">
      <c r="B9" s="1">
        <f>IF(ISNONTEXT(VLOOKUP(H9,H$4:H8,1,FALSE)),ABS(B8)+1,-ABS(B8))</f>
        <v>5</v>
      </c>
      <c r="C9" s="1" t="str">
        <f>IF(AND(OR(Data!$B$4="Overig",ISNUMBER(FIND("Emissie",'KE-berekening'!$C$13))),I9&lt;&gt;"",OR(T8&lt;&gt;T9,U8&lt;&gt;U9,V8&lt;&gt;V9,W8&lt;&gt;W9,X8&lt;&gt;X9,Y8&lt;&gt;Y9,Z8&lt;&gt;Z9,AA8&lt;&gt;AA9,AB8&lt;&gt;AB9,AC8&lt;&gt;AC9,C8="Nee")),"Ja","")</f>
        <v/>
      </c>
      <c r="D9" s="1">
        <f t="shared" si="3"/>
        <v>0</v>
      </c>
      <c r="E9" s="1">
        <f>IF(H9=Data!$B$4,ABS(E8)+1,-ABS(E8))</f>
        <v>0</v>
      </c>
      <c r="F9" s="1">
        <f t="shared" si="1"/>
        <v>0</v>
      </c>
      <c r="G9" s="1">
        <f t="shared" si="2"/>
        <v>6</v>
      </c>
      <c r="H9" s="17" t="s">
        <v>28</v>
      </c>
      <c r="I9" s="43" t="s">
        <v>85</v>
      </c>
      <c r="J9" s="17" t="s">
        <v>88</v>
      </c>
      <c r="K9" s="1">
        <v>20</v>
      </c>
      <c r="L9" s="1">
        <v>35000</v>
      </c>
      <c r="M9" s="4">
        <v>-0.98</v>
      </c>
      <c r="O9" s="58">
        <v>1</v>
      </c>
      <c r="P9" s="58">
        <v>10</v>
      </c>
      <c r="R9" s="1">
        <v>-0.05</v>
      </c>
      <c r="S9" s="1" t="s">
        <v>60</v>
      </c>
      <c r="T9" s="1">
        <v>10000</v>
      </c>
      <c r="U9" s="1">
        <v>50000</v>
      </c>
      <c r="X9" s="1">
        <v>2500</v>
      </c>
      <c r="Y9" s="1">
        <v>2500</v>
      </c>
      <c r="AD9" s="1">
        <v>0.2</v>
      </c>
      <c r="AE9" s="1">
        <v>2</v>
      </c>
      <c r="AH9" t="s">
        <v>129</v>
      </c>
      <c r="AI9" t="str">
        <f>VLOOKUP(AH9,Links!$A$1:$B$16,2,FALSE)</f>
        <v>https://iplo.nl/thema/lucht/milieubelastende-activiteiten-lucht/technieken-beperking-luchtemissie/adsorptiefilter/</v>
      </c>
    </row>
    <row r="10" spans="1:42" x14ac:dyDescent="0.15">
      <c r="B10" s="1">
        <f>IF(ISNONTEXT(VLOOKUP(H10,H$4:H9,1,FALSE)),ABS(B9)+1,-ABS(B9))</f>
        <v>6</v>
      </c>
      <c r="C10" s="1" t="str">
        <f>IF(AND(OR(Data!$B$4="Overig",ISNUMBER(FIND("Emissie",'KE-berekening'!$C$13))),I10&lt;&gt;"",OR(T9&lt;&gt;T10,U9&lt;&gt;U10,V9&lt;&gt;V10,W9&lt;&gt;W10,X9&lt;&gt;X10,Y9&lt;&gt;Y10,Z9&lt;&gt;Z10,AA9&lt;&gt;AA10,AB9&lt;&gt;AB10,AC9&lt;&gt;AC10,C9="Nee")),"Ja","")</f>
        <v/>
      </c>
      <c r="D10" s="1">
        <f t="shared" si="3"/>
        <v>0</v>
      </c>
      <c r="E10" s="1">
        <f>IF(H10=Data!$B$4,ABS(E9)+1,-ABS(E9))</f>
        <v>0</v>
      </c>
      <c r="F10" s="1">
        <f t="shared" si="1"/>
        <v>0</v>
      </c>
      <c r="G10" s="1">
        <f t="shared" si="2"/>
        <v>7</v>
      </c>
      <c r="H10" s="17" t="s">
        <v>51</v>
      </c>
      <c r="I10" s="43" t="s">
        <v>85</v>
      </c>
      <c r="J10" s="17" t="s">
        <v>88</v>
      </c>
      <c r="K10" s="1">
        <v>20</v>
      </c>
      <c r="L10" s="1">
        <v>35000</v>
      </c>
      <c r="M10" s="4">
        <v>0.95</v>
      </c>
      <c r="N10" s="4">
        <v>0.99</v>
      </c>
      <c r="O10" s="58"/>
      <c r="P10" s="58">
        <v>1500</v>
      </c>
      <c r="Q10" s="1">
        <v>1</v>
      </c>
      <c r="R10" s="1">
        <v>10</v>
      </c>
      <c r="S10" s="1" t="s">
        <v>60</v>
      </c>
      <c r="T10" s="1">
        <v>10000</v>
      </c>
      <c r="U10" s="1">
        <v>50000</v>
      </c>
      <c r="X10" s="1">
        <v>2500</v>
      </c>
      <c r="Y10" s="1">
        <v>2500</v>
      </c>
      <c r="AD10" s="1">
        <v>0.2</v>
      </c>
      <c r="AE10" s="1">
        <v>2</v>
      </c>
      <c r="AH10" t="s">
        <v>129</v>
      </c>
      <c r="AI10" t="str">
        <f>VLOOKUP(AH10,Links!$A$1:$B$16,2,FALSE)</f>
        <v>https://iplo.nl/thema/lucht/milieubelastende-activiteiten-lucht/technieken-beperking-luchtemissie/adsorptiefilter/</v>
      </c>
    </row>
    <row r="11" spans="1:42" x14ac:dyDescent="0.15">
      <c r="B11" s="1">
        <f>IF(ISNONTEXT(VLOOKUP(H11,H$4:H10,1,FALSE)),ABS(B10)+1,-ABS(B10))</f>
        <v>7</v>
      </c>
      <c r="C11" s="1" t="str">
        <f>IF(AND(OR(Data!$B$4="Overig",ISNUMBER(FIND("Emissie",'KE-berekening'!$C$13))),I11&lt;&gt;"",OR(T10&lt;&gt;T11,U10&lt;&gt;U11,V10&lt;&gt;V11,W10&lt;&gt;W11,X10&lt;&gt;X11,Y10&lt;&gt;Y11,Z10&lt;&gt;Z11,AA10&lt;&gt;AA11,AB10&lt;&gt;AB11,AC10&lt;&gt;AC11,C10="Nee")),"Ja","")</f>
        <v/>
      </c>
      <c r="D11" s="1">
        <f t="shared" si="3"/>
        <v>0</v>
      </c>
      <c r="E11" s="1">
        <f>IF(H11=Data!$B$4,ABS(E10)+1,-ABS(E10))</f>
        <v>0</v>
      </c>
      <c r="F11" s="1">
        <f t="shared" si="1"/>
        <v>0</v>
      </c>
      <c r="G11" s="1">
        <f t="shared" si="2"/>
        <v>8</v>
      </c>
      <c r="H11" s="17" t="s">
        <v>47</v>
      </c>
      <c r="I11" s="43" t="s">
        <v>76</v>
      </c>
      <c r="K11" s="1">
        <v>30</v>
      </c>
      <c r="L11" s="1">
        <v>30000</v>
      </c>
      <c r="M11" s="4">
        <v>0.9</v>
      </c>
      <c r="O11" s="58"/>
      <c r="P11" s="58">
        <v>5000</v>
      </c>
      <c r="Q11" s="1">
        <v>-20</v>
      </c>
      <c r="R11" s="1">
        <v>40</v>
      </c>
      <c r="S11" s="2" t="s">
        <v>60</v>
      </c>
      <c r="T11" s="1">
        <v>10000</v>
      </c>
      <c r="U11" s="1">
        <v>50000</v>
      </c>
      <c r="X11" s="1">
        <v>1000</v>
      </c>
      <c r="Y11" s="1">
        <v>30000</v>
      </c>
      <c r="AD11" s="1">
        <v>0.2</v>
      </c>
      <c r="AE11" s="1">
        <v>1</v>
      </c>
      <c r="AH11" t="s">
        <v>136</v>
      </c>
      <c r="AI11" t="str">
        <f>VLOOKUP(AH11,Links!$A$1:$B$16,2,FALSE)</f>
        <v>https://iplo.nl/thema/lucht/milieubelastende-activiteiten-lucht/technieken-beperking-luchtemissie/gaswasser/</v>
      </c>
    </row>
    <row r="12" spans="1:42" x14ac:dyDescent="0.15">
      <c r="B12" s="1">
        <f>IF(ISNONTEXT(VLOOKUP(H12,H$4:H11,1,FALSE)),ABS(B11)+1,-ABS(B11))</f>
        <v>8</v>
      </c>
      <c r="C12" s="1" t="str">
        <f>IF(AND(OR(Data!$B$4="Overig",ISNUMBER(FIND("Emissie",'KE-berekening'!$C$13))),I12&lt;&gt;"",OR(T11&lt;&gt;T12,U11&lt;&gt;U12,V11&lt;&gt;V12,W11&lt;&gt;W12,X11&lt;&gt;X12,Y11&lt;&gt;Y12,Z11&lt;&gt;Z12,AA11&lt;&gt;AA12,AB11&lt;&gt;AB12,AC11&lt;&gt;AC12,C11="Nee")),"Ja","")</f>
        <v/>
      </c>
      <c r="D12" s="1">
        <f t="shared" si="3"/>
        <v>0</v>
      </c>
      <c r="E12" s="1">
        <f>IF(H12=Data!$B$4,ABS(E11)+1,-ABS(E11))</f>
        <v>0</v>
      </c>
      <c r="F12" s="1">
        <f t="shared" si="1"/>
        <v>0</v>
      </c>
      <c r="G12" s="1">
        <f t="shared" si="2"/>
        <v>9</v>
      </c>
      <c r="H12" s="17" t="s">
        <v>26</v>
      </c>
      <c r="I12" s="43" t="s">
        <v>76</v>
      </c>
      <c r="K12" s="1">
        <v>30</v>
      </c>
      <c r="L12" s="1">
        <v>30000</v>
      </c>
      <c r="M12" s="4">
        <v>0.99</v>
      </c>
      <c r="O12" s="58">
        <v>50</v>
      </c>
      <c r="P12" s="58">
        <v>20000</v>
      </c>
      <c r="Q12" s="1">
        <v>0.1</v>
      </c>
      <c r="R12" s="1">
        <v>5</v>
      </c>
      <c r="S12" s="2" t="s">
        <v>60</v>
      </c>
      <c r="T12" s="1">
        <v>10000</v>
      </c>
      <c r="U12" s="1">
        <v>50000</v>
      </c>
      <c r="X12" s="1">
        <v>1000</v>
      </c>
      <c r="Y12" s="1">
        <v>30000</v>
      </c>
      <c r="AD12" s="1">
        <v>0.2</v>
      </c>
      <c r="AE12" s="1">
        <v>1</v>
      </c>
      <c r="AH12" t="s">
        <v>136</v>
      </c>
      <c r="AI12" t="str">
        <f>VLOOKUP(AH12,Links!$A$1:$B$16,2,FALSE)</f>
        <v>https://iplo.nl/thema/lucht/milieubelastende-activiteiten-lucht/technieken-beperking-luchtemissie/gaswasser/</v>
      </c>
    </row>
    <row r="13" spans="1:42" x14ac:dyDescent="0.15">
      <c r="B13" s="1">
        <f>IF(ISNONTEXT(VLOOKUP(H13,H$4:H12,1,FALSE)),ABS(B12)+1,-ABS(B12))</f>
        <v>9</v>
      </c>
      <c r="C13" s="1" t="str">
        <f>IF(AND(OR(Data!$B$4="Overig",ISNUMBER(FIND("Emissie",'KE-berekening'!$C$13))),I13&lt;&gt;"",OR(T12&lt;&gt;T13,U12&lt;&gt;U13,V12&lt;&gt;V13,W12&lt;&gt;W13,X12&lt;&gt;X13,Y12&lt;&gt;Y13,Z12&lt;&gt;Z13,AA12&lt;&gt;AA13,AB12&lt;&gt;AB13,AC12&lt;&gt;AC13,C12="Nee")),"Ja","")</f>
        <v/>
      </c>
      <c r="D13" s="1">
        <f t="shared" si="3"/>
        <v>0</v>
      </c>
      <c r="E13" s="1">
        <f>IF(H13=Data!$B$4,ABS(E12)+1,-ABS(E12))</f>
        <v>0</v>
      </c>
      <c r="F13" s="1">
        <f t="shared" si="1"/>
        <v>0</v>
      </c>
      <c r="G13" s="1">
        <f t="shared" si="2"/>
        <v>10</v>
      </c>
      <c r="H13" s="17" t="s">
        <v>27</v>
      </c>
      <c r="I13" s="43" t="s">
        <v>76</v>
      </c>
      <c r="K13" s="1">
        <v>30</v>
      </c>
      <c r="L13" s="1">
        <v>30000</v>
      </c>
      <c r="M13" s="4">
        <v>-0.99</v>
      </c>
      <c r="O13" s="58">
        <v>50</v>
      </c>
      <c r="P13" s="58">
        <v>1000</v>
      </c>
      <c r="Q13" s="1">
        <v>1.4999999999999999E-2</v>
      </c>
      <c r="R13" s="1">
        <v>0.5</v>
      </c>
      <c r="S13" s="2" t="s">
        <v>60</v>
      </c>
      <c r="T13" s="1">
        <v>10000</v>
      </c>
      <c r="U13" s="1">
        <v>50000</v>
      </c>
      <c r="X13" s="1">
        <v>1000</v>
      </c>
      <c r="Y13" s="1">
        <v>30000</v>
      </c>
      <c r="AD13" s="1">
        <v>0.2</v>
      </c>
      <c r="AE13" s="1">
        <v>1</v>
      </c>
      <c r="AH13" t="s">
        <v>136</v>
      </c>
      <c r="AI13" t="str">
        <f>VLOOKUP(AH13,Links!$A$1:$B$16,2,FALSE)</f>
        <v>https://iplo.nl/thema/lucht/milieubelastende-activiteiten-lucht/technieken-beperking-luchtemissie/gaswasser/</v>
      </c>
    </row>
    <row r="14" spans="1:42" x14ac:dyDescent="0.15">
      <c r="B14" s="1">
        <f>IF(ISNONTEXT(VLOOKUP(H14,H$4:H13,1,FALSE)),ABS(B13)+1,-ABS(B13))</f>
        <v>10</v>
      </c>
      <c r="C14" s="1" t="str">
        <f>IF(AND(OR(Data!$B$4="Overig",ISNUMBER(FIND("Emissie",'KE-berekening'!$C$13))),I14&lt;&gt;"",OR(T13&lt;&gt;T14,U13&lt;&gt;U14,V13&lt;&gt;V14,W13&lt;&gt;W14,X13&lt;&gt;X14,Y13&lt;&gt;Y14,Z13&lt;&gt;Z14,AA13&lt;&gt;AA14,AB13&lt;&gt;AB14,AC13&lt;&gt;AC14,C13="Nee")),"Ja","")</f>
        <v/>
      </c>
      <c r="D14" s="1">
        <f t="shared" si="3"/>
        <v>0</v>
      </c>
      <c r="E14" s="1">
        <f>IF(H14=Data!$B$4,ABS(E13)+1,-ABS(E13))</f>
        <v>0</v>
      </c>
      <c r="F14" s="1">
        <f t="shared" si="1"/>
        <v>0</v>
      </c>
      <c r="G14" s="1">
        <f t="shared" si="2"/>
        <v>11</v>
      </c>
      <c r="H14" s="17" t="s">
        <v>50</v>
      </c>
      <c r="I14" s="43" t="s">
        <v>76</v>
      </c>
      <c r="K14" s="1">
        <v>30</v>
      </c>
      <c r="L14" s="1">
        <v>30000</v>
      </c>
      <c r="O14" s="58"/>
      <c r="P14" s="58"/>
      <c r="Q14" s="1">
        <v>0.4</v>
      </c>
      <c r="R14" s="1">
        <v>150</v>
      </c>
      <c r="S14" s="2" t="s">
        <v>60</v>
      </c>
      <c r="T14" s="1">
        <v>10000</v>
      </c>
      <c r="U14" s="1">
        <v>50000</v>
      </c>
      <c r="X14" s="1">
        <v>1000</v>
      </c>
      <c r="Y14" s="1">
        <v>30000</v>
      </c>
      <c r="AD14" s="1">
        <v>0.2</v>
      </c>
      <c r="AE14" s="1">
        <v>1</v>
      </c>
      <c r="AH14" t="s">
        <v>136</v>
      </c>
      <c r="AI14" t="str">
        <f>VLOOKUP(AH14,Links!$A$1:$B$16,2,FALSE)</f>
        <v>https://iplo.nl/thema/lucht/milieubelastende-activiteiten-lucht/technieken-beperking-luchtemissie/gaswasser/</v>
      </c>
    </row>
    <row r="15" spans="1:42" x14ac:dyDescent="0.15">
      <c r="B15" s="1">
        <f>IF(ISNONTEXT(VLOOKUP(H15,H$4:H14,1,FALSE)),ABS(B14)+1,-ABS(B14))</f>
        <v>11</v>
      </c>
      <c r="C15" s="1" t="str">
        <f>IF(AND(OR(Data!$B$4="Overig",ISNUMBER(FIND("Emissie",'KE-berekening'!$C$13))),I15&lt;&gt;"",OR(T14&lt;&gt;T15,U14&lt;&gt;U15,V14&lt;&gt;V15,W14&lt;&gt;W15,X14&lt;&gt;X15,Y14&lt;&gt;Y15,Z14&lt;&gt;Z15,AA14&lt;&gt;AA15,AB14&lt;&gt;AB15,AC14&lt;&gt;AC15,C14="Nee")),"Ja","")</f>
        <v/>
      </c>
      <c r="D15" s="1">
        <f t="shared" si="3"/>
        <v>0</v>
      </c>
      <c r="E15" s="1">
        <f>IF(H15=Data!$B$4,ABS(E14)+1,-ABS(E14))</f>
        <v>0</v>
      </c>
      <c r="F15" s="1">
        <f t="shared" si="1"/>
        <v>0</v>
      </c>
      <c r="G15" s="1">
        <f t="shared" si="2"/>
        <v>12</v>
      </c>
      <c r="H15" s="17" t="s">
        <v>7</v>
      </c>
      <c r="I15" s="43" t="s">
        <v>76</v>
      </c>
      <c r="K15" s="1">
        <v>30</v>
      </c>
      <c r="L15" s="1">
        <v>30000</v>
      </c>
      <c r="O15" s="58"/>
      <c r="P15" s="58"/>
      <c r="Q15" s="1">
        <v>1</v>
      </c>
      <c r="R15" s="1">
        <v>66</v>
      </c>
      <c r="S15" s="2" t="s">
        <v>60</v>
      </c>
      <c r="T15" s="1">
        <v>10000</v>
      </c>
      <c r="U15" s="1">
        <v>50000</v>
      </c>
      <c r="X15" s="1">
        <v>1000</v>
      </c>
      <c r="Y15" s="1">
        <v>30000</v>
      </c>
      <c r="AD15" s="1">
        <v>0.2</v>
      </c>
      <c r="AE15" s="1">
        <v>1</v>
      </c>
      <c r="AH15" t="s">
        <v>136</v>
      </c>
      <c r="AI15" t="str">
        <f>VLOOKUP(AH15,Links!$A$1:$B$16,2,FALSE)</f>
        <v>https://iplo.nl/thema/lucht/milieubelastende-activiteiten-lucht/technieken-beperking-luchtemissie/gaswasser/</v>
      </c>
    </row>
    <row r="16" spans="1:42" x14ac:dyDescent="0.15">
      <c r="B16" s="1">
        <f>IF(ISNONTEXT(VLOOKUP(H16,H$4:H15,1,FALSE)),ABS(B15)+1,-ABS(B15))</f>
        <v>12</v>
      </c>
      <c r="C16" s="1" t="str">
        <f>IF(AND(OR(Data!$B$4="Overig",ISNUMBER(FIND("Emissie",'KE-berekening'!$C$13))),I16&lt;&gt;"",OR(T15&lt;&gt;T16,U15&lt;&gt;U16,V15&lt;&gt;V16,W15&lt;&gt;W16,X15&lt;&gt;X16,Y15&lt;&gt;Y16,Z15&lt;&gt;Z16,AA15&lt;&gt;AA16,AB15&lt;&gt;AB16,AC15&lt;&gt;AC16,C15="Nee")),"Ja","")</f>
        <v/>
      </c>
      <c r="D16" s="1">
        <f t="shared" si="3"/>
        <v>0</v>
      </c>
      <c r="E16" s="1">
        <f>IF(H16=Data!$B$4,ABS(E15)+1,-ABS(E15))</f>
        <v>0</v>
      </c>
      <c r="F16" s="1">
        <f t="shared" si="1"/>
        <v>0</v>
      </c>
      <c r="G16" s="1">
        <f t="shared" si="2"/>
        <v>13</v>
      </c>
      <c r="H16" s="17" t="s">
        <v>23</v>
      </c>
      <c r="I16" s="43" t="s">
        <v>76</v>
      </c>
      <c r="K16" s="1">
        <v>30</v>
      </c>
      <c r="L16" s="1">
        <v>30000</v>
      </c>
      <c r="M16" s="4">
        <v>0.85</v>
      </c>
      <c r="N16" s="4">
        <v>0.99</v>
      </c>
      <c r="O16" s="58">
        <v>100</v>
      </c>
      <c r="P16" s="58">
        <v>10000</v>
      </c>
      <c r="Q16" s="1">
        <v>0.1</v>
      </c>
      <c r="R16" s="1">
        <v>20</v>
      </c>
      <c r="S16" s="2" t="s">
        <v>60</v>
      </c>
      <c r="T16" s="1">
        <v>10000</v>
      </c>
      <c r="U16" s="1">
        <v>50000</v>
      </c>
      <c r="X16" s="1">
        <v>1000</v>
      </c>
      <c r="Y16" s="1">
        <v>30000</v>
      </c>
      <c r="AD16" s="1">
        <v>0.2</v>
      </c>
      <c r="AE16" s="1">
        <v>1</v>
      </c>
      <c r="AH16" t="s">
        <v>136</v>
      </c>
      <c r="AI16" t="str">
        <f>VLOOKUP(AH16,Links!$A$1:$B$16,2,FALSE)</f>
        <v>https://iplo.nl/thema/lucht/milieubelastende-activiteiten-lucht/technieken-beperking-luchtemissie/gaswasser/</v>
      </c>
    </row>
    <row r="17" spans="2:35" x14ac:dyDescent="0.15">
      <c r="B17" s="1">
        <f>IF(ISNONTEXT(VLOOKUP(H17,H$4:H16,1,FALSE)),ABS(B16)+1,-ABS(B16))</f>
        <v>-12</v>
      </c>
      <c r="C17" s="1" t="str">
        <f>IF(AND(OR(Data!$B$4="Overig",ISNUMBER(FIND("Emissie",'KE-berekening'!$C$13))),I17&lt;&gt;"",OR(T16&lt;&gt;T17,U16&lt;&gt;U17,V16&lt;&gt;V17,W16&lt;&gt;W17,X16&lt;&gt;X17,Y16&lt;&gt;Y17,Z16&lt;&gt;Z17,AA16&lt;&gt;AA17,AB16&lt;&gt;AB17,AC16&lt;&gt;AC17,C16="Nee")),"Ja","")</f>
        <v/>
      </c>
      <c r="D17" s="1">
        <f t="shared" si="3"/>
        <v>0</v>
      </c>
      <c r="E17" s="1">
        <f>IF(H17=Data!$B$4,ABS(E16)+1,-ABS(E16))</f>
        <v>0</v>
      </c>
      <c r="F17" s="1">
        <f t="shared" si="1"/>
        <v>0</v>
      </c>
      <c r="G17" s="1">
        <f t="shared" si="2"/>
        <v>14</v>
      </c>
      <c r="H17" s="17" t="s">
        <v>49</v>
      </c>
      <c r="I17" s="43" t="s">
        <v>77</v>
      </c>
      <c r="J17" s="17" t="s">
        <v>54</v>
      </c>
      <c r="K17" s="1">
        <v>30</v>
      </c>
      <c r="L17" s="1">
        <v>30000</v>
      </c>
      <c r="M17" s="4">
        <v>0.8</v>
      </c>
      <c r="N17" s="4">
        <v>0.9</v>
      </c>
      <c r="O17" s="58"/>
      <c r="P17" s="58"/>
      <c r="S17" s="2" t="s">
        <v>60</v>
      </c>
      <c r="T17" s="1">
        <v>10000</v>
      </c>
      <c r="U17" s="1">
        <v>50000</v>
      </c>
      <c r="X17" s="1">
        <v>1000</v>
      </c>
      <c r="Y17" s="1">
        <v>30000</v>
      </c>
      <c r="AD17" s="1">
        <v>0.2</v>
      </c>
      <c r="AE17" s="1">
        <v>1</v>
      </c>
      <c r="AH17" t="s">
        <v>136</v>
      </c>
      <c r="AI17" t="str">
        <f>VLOOKUP(AH17,Links!$A$1:$B$16,2,FALSE)</f>
        <v>https://iplo.nl/thema/lucht/milieubelastende-activiteiten-lucht/technieken-beperking-luchtemissie/gaswasser/</v>
      </c>
    </row>
    <row r="18" spans="2:35" x14ac:dyDescent="0.15">
      <c r="B18" s="1">
        <f>IF(ISNONTEXT(VLOOKUP(H18,H$4:H17,1,FALSE)),ABS(B17)+1,-ABS(B17))</f>
        <v>-12</v>
      </c>
      <c r="C18" s="1" t="str">
        <f>IF(AND(OR(Data!$B$4="Overig",ISNUMBER(FIND("Emissie",'KE-berekening'!$C$13))),I18&lt;&gt;"",OR(T17&lt;&gt;T18,U17&lt;&gt;U18,V17&lt;&gt;V18,W17&lt;&gt;W18,X17&lt;&gt;X18,Y17&lt;&gt;Y18,Z17&lt;&gt;Z18,AA17&lt;&gt;AA18,AB17&lt;&gt;AB18,AC17&lt;&gt;AC18,C17="Nee")),"Ja","")</f>
        <v/>
      </c>
      <c r="D18" s="1">
        <f t="shared" si="3"/>
        <v>0</v>
      </c>
      <c r="E18" s="1">
        <f>IF(H18=Data!$B$4,ABS(E17)+1,-ABS(E17))</f>
        <v>0</v>
      </c>
      <c r="F18" s="1">
        <f t="shared" si="1"/>
        <v>0</v>
      </c>
      <c r="G18" s="1">
        <f t="shared" si="2"/>
        <v>15</v>
      </c>
      <c r="H18" s="17" t="s">
        <v>52</v>
      </c>
      <c r="I18" s="43" t="s">
        <v>90</v>
      </c>
      <c r="K18" s="1">
        <v>100</v>
      </c>
      <c r="L18" s="1">
        <v>200000</v>
      </c>
      <c r="M18" s="4">
        <v>0.75</v>
      </c>
      <c r="N18" s="4">
        <v>0.95</v>
      </c>
      <c r="O18" s="58">
        <v>200</v>
      </c>
      <c r="P18" s="58">
        <v>2000</v>
      </c>
      <c r="Q18" s="1">
        <v>5</v>
      </c>
      <c r="R18" s="1">
        <v>50</v>
      </c>
      <c r="S18" s="1" t="s">
        <v>60</v>
      </c>
      <c r="T18" s="1">
        <v>8000</v>
      </c>
      <c r="U18" s="1">
        <v>14000</v>
      </c>
      <c r="X18" s="1">
        <v>10000</v>
      </c>
      <c r="Y18" s="1">
        <v>20000</v>
      </c>
      <c r="AD18" s="1">
        <v>0</v>
      </c>
      <c r="AE18" s="1">
        <v>1</v>
      </c>
      <c r="AH18" t="s">
        <v>130</v>
      </c>
      <c r="AI18" t="str">
        <f>VLOOKUP(AH18,Links!$A$1:$B$16,2,FALSE)</f>
        <v>https://iplo.nl/thema/lucht/milieubelastende-activiteiten-lucht/technieken-beperking-luchtemissie/biofilter/</v>
      </c>
    </row>
    <row r="19" spans="2:35" x14ac:dyDescent="0.15">
      <c r="B19" s="1">
        <f>IF(ISNONTEXT(VLOOKUP(H19,H$4:H18,1,FALSE)),ABS(B18)+1,-ABS(B18))</f>
        <v>-12</v>
      </c>
      <c r="C19" s="1" t="str">
        <f>IF(AND(OR(Data!$B$4="Overig",ISNUMBER(FIND("Emissie",'KE-berekening'!$C$13))),I19&lt;&gt;"",OR(T18&lt;&gt;T19,U18&lt;&gt;U19,V18&lt;&gt;V19,W18&lt;&gt;W19,X18&lt;&gt;X19,Y18&lt;&gt;Y19,Z18&lt;&gt;Z19,AA18&lt;&gt;AA19,AB18&lt;&gt;AB19,AC18&lt;&gt;AC19,C18="Nee")),"Ja","")</f>
        <v/>
      </c>
      <c r="D19" s="1">
        <f t="shared" si="3"/>
        <v>0</v>
      </c>
      <c r="E19" s="1">
        <f>IF(H19=Data!$B$4,ABS(E18)+1,-ABS(E18))</f>
        <v>0</v>
      </c>
      <c r="F19" s="1">
        <f t="shared" si="1"/>
        <v>0</v>
      </c>
      <c r="G19" s="1">
        <f t="shared" si="2"/>
        <v>16</v>
      </c>
      <c r="H19" s="17" t="s">
        <v>49</v>
      </c>
      <c r="I19" s="43" t="s">
        <v>90</v>
      </c>
      <c r="K19" s="1">
        <v>100</v>
      </c>
      <c r="L19" s="1">
        <v>200000</v>
      </c>
      <c r="M19" s="4">
        <v>0.7</v>
      </c>
      <c r="N19" s="4">
        <v>0.99</v>
      </c>
      <c r="O19" s="58">
        <v>20000</v>
      </c>
      <c r="P19" s="58">
        <v>200000</v>
      </c>
      <c r="Q19" s="1">
        <v>200</v>
      </c>
      <c r="R19" s="1">
        <v>2500</v>
      </c>
      <c r="S19" s="1" t="s">
        <v>109</v>
      </c>
      <c r="T19" s="1">
        <v>8000</v>
      </c>
      <c r="U19" s="1">
        <v>14000</v>
      </c>
      <c r="X19" s="1">
        <v>10000</v>
      </c>
      <c r="Y19" s="1">
        <v>20000</v>
      </c>
      <c r="AD19" s="1">
        <v>0</v>
      </c>
      <c r="AE19" s="1">
        <v>1</v>
      </c>
      <c r="AH19" t="s">
        <v>130</v>
      </c>
      <c r="AI19" t="str">
        <f>VLOOKUP(AH19,Links!$A$1:$B$16,2,FALSE)</f>
        <v>https://iplo.nl/thema/lucht/milieubelastende-activiteiten-lucht/technieken-beperking-luchtemissie/biofilter/</v>
      </c>
    </row>
    <row r="20" spans="2:35" x14ac:dyDescent="0.15">
      <c r="B20" s="1">
        <f>IF(ISNONTEXT(VLOOKUP(H20,H$4:H19,1,FALSE)),ABS(B19)+1,-ABS(B19))</f>
        <v>-12</v>
      </c>
      <c r="C20" s="1" t="str">
        <f>IF(AND(OR(Data!$B$4="Overig",ISNUMBER(FIND("Emissie",'KE-berekening'!$C$13))),I20&lt;&gt;"",OR(T19&lt;&gt;T20,U19&lt;&gt;U20,V19&lt;&gt;V20,W19&lt;&gt;W20,X19&lt;&gt;X20,Y19&lt;&gt;Y20,Z19&lt;&gt;Z20,AA19&lt;&gt;AA20,AB19&lt;&gt;AB20,AC19&lt;&gt;AC20,C19="Nee")),"Ja","")</f>
        <v/>
      </c>
      <c r="D20" s="1">
        <f t="shared" si="3"/>
        <v>0</v>
      </c>
      <c r="E20" s="1">
        <f>IF(H20=Data!$B$4,ABS(E19)+1,-ABS(E19))</f>
        <v>0</v>
      </c>
      <c r="F20" s="1">
        <f t="shared" si="1"/>
        <v>0</v>
      </c>
      <c r="G20" s="1">
        <f t="shared" si="2"/>
        <v>17</v>
      </c>
      <c r="H20" s="17" t="s">
        <v>49</v>
      </c>
      <c r="I20" s="43" t="s">
        <v>91</v>
      </c>
      <c r="J20" s="17" t="s">
        <v>93</v>
      </c>
      <c r="K20" s="1">
        <v>30</v>
      </c>
      <c r="L20" s="1">
        <v>30000</v>
      </c>
      <c r="M20" s="4">
        <v>0.7</v>
      </c>
      <c r="N20" s="4">
        <v>0.85</v>
      </c>
      <c r="O20" s="58">
        <v>-10000</v>
      </c>
      <c r="P20" s="58"/>
      <c r="Q20" s="1">
        <v>100</v>
      </c>
      <c r="R20" s="1">
        <v>150</v>
      </c>
      <c r="S20" s="1" t="s">
        <v>109</v>
      </c>
      <c r="T20" s="1">
        <v>7500</v>
      </c>
      <c r="U20" s="1">
        <v>25000</v>
      </c>
      <c r="X20" s="1">
        <v>1000</v>
      </c>
      <c r="Y20" s="1">
        <v>2000</v>
      </c>
      <c r="AD20" s="1">
        <v>0.2</v>
      </c>
      <c r="AE20" s="1">
        <v>0.5</v>
      </c>
      <c r="AH20" t="s">
        <v>131</v>
      </c>
      <c r="AI20" t="str">
        <f>VLOOKUP(AH20,Links!$A$1:$B$16,2,FALSE)</f>
        <v>https://iplo.nl/thema/lucht/milieubelastende-activiteiten-lucht/technieken-beperking-luchtemissie/biologische-wasser/</v>
      </c>
    </row>
    <row r="21" spans="2:35" x14ac:dyDescent="0.15">
      <c r="B21" s="1">
        <f>IF(ISNONTEXT(VLOOKUP(H21,H$4:H20,1,FALSE)),ABS(B20)+1,-ABS(B20))</f>
        <v>13</v>
      </c>
      <c r="C21" s="1" t="str">
        <f>IF(AND(OR(Data!$B$4="Overig",ISNUMBER(FIND("Emissie",'KE-berekening'!$C$13))),I21&lt;&gt;"",OR(T20&lt;&gt;T21,U20&lt;&gt;U21,V20&lt;&gt;V21,W20&lt;&gt;W21,X20&lt;&gt;X21,Y20&lt;&gt;Y21,Z20&lt;&gt;Z21,AA20&lt;&gt;AA21,AB20&lt;&gt;AB21,AC20&lt;&gt;AC21,C20="Nee")),"Ja","")</f>
        <v/>
      </c>
      <c r="D21" s="1">
        <f t="shared" si="3"/>
        <v>0</v>
      </c>
      <c r="E21" s="1">
        <f>IF(H21=Data!$B$4,ABS(E20)+1,-ABS(E20))</f>
        <v>0</v>
      </c>
      <c r="F21" s="1">
        <f t="shared" si="1"/>
        <v>0</v>
      </c>
      <c r="G21" s="1">
        <f t="shared" si="2"/>
        <v>18</v>
      </c>
      <c r="H21" s="17" t="s">
        <v>41</v>
      </c>
      <c r="I21" s="43" t="s">
        <v>91</v>
      </c>
      <c r="J21" s="17" t="s">
        <v>93</v>
      </c>
      <c r="K21" s="1">
        <v>30</v>
      </c>
      <c r="L21" s="1">
        <v>30000</v>
      </c>
      <c r="M21" s="4">
        <v>-0.99</v>
      </c>
      <c r="O21" s="58">
        <v>50</v>
      </c>
      <c r="P21" s="58">
        <v>200</v>
      </c>
      <c r="Q21" s="1">
        <v>-1</v>
      </c>
      <c r="R21" s="1">
        <v>3</v>
      </c>
      <c r="S21" s="1" t="s">
        <v>60</v>
      </c>
      <c r="T21" s="1">
        <v>7500</v>
      </c>
      <c r="U21" s="1">
        <v>25000</v>
      </c>
      <c r="X21" s="1">
        <v>1000</v>
      </c>
      <c r="Y21" s="1">
        <v>2000</v>
      </c>
      <c r="AD21" s="1">
        <v>0.2</v>
      </c>
      <c r="AE21" s="1">
        <v>0.5</v>
      </c>
      <c r="AH21" t="s">
        <v>131</v>
      </c>
      <c r="AI21" t="str">
        <f>VLOOKUP(AH21,Links!$A$1:$B$16,2,FALSE)</f>
        <v>https://iplo.nl/thema/lucht/milieubelastende-activiteiten-lucht/technieken-beperking-luchtemissie/biologische-wasser/</v>
      </c>
    </row>
    <row r="22" spans="2:35" x14ac:dyDescent="0.15">
      <c r="B22" s="1">
        <f>IF(ISNONTEXT(VLOOKUP(H22,H$4:H21,1,FALSE)),ABS(B21)+1,-ABS(B21))</f>
        <v>-13</v>
      </c>
      <c r="C22" s="1" t="str">
        <f>IF(AND(OR(Data!$B$4="Overig",ISNUMBER(FIND("Emissie",'KE-berekening'!$C$13))),I22&lt;&gt;"",OR(T21&lt;&gt;T22,U21&lt;&gt;U22,V21&lt;&gt;V22,W21&lt;&gt;W22,X21&lt;&gt;X22,Y21&lt;&gt;Y22,Z21&lt;&gt;Z22,AA21&lt;&gt;AA22,AB21&lt;&gt;AB22,AC21&lt;&gt;AC22,C21="Nee")),"Ja","")</f>
        <v/>
      </c>
      <c r="D22" s="1">
        <f t="shared" si="3"/>
        <v>0</v>
      </c>
      <c r="E22" s="1">
        <f>IF(H22=Data!$B$4,ABS(E21)+1,-ABS(E21))</f>
        <v>0</v>
      </c>
      <c r="F22" s="1">
        <f t="shared" si="1"/>
        <v>0</v>
      </c>
      <c r="G22" s="1">
        <f t="shared" si="2"/>
        <v>19</v>
      </c>
      <c r="H22" s="17" t="s">
        <v>51</v>
      </c>
      <c r="I22" s="43" t="s">
        <v>91</v>
      </c>
      <c r="J22" s="17" t="s">
        <v>93</v>
      </c>
      <c r="K22" s="1">
        <v>30</v>
      </c>
      <c r="L22" s="1">
        <v>30000</v>
      </c>
      <c r="M22" s="4">
        <v>0.9</v>
      </c>
      <c r="N22" s="4">
        <v>0.95</v>
      </c>
      <c r="O22" s="58"/>
      <c r="P22" s="58"/>
      <c r="R22" s="1">
        <v>-15</v>
      </c>
      <c r="S22" s="1" t="s">
        <v>60</v>
      </c>
      <c r="T22" s="1">
        <v>7500</v>
      </c>
      <c r="U22" s="1">
        <v>25000</v>
      </c>
      <c r="X22" s="1">
        <v>1000</v>
      </c>
      <c r="Y22" s="1">
        <v>2000</v>
      </c>
      <c r="AD22" s="1">
        <v>0.2</v>
      </c>
      <c r="AE22" s="1">
        <v>0.5</v>
      </c>
      <c r="AH22" t="s">
        <v>131</v>
      </c>
      <c r="AI22" t="str">
        <f>VLOOKUP(AH22,Links!$A$1:$B$16,2,FALSE)</f>
        <v>https://iplo.nl/thema/lucht/milieubelastende-activiteiten-lucht/technieken-beperking-luchtemissie/biologische-wasser/</v>
      </c>
    </row>
    <row r="23" spans="2:35" x14ac:dyDescent="0.15">
      <c r="B23" s="1">
        <f>IF(ISNONTEXT(VLOOKUP(H23,H$4:H22,1,FALSE)),ABS(B22)+1,-ABS(B22))</f>
        <v>-13</v>
      </c>
      <c r="C23" s="1" t="str">
        <f>IF(AND(OR(Data!$B$4="Overig",ISNUMBER(FIND("Emissie",'KE-berekening'!$C$13))),I23&lt;&gt;"",OR(T22&lt;&gt;T23,U22&lt;&gt;U23,V22&lt;&gt;V23,W22&lt;&gt;W23,X22&lt;&gt;X23,Y22&lt;&gt;Y23,Z22&lt;&gt;Z23,AA22&lt;&gt;AA23,AB22&lt;&gt;AB23,AC22&lt;&gt;AC23,C22="Nee")),"Ja","")</f>
        <v/>
      </c>
      <c r="D23" s="1">
        <f t="shared" si="3"/>
        <v>0</v>
      </c>
      <c r="E23" s="1">
        <f>IF(H23=Data!$B$4,ABS(E22)+1,-ABS(E22))</f>
        <v>0</v>
      </c>
      <c r="F23" s="1">
        <f t="shared" si="1"/>
        <v>0</v>
      </c>
      <c r="G23" s="1">
        <f t="shared" si="2"/>
        <v>20</v>
      </c>
      <c r="H23" s="17" t="s">
        <v>52</v>
      </c>
      <c r="I23" s="43" t="s">
        <v>91</v>
      </c>
      <c r="J23" s="17" t="s">
        <v>93</v>
      </c>
      <c r="K23" s="1">
        <v>30</v>
      </c>
      <c r="L23" s="1">
        <v>30000</v>
      </c>
      <c r="M23" s="4">
        <v>0.8</v>
      </c>
      <c r="N23" s="4">
        <v>0.99</v>
      </c>
      <c r="O23" s="58">
        <v>100</v>
      </c>
      <c r="P23" s="58">
        <v>1000</v>
      </c>
      <c r="Q23" s="1">
        <v>-20</v>
      </c>
      <c r="R23" s="1">
        <v>40</v>
      </c>
      <c r="S23" s="1" t="s">
        <v>60</v>
      </c>
      <c r="T23" s="1">
        <v>7500</v>
      </c>
      <c r="U23" s="1">
        <v>25000</v>
      </c>
      <c r="X23" s="1">
        <v>1000</v>
      </c>
      <c r="Y23" s="1">
        <v>2000</v>
      </c>
      <c r="AD23" s="1">
        <v>0.2</v>
      </c>
      <c r="AE23" s="1">
        <v>0.5</v>
      </c>
      <c r="AH23" t="s">
        <v>131</v>
      </c>
      <c r="AI23" t="str">
        <f>VLOOKUP(AH23,Links!$A$1:$B$16,2,FALSE)</f>
        <v>https://iplo.nl/thema/lucht/milieubelastende-activiteiten-lucht/technieken-beperking-luchtemissie/biologische-wasser/</v>
      </c>
    </row>
    <row r="24" spans="2:35" x14ac:dyDescent="0.15">
      <c r="B24" s="1">
        <f>IF(ISNONTEXT(VLOOKUP(H24,H$4:H23,1,FALSE)),ABS(B23)+1,-ABS(B23))</f>
        <v>-13</v>
      </c>
      <c r="C24" s="1" t="str">
        <f>IF(AND(OR(Data!$B$4="Overig",ISNUMBER(FIND("Emissie",'KE-berekening'!$C$13))),I24&lt;&gt;"",OR(T23&lt;&gt;T24,U23&lt;&gt;U24,V23&lt;&gt;V24,W23&lt;&gt;W24,X23&lt;&gt;X24,Y23&lt;&gt;Y24,Z23&lt;&gt;Z24,AA23&lt;&gt;AA24,AB23&lt;&gt;AB24,AC23&lt;&gt;AC24,C23="Nee")),"Ja","")</f>
        <v/>
      </c>
      <c r="D24" s="1">
        <f t="shared" si="3"/>
        <v>0</v>
      </c>
      <c r="E24" s="1">
        <f>IF(H24=Data!$B$4,ABS(E23)+1,-ABS(E23))</f>
        <v>0</v>
      </c>
      <c r="F24" s="1">
        <f t="shared" si="1"/>
        <v>0</v>
      </c>
      <c r="G24" s="1">
        <f t="shared" si="2"/>
        <v>21</v>
      </c>
      <c r="H24" s="17" t="s">
        <v>52</v>
      </c>
      <c r="I24" s="43" t="s">
        <v>94</v>
      </c>
      <c r="K24" s="1">
        <v>1000</v>
      </c>
      <c r="L24" s="1">
        <v>500000</v>
      </c>
      <c r="M24" s="4">
        <v>0.7</v>
      </c>
      <c r="N24" s="4">
        <v>0.99</v>
      </c>
      <c r="O24" s="58">
        <v>400</v>
      </c>
      <c r="P24" s="58">
        <v>4000</v>
      </c>
      <c r="Q24" s="1">
        <v>40</v>
      </c>
      <c r="S24" s="1" t="s">
        <v>60</v>
      </c>
      <c r="T24" s="1">
        <v>10000</v>
      </c>
      <c r="U24" s="1">
        <v>30000</v>
      </c>
      <c r="AD24" s="1">
        <v>0.5</v>
      </c>
      <c r="AE24" s="1">
        <v>1</v>
      </c>
      <c r="AH24" t="s">
        <v>132</v>
      </c>
      <c r="AI24" t="str">
        <f>VLOOKUP(AH24,Links!$A$1:$B$16,2,FALSE)</f>
        <v>https://iplo.nl/thema/lucht/milieubelastende-activiteiten-lucht/technieken-beperking-luchtemissie/biotricklingfilter/</v>
      </c>
    </row>
    <row r="25" spans="2:35" x14ac:dyDescent="0.15">
      <c r="B25" s="1">
        <f>IF(ISNONTEXT(VLOOKUP(H25,H$4:H24,1,FALSE)),ABS(B24)+1,-ABS(B24))</f>
        <v>-13</v>
      </c>
      <c r="C25" s="1" t="str">
        <f>IF(AND(OR(Data!$B$4="Overig",ISNUMBER(FIND("Emissie",'KE-berekening'!$C$13))),I25&lt;&gt;"",OR(T24&lt;&gt;T25,U24&lt;&gt;U25,V24&lt;&gt;V25,W24&lt;&gt;W25,X24&lt;&gt;X25,Y24&lt;&gt;Y25,Z24&lt;&gt;Z25,AA24&lt;&gt;AA25,AB24&lt;&gt;AB25,AC24&lt;&gt;AC25,C24="Nee")),"Ja","")</f>
        <v/>
      </c>
      <c r="D25" s="1">
        <f t="shared" si="3"/>
        <v>0</v>
      </c>
      <c r="E25" s="1">
        <f>IF(H25=Data!$B$4,ABS(E24)+1,-ABS(E24))</f>
        <v>0</v>
      </c>
      <c r="F25" s="1">
        <f t="shared" si="1"/>
        <v>0</v>
      </c>
      <c r="G25" s="1">
        <f t="shared" si="2"/>
        <v>22</v>
      </c>
      <c r="H25" s="17" t="s">
        <v>41</v>
      </c>
      <c r="I25" s="43" t="s">
        <v>94</v>
      </c>
      <c r="K25" s="1">
        <v>1000</v>
      </c>
      <c r="L25" s="1">
        <v>500000</v>
      </c>
      <c r="M25" s="4">
        <v>0.8</v>
      </c>
      <c r="N25" s="4">
        <v>0.995</v>
      </c>
      <c r="O25" s="58">
        <v>100</v>
      </c>
      <c r="P25" s="58">
        <v>400</v>
      </c>
      <c r="Q25" s="1">
        <v>20</v>
      </c>
      <c r="S25" s="1" t="s">
        <v>60</v>
      </c>
      <c r="T25" s="1">
        <v>10000</v>
      </c>
      <c r="U25" s="1">
        <v>30000</v>
      </c>
      <c r="AD25" s="1">
        <v>0.5</v>
      </c>
      <c r="AE25" s="1">
        <v>1</v>
      </c>
      <c r="AH25" t="s">
        <v>132</v>
      </c>
      <c r="AI25" t="str">
        <f>VLOOKUP(AH25,Links!$A$1:$B$16,2,FALSE)</f>
        <v>https://iplo.nl/thema/lucht/milieubelastende-activiteiten-lucht/technieken-beperking-luchtemissie/biotricklingfilter/</v>
      </c>
    </row>
    <row r="26" spans="2:35" x14ac:dyDescent="0.15">
      <c r="B26" s="1">
        <f>IF(ISNONTEXT(VLOOKUP(H26,H$4:H25,1,FALSE)),ABS(B25)+1,-ABS(B25))</f>
        <v>-13</v>
      </c>
      <c r="C26" s="1" t="str">
        <f>IF(AND(OR(Data!$B$4="Overig",ISNUMBER(FIND("Emissie",'KE-berekening'!$C$13))),I26&lt;&gt;"",OR(T25&lt;&gt;T26,U25&lt;&gt;U26,V25&lt;&gt;V26,W25&lt;&gt;W26,X25&lt;&gt;X26,Y25&lt;&gt;Y26,Z25&lt;&gt;Z26,AA25&lt;&gt;AA26,AB25&lt;&gt;AB26,AC25&lt;&gt;AC26,C25="Nee")),"Ja","")</f>
        <v/>
      </c>
      <c r="D26" s="1">
        <f t="shared" si="3"/>
        <v>0</v>
      </c>
      <c r="E26" s="1">
        <f>IF(H26=Data!$B$4,ABS(E25)+1,-ABS(E25))</f>
        <v>0</v>
      </c>
      <c r="F26" s="1">
        <f t="shared" si="1"/>
        <v>0</v>
      </c>
      <c r="G26" s="1">
        <f t="shared" si="2"/>
        <v>23</v>
      </c>
      <c r="H26" s="17" t="s">
        <v>49</v>
      </c>
      <c r="I26" s="43" t="s">
        <v>94</v>
      </c>
      <c r="K26" s="1">
        <v>1000</v>
      </c>
      <c r="L26" s="1">
        <v>500000</v>
      </c>
      <c r="M26" s="4">
        <v>0.7</v>
      </c>
      <c r="N26" s="4">
        <v>0.95</v>
      </c>
      <c r="O26" s="58">
        <v>-10000</v>
      </c>
      <c r="P26" s="58"/>
      <c r="Q26" s="1">
        <v>1500</v>
      </c>
      <c r="S26" s="1" t="s">
        <v>109</v>
      </c>
      <c r="T26" s="1">
        <v>10000</v>
      </c>
      <c r="U26" s="1">
        <v>30000</v>
      </c>
      <c r="AD26" s="1">
        <v>0.5</v>
      </c>
      <c r="AE26" s="1">
        <v>1</v>
      </c>
      <c r="AH26" t="s">
        <v>132</v>
      </c>
      <c r="AI26" t="str">
        <f>VLOOKUP(AH26,Links!$A$1:$B$16,2,FALSE)</f>
        <v>https://iplo.nl/thema/lucht/milieubelastende-activiteiten-lucht/technieken-beperking-luchtemissie/biotricklingfilter/</v>
      </c>
    </row>
    <row r="27" spans="2:35" x14ac:dyDescent="0.15">
      <c r="B27" s="1">
        <f>IF(ISNONTEXT(VLOOKUP(H27,H$4:H26,1,FALSE)),ABS(B26)+1,-ABS(B26))</f>
        <v>-13</v>
      </c>
      <c r="C27" s="1" t="str">
        <f>IF(AND(OR(Data!$B$4="Overig",ISNUMBER(FIND("Emissie",'KE-berekening'!$C$13))),I27&lt;&gt;"",OR(T26&lt;&gt;T27,U26&lt;&gt;U27,V26&lt;&gt;V27,W26&lt;&gt;W27,X26&lt;&gt;X27,Y26&lt;&gt;Y27,Z26&lt;&gt;Z27,AA26&lt;&gt;AA27,AB26&lt;&gt;AB27,AC26&lt;&gt;AC27,C26="Nee")),"Ja","")</f>
        <v/>
      </c>
      <c r="D27" s="1">
        <f t="shared" si="3"/>
        <v>0</v>
      </c>
      <c r="E27" s="1">
        <f>IF(H27=Data!$B$4,ABS(E26)+1,-ABS(E26))</f>
        <v>0</v>
      </c>
      <c r="F27" s="1">
        <f t="shared" si="1"/>
        <v>0</v>
      </c>
      <c r="G27" s="1">
        <f t="shared" si="2"/>
        <v>24</v>
      </c>
      <c r="H27" s="17" t="s">
        <v>51</v>
      </c>
      <c r="I27" s="43" t="s">
        <v>94</v>
      </c>
      <c r="K27" s="1">
        <v>1000</v>
      </c>
      <c r="L27" s="1">
        <v>500000</v>
      </c>
      <c r="M27" s="4">
        <v>0.8</v>
      </c>
      <c r="N27" s="4">
        <v>0.999</v>
      </c>
      <c r="O27" s="58">
        <v>5</v>
      </c>
      <c r="P27" s="58">
        <v>1000</v>
      </c>
      <c r="Q27" s="1">
        <v>0.1</v>
      </c>
      <c r="S27" s="1" t="s">
        <v>60</v>
      </c>
      <c r="T27" s="1">
        <v>10000</v>
      </c>
      <c r="U27" s="1">
        <v>30000</v>
      </c>
      <c r="AD27" s="1">
        <v>0.5</v>
      </c>
      <c r="AE27" s="1">
        <v>1</v>
      </c>
      <c r="AH27" t="s">
        <v>132</v>
      </c>
      <c r="AI27" t="str">
        <f>VLOOKUP(AH27,Links!$A$1:$B$16,2,FALSE)</f>
        <v>https://iplo.nl/thema/lucht/milieubelastende-activiteiten-lucht/technieken-beperking-luchtemissie/biotricklingfilter/</v>
      </c>
    </row>
    <row r="28" spans="2:35" x14ac:dyDescent="0.15">
      <c r="B28" s="1">
        <f>IF(ISNONTEXT(VLOOKUP(H28,H$4:H27,1,FALSE)),ABS(B27)+1,-ABS(B27))</f>
        <v>14</v>
      </c>
      <c r="C28" s="1" t="str">
        <f>IF(AND(OR(Data!$B$4="Overig",ISNUMBER(FIND("Emissie",'KE-berekening'!$C$13))),I28&lt;&gt;"",OR(T27&lt;&gt;T28,U27&lt;&gt;U28,V27&lt;&gt;V28,W27&lt;&gt;W28,X27&lt;&gt;X28,Y27&lt;&gt;Y28,Z27&lt;&gt;Z28,AA27&lt;&gt;AA28,AB27&lt;&gt;AB28,AC27&lt;&gt;AC28,C27="Nee")),"Ja","")</f>
        <v/>
      </c>
      <c r="D28" s="1">
        <f t="shared" si="3"/>
        <v>0</v>
      </c>
      <c r="E28" s="1">
        <f>IF(H28=Data!$B$4,ABS(E27)+1,-ABS(E27))</f>
        <v>0</v>
      </c>
      <c r="F28" s="1">
        <f t="shared" si="1"/>
        <v>0</v>
      </c>
      <c r="G28" s="1">
        <f t="shared" si="2"/>
        <v>25</v>
      </c>
      <c r="H28" s="17" t="s">
        <v>95</v>
      </c>
      <c r="I28" s="43" t="s">
        <v>94</v>
      </c>
      <c r="K28" s="1">
        <v>1000</v>
      </c>
      <c r="L28" s="1">
        <v>500000</v>
      </c>
      <c r="M28" s="4">
        <v>0.7</v>
      </c>
      <c r="N28" s="4">
        <v>0.95</v>
      </c>
      <c r="O28" s="58"/>
      <c r="P28" s="58"/>
      <c r="Q28" s="1">
        <v>5</v>
      </c>
      <c r="S28" s="1" t="s">
        <v>60</v>
      </c>
      <c r="T28" s="1">
        <v>10000</v>
      </c>
      <c r="U28" s="1">
        <v>30000</v>
      </c>
      <c r="AD28" s="1">
        <v>0.5</v>
      </c>
      <c r="AE28" s="1">
        <v>1</v>
      </c>
      <c r="AH28" t="s">
        <v>132</v>
      </c>
      <c r="AI28" t="str">
        <f>VLOOKUP(AH28,Links!$A$1:$B$16,2,FALSE)</f>
        <v>https://iplo.nl/thema/lucht/milieubelastende-activiteiten-lucht/technieken-beperking-luchtemissie/biotricklingfilter/</v>
      </c>
    </row>
    <row r="29" spans="2:35" x14ac:dyDescent="0.15">
      <c r="B29" s="1">
        <f>IF(ISNONTEXT(VLOOKUP(H29,H$4:H28,1,FALSE)),ABS(B28)+1,-ABS(B28))</f>
        <v>15</v>
      </c>
      <c r="C29" s="1" t="str">
        <f>IF(AND(OR(Data!$B$4="Overig",ISNUMBER(FIND("Emissie",'KE-berekening'!$C$13))),I29&lt;&gt;"",OR(T28&lt;&gt;T29,U28&lt;&gt;U29,V28&lt;&gt;V29,W28&lt;&gt;W29,X28&lt;&gt;X29,Y28&lt;&gt;Y29,Z28&lt;&gt;Z29,AA28&lt;&gt;AA29,AB28&lt;&gt;AB29,AC28&lt;&gt;AC29,C28="Nee")),"Ja","")</f>
        <v/>
      </c>
      <c r="D29" s="1">
        <f t="shared" si="3"/>
        <v>0</v>
      </c>
      <c r="E29" s="1">
        <f>IF(H29=Data!$B$4,ABS(E28)+1,-ABS(E28))</f>
        <v>0</v>
      </c>
      <c r="F29" s="1">
        <f t="shared" si="1"/>
        <v>0</v>
      </c>
      <c r="G29" s="1">
        <f t="shared" si="2"/>
        <v>26</v>
      </c>
      <c r="H29" s="17" t="s">
        <v>96</v>
      </c>
      <c r="I29" s="43" t="s">
        <v>94</v>
      </c>
      <c r="K29" s="1">
        <v>1000</v>
      </c>
      <c r="L29" s="1">
        <v>500000</v>
      </c>
      <c r="M29" s="4">
        <v>0.98</v>
      </c>
      <c r="N29" s="4">
        <v>0.99</v>
      </c>
      <c r="O29" s="58"/>
      <c r="P29" s="58"/>
      <c r="Q29" s="1">
        <v>1</v>
      </c>
      <c r="S29" s="1" t="s">
        <v>60</v>
      </c>
      <c r="T29" s="1">
        <v>10000</v>
      </c>
      <c r="U29" s="1">
        <v>30000</v>
      </c>
      <c r="AD29" s="1">
        <v>0.5</v>
      </c>
      <c r="AE29" s="1">
        <v>1</v>
      </c>
      <c r="AH29" t="s">
        <v>132</v>
      </c>
      <c r="AI29" t="str">
        <f>VLOOKUP(AH29,Links!$A$1:$B$16,2,FALSE)</f>
        <v>https://iplo.nl/thema/lucht/milieubelastende-activiteiten-lucht/technieken-beperking-luchtemissie/biotricklingfilter/</v>
      </c>
    </row>
    <row r="30" spans="2:35" x14ac:dyDescent="0.15">
      <c r="B30" s="1">
        <f>IF(ISNONTEXT(VLOOKUP(H30,H$4:H29,1,FALSE)),ABS(B29)+1,-ABS(B29))</f>
        <v>-15</v>
      </c>
      <c r="C30" s="1" t="str">
        <f>IF(AND(OR(Data!$B$4="Overig",ISNUMBER(FIND("Emissie",'KE-berekening'!$C$13))),I30&lt;&gt;"",OR(T29&lt;&gt;T30,U29&lt;&gt;U30,V29&lt;&gt;V30,W29&lt;&gt;W30,X29&lt;&gt;X30,Y29&lt;&gt;Y30,Z29&lt;&gt;Z30,AA29&lt;&gt;AA30,AB29&lt;&gt;AB30,AC29&lt;&gt;AC30,C29="Nee")),"Ja","")</f>
        <v/>
      </c>
      <c r="D30" s="1">
        <f t="shared" si="3"/>
        <v>0</v>
      </c>
      <c r="E30" s="1">
        <f>IF(H30=Data!$B$4,ABS(E29)+1,-ABS(E29))</f>
        <v>0</v>
      </c>
      <c r="F30" s="1">
        <f t="shared" si="1"/>
        <v>0</v>
      </c>
      <c r="G30" s="1">
        <f t="shared" si="2"/>
        <v>27</v>
      </c>
      <c r="H30" s="17" t="s">
        <v>52</v>
      </c>
      <c r="I30" s="43" t="s">
        <v>101</v>
      </c>
      <c r="J30" s="17" t="s">
        <v>149</v>
      </c>
      <c r="K30" s="1">
        <v>100</v>
      </c>
      <c r="L30" s="1">
        <v>100000</v>
      </c>
      <c r="M30" s="4">
        <v>-0.8</v>
      </c>
      <c r="O30" s="58"/>
      <c r="P30" s="58"/>
      <c r="Q30" s="1">
        <v>30</v>
      </c>
      <c r="R30" s="1">
        <v>5000</v>
      </c>
      <c r="S30" s="1" t="s">
        <v>60</v>
      </c>
      <c r="T30" s="1">
        <v>7500</v>
      </c>
      <c r="U30" s="1">
        <v>15000</v>
      </c>
      <c r="AD30" s="1">
        <v>70</v>
      </c>
      <c r="AE30" s="1">
        <v>70</v>
      </c>
      <c r="AH30" t="s">
        <v>133</v>
      </c>
      <c r="AI30" t="str">
        <f>VLOOKUP(AH30,Links!$A$1:$B$16,2,FALSE)</f>
        <v>https://iplo.nl/thema/lucht/milieubelastende-activiteiten-lucht/technieken-beperking-luchtemissie/condensor/</v>
      </c>
    </row>
    <row r="31" spans="2:35" x14ac:dyDescent="0.15">
      <c r="B31" s="1">
        <f>IF(ISNONTEXT(VLOOKUP(H31,H$4:H30,1,FALSE)),ABS(B30)+1,-ABS(B30))</f>
        <v>-15</v>
      </c>
      <c r="C31" s="1" t="str">
        <f>IF(AND(OR(Data!$B$4="Overig",ISNUMBER(FIND("Emissie",'KE-berekening'!$C$13))),I31&lt;&gt;"",OR(T30&lt;&gt;T31,U30&lt;&gt;U31,V30&lt;&gt;V31,W30&lt;&gt;W31,X30&lt;&gt;X31,Y30&lt;&gt;Y31,Z30&lt;&gt;Z31,AA30&lt;&gt;AA31,AB30&lt;&gt;AB31,AC30&lt;&gt;AC31,C30="Nee")),"Ja","")</f>
        <v/>
      </c>
      <c r="D31" s="1">
        <f t="shared" si="3"/>
        <v>0</v>
      </c>
      <c r="E31" s="1">
        <f>IF(H31=Data!$B$4,ABS(E30)+1,-ABS(E30))</f>
        <v>0</v>
      </c>
      <c r="F31" s="1">
        <f t="shared" si="1"/>
        <v>0</v>
      </c>
      <c r="G31" s="1">
        <f t="shared" si="2"/>
        <v>28</v>
      </c>
      <c r="H31" s="17" t="s">
        <v>49</v>
      </c>
      <c r="I31" s="43" t="s">
        <v>101</v>
      </c>
      <c r="J31" s="17" t="str">
        <f>J30</f>
        <v>Bij cryocondensatie is het maximale debiet 250-5000 Nm3/uur. Bij gebruik van stikstof geldt een investeringsbedrag van €400000.</v>
      </c>
      <c r="K31" s="1">
        <v>100</v>
      </c>
      <c r="L31" s="1">
        <v>100000</v>
      </c>
      <c r="M31" s="4">
        <v>0.6</v>
      </c>
      <c r="N31" s="4">
        <v>0.9</v>
      </c>
      <c r="O31" s="58"/>
      <c r="P31" s="58"/>
      <c r="S31" s="1" t="s">
        <v>92</v>
      </c>
      <c r="T31" s="1">
        <f>T30</f>
        <v>7500</v>
      </c>
      <c r="U31" s="1">
        <f>U30</f>
        <v>15000</v>
      </c>
      <c r="AD31" s="1">
        <v>70</v>
      </c>
      <c r="AE31" s="1">
        <v>70</v>
      </c>
      <c r="AH31" t="s">
        <v>133</v>
      </c>
      <c r="AI31" t="str">
        <f>VLOOKUP(AH31,Links!$A$1:$B$16,2,FALSE)</f>
        <v>https://iplo.nl/thema/lucht/milieubelastende-activiteiten-lucht/technieken-beperking-luchtemissie/condensor/</v>
      </c>
    </row>
    <row r="32" spans="2:35" x14ac:dyDescent="0.15">
      <c r="B32" s="1">
        <f>IF(ISNONTEXT(VLOOKUP(H32,H$4:H31,1,FALSE)),ABS(B31)+1,-ABS(B31))</f>
        <v>16</v>
      </c>
      <c r="C32" s="1" t="str">
        <f>IF(AND(OR(Data!$B$4="Overig",ISNUMBER(FIND("Emissie",'KE-berekening'!$C$13))),I32&lt;&gt;"",OR(T31&lt;&gt;T32,U31&lt;&gt;U32,V31&lt;&gt;V32,W31&lt;&gt;W32,X31&lt;&gt;X32,Y31&lt;&gt;Y32,Z31&lt;&gt;Z32,AA31&lt;&gt;AA32,AB31&lt;&gt;AB32,AC31&lt;&gt;AC32,C31="Nee")),"Ja","")</f>
        <v/>
      </c>
      <c r="D32" s="1">
        <f t="shared" si="3"/>
        <v>0</v>
      </c>
      <c r="E32" s="1">
        <f>IF(H32=Data!$B$4,ABS(E31)+1,-ABS(E31))</f>
        <v>1</v>
      </c>
      <c r="F32" s="1">
        <f t="shared" si="1"/>
        <v>1</v>
      </c>
      <c r="G32" s="1">
        <f t="shared" si="2"/>
        <v>29</v>
      </c>
      <c r="H32" s="15" t="s">
        <v>18</v>
      </c>
      <c r="I32" s="44" t="s">
        <v>11</v>
      </c>
      <c r="J32" s="15"/>
      <c r="K32" s="13">
        <v>1000</v>
      </c>
      <c r="L32" s="13">
        <v>95000</v>
      </c>
      <c r="M32" s="4">
        <v>0.9</v>
      </c>
      <c r="N32" s="4">
        <v>0.99</v>
      </c>
      <c r="O32" s="58">
        <v>-1000</v>
      </c>
      <c r="P32" s="58"/>
      <c r="Q32" s="1">
        <v>0.3</v>
      </c>
      <c r="R32" s="1">
        <v>9</v>
      </c>
      <c r="S32" s="2" t="s">
        <v>60</v>
      </c>
      <c r="T32" s="1">
        <v>500</v>
      </c>
      <c r="U32" s="1">
        <v>1500</v>
      </c>
      <c r="AD32" s="1">
        <v>0.25</v>
      </c>
      <c r="AE32" s="1">
        <v>1.5</v>
      </c>
      <c r="AH32" t="s">
        <v>134</v>
      </c>
      <c r="AI32" t="str">
        <f>VLOOKUP(AH32,Links!$A$1:$B$16,2,FALSE)</f>
        <v>https://iplo.nl/thema/lucht/milieubelastende-activiteiten-lucht/technieken-beperking-luchtemissie/cycloon/</v>
      </c>
    </row>
    <row r="33" spans="1:35" s="66" customFormat="1" x14ac:dyDescent="0.15">
      <c r="A33" s="32"/>
      <c r="B33" s="32">
        <f>IF(ISNONTEXT(VLOOKUP(H33,H$4:H32,1,FALSE)),ABS(B32)+1,-ABS(B32))</f>
        <v>17</v>
      </c>
      <c r="C33" s="1" t="str">
        <f>IF(AND(OR(Data!$B$4="Overig",ISNUMBER(FIND("Emissie",'KE-berekening'!$C$13))),I33&lt;&gt;"",OR(T32&lt;&gt;T33,U32&lt;&gt;U33,V32&lt;&gt;V33,W32&lt;&gt;W33,X32&lt;&gt;X33,Y32&lt;&gt;Y33,Z32&lt;&gt;Z33,AA32&lt;&gt;AA33,AB32&lt;&gt;AB33,AC32&lt;&gt;AC33,C32="Nee")),"Ja","")</f>
        <v/>
      </c>
      <c r="D33" s="32">
        <f t="shared" si="3"/>
        <v>0</v>
      </c>
      <c r="E33" s="32">
        <f>IF(H33=Data!$B$4,ABS(E32)+1,-ABS(E32))</f>
        <v>-1</v>
      </c>
      <c r="F33" s="32">
        <f t="shared" si="1"/>
        <v>-1</v>
      </c>
      <c r="G33" s="32">
        <f t="shared" si="2"/>
        <v>30</v>
      </c>
      <c r="H33" s="43" t="s">
        <v>25</v>
      </c>
      <c r="I33" s="43" t="s">
        <v>32</v>
      </c>
      <c r="J33" s="43" t="s">
        <v>103</v>
      </c>
      <c r="K33" s="32">
        <v>10000</v>
      </c>
      <c r="L33" s="32">
        <v>300000</v>
      </c>
      <c r="M33" s="63">
        <v>0.9</v>
      </c>
      <c r="N33" s="63">
        <v>0.95</v>
      </c>
      <c r="O33" s="64"/>
      <c r="P33" s="64">
        <v>-10000</v>
      </c>
      <c r="Q33" s="32"/>
      <c r="R33" s="32">
        <v>-5</v>
      </c>
      <c r="S33" s="65" t="s">
        <v>60</v>
      </c>
      <c r="T33" s="32">
        <v>10000</v>
      </c>
      <c r="U33" s="32">
        <v>30000</v>
      </c>
      <c r="V33" s="32">
        <v>2500</v>
      </c>
      <c r="W33" s="32">
        <v>2500</v>
      </c>
      <c r="X33" s="32">
        <v>300</v>
      </c>
      <c r="Y33" s="32">
        <v>300</v>
      </c>
      <c r="Z33" s="32"/>
      <c r="AA33" s="32"/>
      <c r="AB33" s="32"/>
      <c r="AC33" s="32"/>
      <c r="AD33" s="32">
        <v>1</v>
      </c>
      <c r="AE33" s="32">
        <v>1</v>
      </c>
      <c r="AF33" s="32"/>
      <c r="AG33" s="32"/>
      <c r="AH33" s="66" t="s">
        <v>150</v>
      </c>
      <c r="AI33" s="66" t="str">
        <f>VLOOKUP(AH33,Links!$A$1:$B$16,2,FALSE)</f>
        <v>https://iplo.nl/thema/lucht/milieubelastende-activiteiten-lucht/technieken-beperking-luchtemissie/filter-kalkinjectie/</v>
      </c>
    </row>
    <row r="34" spans="1:35" s="66" customFormat="1" x14ac:dyDescent="0.15">
      <c r="A34" s="32"/>
      <c r="B34" s="32">
        <f>IF(ISNONTEXT(VLOOKUP(H34,H$4:H33,1,FALSE)),ABS(B33)+1,-ABS(B33))</f>
        <v>-17</v>
      </c>
      <c r="C34" s="1" t="str">
        <f>IF(AND(OR(Data!$B$4="Overig",ISNUMBER(FIND("Emissie",'KE-berekening'!$C$13))),I34&lt;&gt;"",OR(T33&lt;&gt;T34,U33&lt;&gt;U34,V33&lt;&gt;V34,W33&lt;&gt;W34,X33&lt;&gt;X34,Y33&lt;&gt;Y34,Z33&lt;&gt;Z34,AA33&lt;&gt;AA34,AB33&lt;&gt;AB34,AC33&lt;&gt;AC34,C33="Nee")),"Ja","")</f>
        <v/>
      </c>
      <c r="D34" s="32">
        <f t="shared" si="3"/>
        <v>0</v>
      </c>
      <c r="E34" s="32">
        <f>IF(H34=Data!$B$4,ABS(E33)+1,-ABS(E33))</f>
        <v>-1</v>
      </c>
      <c r="F34" s="32">
        <f t="shared" si="1"/>
        <v>-1</v>
      </c>
      <c r="G34" s="32">
        <f t="shared" si="2"/>
        <v>31</v>
      </c>
      <c r="H34" s="43" t="s">
        <v>23</v>
      </c>
      <c r="I34" s="43" t="s">
        <v>33</v>
      </c>
      <c r="J34" s="43" t="s">
        <v>103</v>
      </c>
      <c r="K34" s="32">
        <v>10000</v>
      </c>
      <c r="L34" s="32">
        <v>300000</v>
      </c>
      <c r="M34" s="63">
        <v>0.75</v>
      </c>
      <c r="N34" s="63">
        <v>0.98</v>
      </c>
      <c r="O34" s="64"/>
      <c r="P34" s="64"/>
      <c r="Q34" s="32"/>
      <c r="R34" s="32"/>
      <c r="S34" s="65" t="s">
        <v>60</v>
      </c>
      <c r="T34" s="32">
        <v>10000</v>
      </c>
      <c r="U34" s="32">
        <v>30000</v>
      </c>
      <c r="V34" s="32">
        <v>2500</v>
      </c>
      <c r="W34" s="32">
        <v>2500</v>
      </c>
      <c r="X34" s="32">
        <v>300</v>
      </c>
      <c r="Y34" s="32">
        <v>300</v>
      </c>
      <c r="Z34" s="32"/>
      <c r="AA34" s="32"/>
      <c r="AB34" s="32"/>
      <c r="AC34" s="32"/>
      <c r="AD34" s="32">
        <v>1</v>
      </c>
      <c r="AE34" s="32">
        <v>1</v>
      </c>
      <c r="AF34" s="32"/>
      <c r="AG34" s="32"/>
      <c r="AH34" s="66" t="s">
        <v>150</v>
      </c>
      <c r="AI34" s="66" t="str">
        <f>VLOOKUP(AH34,Links!$A$1:$B$16,2,FALSE)</f>
        <v>https://iplo.nl/thema/lucht/milieubelastende-activiteiten-lucht/technieken-beperking-luchtemissie/filter-kalkinjectie/</v>
      </c>
    </row>
    <row r="35" spans="1:35" s="66" customFormat="1" x14ac:dyDescent="0.15">
      <c r="A35" s="32"/>
      <c r="B35" s="32">
        <f>IF(ISNONTEXT(VLOOKUP(H35,H$4:H34,1,FALSE)),ABS(B34)+1,-ABS(B34))</f>
        <v>-17</v>
      </c>
      <c r="C35" s="1" t="str">
        <f>IF(AND(OR(Data!$B$4="Overig",ISNUMBER(FIND("Emissie",'KE-berekening'!$C$13))),I35&lt;&gt;"",OR(T34&lt;&gt;T35,U34&lt;&gt;U35,V34&lt;&gt;V35,W34&lt;&gt;W35,X34&lt;&gt;X35,Y34&lt;&gt;Y35,Z34&lt;&gt;Z35,AA34&lt;&gt;AA35,AB34&lt;&gt;AB35,AC34&lt;&gt;AC35,C34="Nee")),"Ja","")</f>
        <v/>
      </c>
      <c r="D35" s="32">
        <f t="shared" si="3"/>
        <v>0</v>
      </c>
      <c r="E35" s="32">
        <f>IF(H35=Data!$B$4,ABS(E34)+1,-ABS(E34))</f>
        <v>-1</v>
      </c>
      <c r="F35" s="32">
        <f t="shared" si="1"/>
        <v>-1</v>
      </c>
      <c r="G35" s="32">
        <f t="shared" si="2"/>
        <v>32</v>
      </c>
      <c r="H35" s="43" t="s">
        <v>26</v>
      </c>
      <c r="I35" s="43" t="s">
        <v>33</v>
      </c>
      <c r="J35" s="43" t="s">
        <v>103</v>
      </c>
      <c r="K35" s="32">
        <v>10000</v>
      </c>
      <c r="L35" s="32">
        <v>300000</v>
      </c>
      <c r="M35" s="63">
        <v>0.75</v>
      </c>
      <c r="N35" s="63">
        <v>0.98</v>
      </c>
      <c r="O35" s="64"/>
      <c r="P35" s="64"/>
      <c r="Q35" s="32">
        <v>-2</v>
      </c>
      <c r="R35" s="32">
        <v>10</v>
      </c>
      <c r="S35" s="65" t="s">
        <v>60</v>
      </c>
      <c r="T35" s="32">
        <v>10000</v>
      </c>
      <c r="U35" s="32">
        <v>30000</v>
      </c>
      <c r="V35" s="32">
        <v>2500</v>
      </c>
      <c r="W35" s="32">
        <v>2500</v>
      </c>
      <c r="X35" s="32">
        <v>300</v>
      </c>
      <c r="Y35" s="32">
        <v>300</v>
      </c>
      <c r="Z35" s="32"/>
      <c r="AA35" s="32"/>
      <c r="AB35" s="32"/>
      <c r="AC35" s="32"/>
      <c r="AD35" s="32">
        <v>1</v>
      </c>
      <c r="AE35" s="32">
        <v>1</v>
      </c>
      <c r="AF35" s="32"/>
      <c r="AG35" s="32"/>
      <c r="AH35" s="66" t="s">
        <v>150</v>
      </c>
      <c r="AI35" s="66" t="str">
        <f>VLOOKUP(AH35,Links!$A$1:$B$16,2,FALSE)</f>
        <v>https://iplo.nl/thema/lucht/milieubelastende-activiteiten-lucht/technieken-beperking-luchtemissie/filter-kalkinjectie/</v>
      </c>
    </row>
    <row r="36" spans="1:35" s="66" customFormat="1" x14ac:dyDescent="0.15">
      <c r="A36" s="32"/>
      <c r="B36" s="32">
        <f>IF(ISNONTEXT(VLOOKUP(H36,H$4:H35,1,FALSE)),ABS(B35)+1,-ABS(B35))</f>
        <v>-17</v>
      </c>
      <c r="C36" s="1" t="str">
        <f>IF(AND(OR(Data!$B$4="Overig",ISNUMBER(FIND("Emissie",'KE-berekening'!$C$13))),I36&lt;&gt;"",OR(T35&lt;&gt;T36,U35&lt;&gt;U36,V35&lt;&gt;V36,W35&lt;&gt;W36,X35&lt;&gt;X36,Y35&lt;&gt;Y36,Z35&lt;&gt;Z36,AA35&lt;&gt;AA36,AB35&lt;&gt;AB36,AC35&lt;&gt;AC36,C35="Nee")),"Ja","")</f>
        <v/>
      </c>
      <c r="D36" s="32">
        <f t="shared" si="3"/>
        <v>0</v>
      </c>
      <c r="E36" s="32">
        <f>IF(H36=Data!$B$4,ABS(E35)+1,-ABS(E35))</f>
        <v>-1</v>
      </c>
      <c r="F36" s="32">
        <f t="shared" si="1"/>
        <v>-1</v>
      </c>
      <c r="G36" s="32">
        <f t="shared" si="2"/>
        <v>33</v>
      </c>
      <c r="H36" s="43" t="s">
        <v>27</v>
      </c>
      <c r="I36" s="43" t="s">
        <v>33</v>
      </c>
      <c r="J36" s="43" t="s">
        <v>103</v>
      </c>
      <c r="K36" s="32">
        <v>10000</v>
      </c>
      <c r="L36" s="32">
        <v>300000</v>
      </c>
      <c r="M36" s="63">
        <v>0.75</v>
      </c>
      <c r="N36" s="63">
        <v>0.98</v>
      </c>
      <c r="O36" s="64"/>
      <c r="P36" s="64"/>
      <c r="Q36" s="32"/>
      <c r="R36" s="32">
        <v>-1</v>
      </c>
      <c r="S36" s="65" t="s">
        <v>60</v>
      </c>
      <c r="T36" s="32">
        <v>10000</v>
      </c>
      <c r="U36" s="32">
        <v>30000</v>
      </c>
      <c r="V36" s="32">
        <v>2500</v>
      </c>
      <c r="W36" s="32">
        <v>2500</v>
      </c>
      <c r="X36" s="32">
        <v>300</v>
      </c>
      <c r="Y36" s="32">
        <v>300</v>
      </c>
      <c r="Z36" s="32"/>
      <c r="AA36" s="32"/>
      <c r="AB36" s="32"/>
      <c r="AC36" s="32"/>
      <c r="AD36" s="32">
        <v>1</v>
      </c>
      <c r="AE36" s="32">
        <v>1</v>
      </c>
      <c r="AF36" s="32"/>
      <c r="AG36" s="32"/>
      <c r="AH36" s="66" t="s">
        <v>150</v>
      </c>
      <c r="AI36" s="66" t="str">
        <f>VLOOKUP(AH36,Links!$A$1:$B$16,2,FALSE)</f>
        <v>https://iplo.nl/thema/lucht/milieubelastende-activiteiten-lucht/technieken-beperking-luchtemissie/filter-kalkinjectie/</v>
      </c>
    </row>
    <row r="37" spans="1:35" s="66" customFormat="1" x14ac:dyDescent="0.15">
      <c r="A37" s="32"/>
      <c r="B37" s="32">
        <f>IF(ISNONTEXT(VLOOKUP(H37,H$4:H36,1,FALSE)),ABS(B36)+1,-ABS(B36))</f>
        <v>-17</v>
      </c>
      <c r="C37" s="1" t="str">
        <f>IF(AND(OR(Data!$B$4="Overig",ISNUMBER(FIND("Emissie",'KE-berekening'!$C$13))),I37&lt;&gt;"",OR(T36&lt;&gt;T37,U36&lt;&gt;U37,V36&lt;&gt;V37,W36&lt;&gt;W37,X36&lt;&gt;X37,Y36&lt;&gt;Y37,Z36&lt;&gt;Z37,AA36&lt;&gt;AA37,AB36&lt;&gt;AB37,AC36&lt;&gt;AC37,C36="Nee")),"Ja","")</f>
        <v/>
      </c>
      <c r="D37" s="32">
        <f t="shared" si="3"/>
        <v>0</v>
      </c>
      <c r="E37" s="32">
        <f>IF(H37=Data!$B$4,ABS(E36)+1,-ABS(E36))</f>
        <v>-1</v>
      </c>
      <c r="F37" s="32">
        <f t="shared" si="1"/>
        <v>-1</v>
      </c>
      <c r="G37" s="32">
        <f t="shared" si="2"/>
        <v>34</v>
      </c>
      <c r="H37" s="43" t="s">
        <v>28</v>
      </c>
      <c r="I37" s="43" t="s">
        <v>36</v>
      </c>
      <c r="J37" s="43" t="s">
        <v>103</v>
      </c>
      <c r="K37" s="32">
        <v>10000</v>
      </c>
      <c r="L37" s="32">
        <v>300000</v>
      </c>
      <c r="M37" s="63">
        <v>-0.95</v>
      </c>
      <c r="N37" s="63"/>
      <c r="O37" s="64"/>
      <c r="P37" s="64"/>
      <c r="Q37" s="32"/>
      <c r="R37" s="32">
        <v>-0.05</v>
      </c>
      <c r="S37" s="65" t="s">
        <v>60</v>
      </c>
      <c r="T37" s="32">
        <v>10000</v>
      </c>
      <c r="U37" s="32">
        <v>30000</v>
      </c>
      <c r="V37" s="32">
        <v>2500</v>
      </c>
      <c r="W37" s="32">
        <v>2500</v>
      </c>
      <c r="X37" s="32">
        <v>300</v>
      </c>
      <c r="Y37" s="32">
        <v>300</v>
      </c>
      <c r="Z37" s="32"/>
      <c r="AA37" s="32"/>
      <c r="AB37" s="32"/>
      <c r="AC37" s="32"/>
      <c r="AD37" s="32">
        <v>1</v>
      </c>
      <c r="AE37" s="32">
        <v>1</v>
      </c>
      <c r="AF37" s="32"/>
      <c r="AG37" s="32"/>
      <c r="AH37" s="66" t="s">
        <v>150</v>
      </c>
      <c r="AI37" s="66" t="str">
        <f>VLOOKUP(AH37,Links!$A$1:$B$16,2,FALSE)</f>
        <v>https://iplo.nl/thema/lucht/milieubelastende-activiteiten-lucht/technieken-beperking-luchtemissie/filter-kalkinjectie/</v>
      </c>
    </row>
    <row r="38" spans="1:35" s="66" customFormat="1" x14ac:dyDescent="0.15">
      <c r="A38" s="32"/>
      <c r="B38" s="32">
        <f>IF(ISNONTEXT(VLOOKUP(H38,H$4:H37,1,FALSE)),ABS(B37)+1,-ABS(B37))</f>
        <v>-17</v>
      </c>
      <c r="C38" s="1" t="str">
        <f>IF(AND(OR(Data!$B$4="Overig",ISNUMBER(FIND("Emissie",'KE-berekening'!$C$13))),I38&lt;&gt;"",OR(T37&lt;&gt;T38,U37&lt;&gt;U38,V37&lt;&gt;V38,W37&lt;&gt;W38,X37&lt;&gt;X38,Y37&lt;&gt;Y38,Z37&lt;&gt;Z38,AA37&lt;&gt;AA38,AB37&lt;&gt;AB38,AC37&lt;&gt;AC38,C37="Nee")),"Ja","")</f>
        <v/>
      </c>
      <c r="D38" s="32">
        <f t="shared" si="3"/>
        <v>0</v>
      </c>
      <c r="E38" s="32">
        <f>IF(H38=Data!$B$4,ABS(E37)+1,-ABS(E37))</f>
        <v>-1</v>
      </c>
      <c r="F38" s="32">
        <f t="shared" si="1"/>
        <v>-1</v>
      </c>
      <c r="G38" s="32">
        <f t="shared" si="2"/>
        <v>35</v>
      </c>
      <c r="H38" s="43" t="s">
        <v>25</v>
      </c>
      <c r="I38" s="43" t="s">
        <v>34</v>
      </c>
      <c r="J38" s="43" t="s">
        <v>103</v>
      </c>
      <c r="K38" s="32">
        <v>10000</v>
      </c>
      <c r="L38" s="32">
        <v>300000</v>
      </c>
      <c r="M38" s="63">
        <v>0.1</v>
      </c>
      <c r="N38" s="63">
        <v>0.7</v>
      </c>
      <c r="O38" s="64"/>
      <c r="P38" s="64">
        <v>-10000</v>
      </c>
      <c r="Q38" s="32"/>
      <c r="R38" s="32">
        <v>-40</v>
      </c>
      <c r="S38" s="65" t="s">
        <v>60</v>
      </c>
      <c r="T38" s="32">
        <v>10000</v>
      </c>
      <c r="U38" s="32">
        <v>30000</v>
      </c>
      <c r="V38" s="32">
        <v>2500</v>
      </c>
      <c r="W38" s="32">
        <v>2500</v>
      </c>
      <c r="X38" s="32">
        <v>300</v>
      </c>
      <c r="Y38" s="32">
        <v>300</v>
      </c>
      <c r="Z38" s="32"/>
      <c r="AA38" s="32"/>
      <c r="AB38" s="32"/>
      <c r="AC38" s="32"/>
      <c r="AD38" s="32">
        <v>1</v>
      </c>
      <c r="AE38" s="32">
        <v>1</v>
      </c>
      <c r="AF38" s="32"/>
      <c r="AG38" s="32"/>
      <c r="AH38" s="66" t="s">
        <v>150</v>
      </c>
      <c r="AI38" s="66" t="str">
        <f>VLOOKUP(AH38,Links!$A$1:$B$16,2,FALSE)</f>
        <v>https://iplo.nl/thema/lucht/milieubelastende-activiteiten-lucht/technieken-beperking-luchtemissie/filter-kalkinjectie/</v>
      </c>
    </row>
    <row r="39" spans="1:35" x14ac:dyDescent="0.15">
      <c r="B39" s="1">
        <f>IF(ISNONTEXT(VLOOKUP(H39,H$4:H38,1,FALSE)),ABS(B38)+1,-ABS(B38))</f>
        <v>-17</v>
      </c>
      <c r="C39" s="1" t="str">
        <f>IF(AND(OR(Data!$B$4="Overig",ISNUMBER(FIND("Emissie",'KE-berekening'!$C$13))),I39&lt;&gt;"",OR(T38&lt;&gt;T39,U38&lt;&gt;U39,V38&lt;&gt;V39,W38&lt;&gt;W39,X38&lt;&gt;X39,Y38&lt;&gt;Y39,Z38&lt;&gt;Z39,AA38&lt;&gt;AA39,AB38&lt;&gt;AB39,AC38&lt;&gt;AC39,C38="Nee")),"Ja","")</f>
        <v/>
      </c>
      <c r="D39" s="1">
        <f t="shared" si="3"/>
        <v>0</v>
      </c>
      <c r="E39" s="1">
        <f>IF(H39=Data!$B$4,ABS(E38)+1,-ABS(E38))</f>
        <v>2</v>
      </c>
      <c r="F39" s="1">
        <f t="shared" si="1"/>
        <v>2</v>
      </c>
      <c r="G39" s="1">
        <f t="shared" si="2"/>
        <v>36</v>
      </c>
      <c r="H39" s="17" t="s">
        <v>18</v>
      </c>
      <c r="I39" s="43" t="s">
        <v>12</v>
      </c>
      <c r="J39" s="17" t="s">
        <v>151</v>
      </c>
      <c r="K39" s="1">
        <v>1800</v>
      </c>
      <c r="L39" s="1">
        <v>53000</v>
      </c>
      <c r="M39" s="4">
        <v>0.97</v>
      </c>
      <c r="N39" s="4">
        <v>0.99</v>
      </c>
      <c r="O39" s="58">
        <v>2000</v>
      </c>
      <c r="P39" s="58">
        <v>110000</v>
      </c>
      <c r="Q39" s="1">
        <v>0.2</v>
      </c>
      <c r="R39" s="1">
        <v>8.6999999999999993</v>
      </c>
      <c r="S39" s="2" t="s">
        <v>60</v>
      </c>
      <c r="T39" s="1">
        <v>20000</v>
      </c>
      <c r="U39" s="1">
        <v>60000</v>
      </c>
      <c r="X39" s="32"/>
      <c r="Y39" s="32"/>
      <c r="Z39" s="5">
        <v>0.1</v>
      </c>
      <c r="AA39" s="5">
        <v>1</v>
      </c>
      <c r="AD39" s="1">
        <v>0.2</v>
      </c>
      <c r="AE39" s="1">
        <v>2</v>
      </c>
      <c r="AH39" t="s">
        <v>135</v>
      </c>
      <c r="AI39" t="str">
        <f>VLOOKUP(AH39,Links!$A$1:$B$16,2,FALSE)</f>
        <v>https://iplo.nl/thema/lucht/milieubelastende-activiteiten-lucht/technieken-beperking-luchtemissie/elektrostatisch-filter/</v>
      </c>
    </row>
    <row r="40" spans="1:35" x14ac:dyDescent="0.15">
      <c r="B40" s="1">
        <f>IF(ISNONTEXT(VLOOKUP(H40,H$4:H39,1,FALSE)),ABS(B39)+1,-ABS(B39))</f>
        <v>18</v>
      </c>
      <c r="C40" s="1" t="str">
        <f>IF(AND(OR(Data!$B$4="Overig",ISNUMBER(FIND("Emissie",'KE-berekening'!$C$13))),I40&lt;&gt;"",OR(T39&lt;&gt;T40,U39&lt;&gt;U40,V39&lt;&gt;V40,W39&lt;&gt;W40,X39&lt;&gt;X40,Y39&lt;&gt;Y40,Z39&lt;&gt;Z40,AA39&lt;&gt;AA40,AB39&lt;&gt;AB40,AC39&lt;&gt;AC40,C39="Nee")),"Ja","")</f>
        <v/>
      </c>
      <c r="D40" s="1">
        <f t="shared" si="3"/>
        <v>0</v>
      </c>
      <c r="E40" s="1">
        <f>IF(H40=Data!$B$4,ABS(E39)+1,-ABS(E39))</f>
        <v>-2</v>
      </c>
      <c r="F40" s="1">
        <f t="shared" si="1"/>
        <v>-2</v>
      </c>
      <c r="G40" s="1">
        <f t="shared" si="2"/>
        <v>37</v>
      </c>
      <c r="H40" s="17" t="s">
        <v>19</v>
      </c>
      <c r="I40" s="43" t="s">
        <v>12</v>
      </c>
      <c r="J40" s="17" t="s">
        <v>151</v>
      </c>
      <c r="K40" s="1">
        <v>1800</v>
      </c>
      <c r="L40" s="1">
        <v>53000</v>
      </c>
      <c r="M40" s="4">
        <v>0.97</v>
      </c>
      <c r="N40" s="4">
        <v>0.99</v>
      </c>
      <c r="O40" s="58">
        <v>2000</v>
      </c>
      <c r="P40" s="58">
        <v>110000</v>
      </c>
      <c r="Q40" s="1">
        <v>0.2</v>
      </c>
      <c r="R40" s="1">
        <v>8.6999999999999993</v>
      </c>
      <c r="S40" s="2" t="s">
        <v>60</v>
      </c>
      <c r="T40" s="1">
        <v>20000</v>
      </c>
      <c r="U40" s="1">
        <v>60000</v>
      </c>
      <c r="X40" s="32"/>
      <c r="Y40" s="32"/>
      <c r="Z40" s="5">
        <v>0.1</v>
      </c>
      <c r="AA40" s="5">
        <v>1</v>
      </c>
      <c r="AD40" s="1">
        <v>0.2</v>
      </c>
      <c r="AE40" s="1">
        <v>2</v>
      </c>
      <c r="AH40" t="s">
        <v>135</v>
      </c>
      <c r="AI40" t="str">
        <f>VLOOKUP(AH40,Links!$A$1:$B$16,2,FALSE)</f>
        <v>https://iplo.nl/thema/lucht/milieubelastende-activiteiten-lucht/technieken-beperking-luchtemissie/elektrostatisch-filter/</v>
      </c>
    </row>
    <row r="41" spans="1:35" x14ac:dyDescent="0.15">
      <c r="B41" s="1">
        <f>IF(ISNONTEXT(VLOOKUP(H41,H$4:H40,1,FALSE)),ABS(B40)+1,-ABS(B40))</f>
        <v>19</v>
      </c>
      <c r="C41" s="1" t="str">
        <f>IF(AND(OR(Data!$B$4="Overig",ISNUMBER(FIND("Emissie",'KE-berekening'!$C$13))),I41&lt;&gt;"",OR(T40&lt;&gt;T41,U40&lt;&gt;U41,V40&lt;&gt;V41,W40&lt;&gt;W41,X40&lt;&gt;X41,Y40&lt;&gt;Y41,Z40&lt;&gt;Z41,AA40&lt;&gt;AA41,AB40&lt;&gt;AB41,AC40&lt;&gt;AC41,C40="Nee")),"Ja","")</f>
        <v/>
      </c>
      <c r="D41" s="1">
        <f t="shared" si="3"/>
        <v>0</v>
      </c>
      <c r="E41" s="1">
        <f>IF(H41=Data!$B$4,ABS(E40)+1,-ABS(E40))</f>
        <v>-2</v>
      </c>
      <c r="F41" s="1">
        <f t="shared" si="1"/>
        <v>-2</v>
      </c>
      <c r="G41" s="1">
        <f t="shared" si="2"/>
        <v>38</v>
      </c>
      <c r="H41" s="17" t="s">
        <v>39</v>
      </c>
      <c r="I41" s="43" t="s">
        <v>38</v>
      </c>
      <c r="J41" s="17" t="s">
        <v>53</v>
      </c>
      <c r="K41" s="1">
        <v>30</v>
      </c>
      <c r="L41" s="1">
        <v>30000</v>
      </c>
      <c r="M41" s="4">
        <v>0.3</v>
      </c>
      <c r="N41" s="4">
        <v>0.99</v>
      </c>
      <c r="O41" s="58">
        <v>200</v>
      </c>
      <c r="P41" s="58">
        <v>5000</v>
      </c>
      <c r="Q41" s="1">
        <v>-20</v>
      </c>
      <c r="R41" s="1">
        <v>40</v>
      </c>
      <c r="S41" s="2" t="s">
        <v>60</v>
      </c>
      <c r="T41" s="1">
        <v>7500</v>
      </c>
      <c r="U41" s="1">
        <v>25000</v>
      </c>
      <c r="X41" s="1">
        <v>1000</v>
      </c>
      <c r="Y41" s="1">
        <v>30000</v>
      </c>
      <c r="AD41" s="1">
        <v>0.2</v>
      </c>
      <c r="AE41" s="1">
        <v>1</v>
      </c>
      <c r="AH41" t="s">
        <v>136</v>
      </c>
      <c r="AI41" t="str">
        <f>VLOOKUP(AH41,Links!$A$1:$B$16,2,FALSE)</f>
        <v>https://iplo.nl/thema/lucht/milieubelastende-activiteiten-lucht/technieken-beperking-luchtemissie/gaswasser/</v>
      </c>
    </row>
    <row r="42" spans="1:35" x14ac:dyDescent="0.15">
      <c r="B42" s="1">
        <f>IF(ISNONTEXT(VLOOKUP(H42,H$4:H41,1,FALSE)),ABS(B41)+1,-ABS(B41))</f>
        <v>20</v>
      </c>
      <c r="C42" s="1" t="str">
        <f>IF(AND(OR(Data!$B$4="Overig",ISNUMBER(FIND("Emissie",'KE-berekening'!$C$13))),I42&lt;&gt;"",OR(T41&lt;&gt;T42,U41&lt;&gt;U42,V41&lt;&gt;V42,W41&lt;&gt;W42,X41&lt;&gt;X42,Y41&lt;&gt;Y42,Z41&lt;&gt;Z42,AA41&lt;&gt;AA42,AB41&lt;&gt;AB42,AC41&lt;&gt;AC42,C41="Nee")),"Ja","")</f>
        <v/>
      </c>
      <c r="D42" s="1">
        <f t="shared" si="3"/>
        <v>0</v>
      </c>
      <c r="E42" s="1">
        <f>IF(H42=Data!$B$4,ABS(E41)+1,-ABS(E41))</f>
        <v>-2</v>
      </c>
      <c r="F42" s="1">
        <f t="shared" si="1"/>
        <v>-2</v>
      </c>
      <c r="G42" s="1">
        <f t="shared" si="2"/>
        <v>39</v>
      </c>
      <c r="H42" s="17" t="s">
        <v>42</v>
      </c>
      <c r="I42" s="43" t="s">
        <v>38</v>
      </c>
      <c r="K42" s="1">
        <v>30</v>
      </c>
      <c r="L42" s="1">
        <v>30000</v>
      </c>
      <c r="O42" s="58"/>
      <c r="P42" s="58"/>
      <c r="Q42" s="1">
        <v>0.05</v>
      </c>
      <c r="R42" s="1">
        <v>2</v>
      </c>
      <c r="S42" s="2" t="s">
        <v>60</v>
      </c>
      <c r="T42" s="1">
        <v>7500</v>
      </c>
      <c r="U42" s="1">
        <v>25000</v>
      </c>
      <c r="X42" s="1">
        <v>1000</v>
      </c>
      <c r="Y42" s="1">
        <v>30000</v>
      </c>
      <c r="AD42" s="1">
        <v>0.2</v>
      </c>
      <c r="AE42" s="1">
        <v>1</v>
      </c>
      <c r="AH42" t="s">
        <v>136</v>
      </c>
      <c r="AI42" t="str">
        <f>VLOOKUP(AH42,Links!$A$1:$B$16,2,FALSE)</f>
        <v>https://iplo.nl/thema/lucht/milieubelastende-activiteiten-lucht/technieken-beperking-luchtemissie/gaswasser/</v>
      </c>
    </row>
    <row r="43" spans="1:35" x14ac:dyDescent="0.15">
      <c r="B43" s="1">
        <f>IF(ISNONTEXT(VLOOKUP(H43,H$4:H42,1,FALSE)),ABS(B42)+1,-ABS(B42))</f>
        <v>21</v>
      </c>
      <c r="C43" s="1" t="str">
        <f>IF(AND(OR(Data!$B$4="Overig",ISNUMBER(FIND("Emissie",'KE-berekening'!$C$13))),I43&lt;&gt;"",OR(T42&lt;&gt;T43,U42&lt;&gt;U43,V42&lt;&gt;V43,W42&lt;&gt;W43,X42&lt;&gt;X43,Y42&lt;&gt;Y43,Z42&lt;&gt;Z43,AA42&lt;&gt;AA43,AB42&lt;&gt;AB43,AC42&lt;&gt;AC43,C42="Nee")),"Ja","")</f>
        <v/>
      </c>
      <c r="D43" s="1">
        <f t="shared" si="3"/>
        <v>0</v>
      </c>
      <c r="E43" s="1">
        <f>IF(H43=Data!$B$4,ABS(E42)+1,-ABS(E42))</f>
        <v>-2</v>
      </c>
      <c r="F43" s="1">
        <f t="shared" si="1"/>
        <v>-2</v>
      </c>
      <c r="G43" s="1">
        <f t="shared" si="2"/>
        <v>40</v>
      </c>
      <c r="H43" s="17" t="s">
        <v>43</v>
      </c>
      <c r="I43" s="43" t="s">
        <v>38</v>
      </c>
      <c r="J43" s="17" t="s">
        <v>53</v>
      </c>
      <c r="K43" s="1">
        <v>30</v>
      </c>
      <c r="L43" s="1">
        <v>30000</v>
      </c>
      <c r="M43" s="4">
        <v>0.99</v>
      </c>
      <c r="O43" s="58"/>
      <c r="P43" s="58"/>
      <c r="R43" s="1">
        <v>-10</v>
      </c>
      <c r="S43" s="2" t="s">
        <v>60</v>
      </c>
      <c r="T43" s="1">
        <v>7500</v>
      </c>
      <c r="U43" s="1">
        <v>25000</v>
      </c>
      <c r="X43" s="1">
        <v>1000</v>
      </c>
      <c r="Y43" s="1">
        <v>30000</v>
      </c>
      <c r="AD43" s="1">
        <v>0.2</v>
      </c>
      <c r="AE43" s="1">
        <v>1</v>
      </c>
      <c r="AH43" t="s">
        <v>136</v>
      </c>
      <c r="AI43" t="str">
        <f>VLOOKUP(AH43,Links!$A$1:$B$16,2,FALSE)</f>
        <v>https://iplo.nl/thema/lucht/milieubelastende-activiteiten-lucht/technieken-beperking-luchtemissie/gaswasser/</v>
      </c>
    </row>
    <row r="44" spans="1:35" x14ac:dyDescent="0.15">
      <c r="B44" s="1">
        <f>IF(ISNONTEXT(VLOOKUP(H44,H$4:H43,1,FALSE)),ABS(B43)+1,-ABS(B43))</f>
        <v>22</v>
      </c>
      <c r="C44" s="1" t="str">
        <f>IF(AND(OR(Data!$B$4="Overig",ISNUMBER(FIND("Emissie",'KE-berekening'!$C$13))),I44&lt;&gt;"",OR(T43&lt;&gt;T44,U43&lt;&gt;U44,V43&lt;&gt;V44,W43&lt;&gt;W44,X43&lt;&gt;X44,Y43&lt;&gt;Y44,Z43&lt;&gt;Z44,AA43&lt;&gt;AA44,AB43&lt;&gt;AB44,AC43&lt;&gt;AC44,C43="Nee")),"Ja","")</f>
        <v/>
      </c>
      <c r="D44" s="1">
        <f t="shared" si="3"/>
        <v>0</v>
      </c>
      <c r="E44" s="1">
        <f>IF(H44=Data!$B$4,ABS(E43)+1,-ABS(E43))</f>
        <v>-2</v>
      </c>
      <c r="F44" s="1">
        <f t="shared" si="1"/>
        <v>-2</v>
      </c>
      <c r="G44" s="1">
        <f t="shared" si="2"/>
        <v>41</v>
      </c>
      <c r="H44" s="17" t="s">
        <v>46</v>
      </c>
      <c r="I44" s="43" t="s">
        <v>38</v>
      </c>
      <c r="K44" s="1">
        <v>30</v>
      </c>
      <c r="L44" s="1">
        <v>30000</v>
      </c>
      <c r="O44" s="58"/>
      <c r="P44" s="58"/>
      <c r="Q44" s="1">
        <v>0.1</v>
      </c>
      <c r="R44" s="1">
        <v>15</v>
      </c>
      <c r="S44" s="2" t="s">
        <v>60</v>
      </c>
      <c r="T44" s="1">
        <v>7500</v>
      </c>
      <c r="U44" s="1">
        <v>25000</v>
      </c>
      <c r="X44" s="1">
        <v>1000</v>
      </c>
      <c r="Y44" s="1">
        <v>30000</v>
      </c>
      <c r="AD44" s="1">
        <v>0.2</v>
      </c>
      <c r="AE44" s="1">
        <v>1</v>
      </c>
      <c r="AH44" t="s">
        <v>136</v>
      </c>
      <c r="AI44" t="str">
        <f>VLOOKUP(AH44,Links!$A$1:$B$16,2,FALSE)</f>
        <v>https://iplo.nl/thema/lucht/milieubelastende-activiteiten-lucht/technieken-beperking-luchtemissie/gaswasser/</v>
      </c>
    </row>
    <row r="45" spans="1:35" x14ac:dyDescent="0.15">
      <c r="B45" s="1">
        <f>IF(ISNONTEXT(VLOOKUP(H45,H$4:H44,1,FALSE)),ABS(B44)+1,-ABS(B44))</f>
        <v>-22</v>
      </c>
      <c r="C45" s="1" t="str">
        <f>IF(AND(OR(Data!$B$4="Overig",ISNUMBER(FIND("Emissie",'KE-berekening'!$C$13))),I45&lt;&gt;"",OR(T44&lt;&gt;T45,U44&lt;&gt;U45,V44&lt;&gt;V45,W44&lt;&gt;W45,X44&lt;&gt;X45,Y44&lt;&gt;Y45,Z44&lt;&gt;Z45,AA44&lt;&gt;AA45,AB44&lt;&gt;AB45,AC44&lt;&gt;AC45,C44="Nee")),"Ja","")</f>
        <v/>
      </c>
      <c r="D45" s="1">
        <f t="shared" si="3"/>
        <v>0</v>
      </c>
      <c r="E45" s="1">
        <f>IF(H45=Data!$B$4,ABS(E44)+1,-ABS(E44))</f>
        <v>-2</v>
      </c>
      <c r="F45" s="1">
        <f t="shared" si="1"/>
        <v>-2</v>
      </c>
      <c r="G45" s="1">
        <f t="shared" si="2"/>
        <v>42</v>
      </c>
      <c r="H45" s="17" t="s">
        <v>48</v>
      </c>
      <c r="I45" s="43" t="s">
        <v>38</v>
      </c>
      <c r="J45" s="17" t="s">
        <v>53</v>
      </c>
      <c r="K45" s="1">
        <v>30</v>
      </c>
      <c r="L45" s="1">
        <v>30000</v>
      </c>
      <c r="O45" s="58"/>
      <c r="P45" s="58"/>
      <c r="Q45" s="1">
        <v>0.04</v>
      </c>
      <c r="R45" s="1">
        <v>12</v>
      </c>
      <c r="S45" s="2" t="s">
        <v>60</v>
      </c>
      <c r="T45" s="1">
        <v>7500</v>
      </c>
      <c r="U45" s="1">
        <v>25000</v>
      </c>
      <c r="X45" s="1">
        <v>1000</v>
      </c>
      <c r="Y45" s="1">
        <v>30000</v>
      </c>
      <c r="AD45" s="1">
        <v>0.2</v>
      </c>
      <c r="AE45" s="1">
        <v>1</v>
      </c>
      <c r="AH45" t="s">
        <v>136</v>
      </c>
      <c r="AI45" t="str">
        <f>VLOOKUP(AH45,Links!$A$1:$B$16,2,FALSE)</f>
        <v>https://iplo.nl/thema/lucht/milieubelastende-activiteiten-lucht/technieken-beperking-luchtemissie/gaswasser/</v>
      </c>
    </row>
    <row r="46" spans="1:35" x14ac:dyDescent="0.15">
      <c r="B46" s="1">
        <f>IF(ISNONTEXT(VLOOKUP(H46,H$4:H45,1,FALSE)),ABS(B45)+1,-ABS(B45))</f>
        <v>-22</v>
      </c>
      <c r="C46" s="1" t="str">
        <f>IF(AND(OR(Data!$B$4="Overig",ISNUMBER(FIND("Emissie",'KE-berekening'!$C$13))),I46&lt;&gt;"",OR(T45&lt;&gt;T46,U45&lt;&gt;U46,V45&lt;&gt;V46,W45&lt;&gt;W46,X45&lt;&gt;X46,Y45&lt;&gt;Y46,Z45&lt;&gt;Z46,AA45&lt;&gt;AA46,AB45&lt;&gt;AB46,AC45&lt;&gt;AC46,C45="Nee")),"Ja","")</f>
        <v/>
      </c>
      <c r="D46" s="1">
        <f t="shared" si="3"/>
        <v>0</v>
      </c>
      <c r="E46" s="1">
        <f>IF(H46=Data!$B$4,ABS(E45)+1,-ABS(E45))</f>
        <v>-2</v>
      </c>
      <c r="F46" s="1">
        <f t="shared" si="1"/>
        <v>-2</v>
      </c>
      <c r="G46" s="1">
        <f t="shared" si="2"/>
        <v>43</v>
      </c>
      <c r="H46" s="17" t="s">
        <v>49</v>
      </c>
      <c r="I46" s="43" t="s">
        <v>38</v>
      </c>
      <c r="J46" s="17" t="s">
        <v>53</v>
      </c>
      <c r="K46" s="1">
        <v>30</v>
      </c>
      <c r="L46" s="1">
        <v>30000</v>
      </c>
      <c r="M46" s="4">
        <v>0.6</v>
      </c>
      <c r="N46" s="4">
        <v>0.85</v>
      </c>
      <c r="O46" s="58"/>
      <c r="P46" s="58"/>
      <c r="S46" s="2" t="s">
        <v>60</v>
      </c>
      <c r="T46" s="1">
        <v>7500</v>
      </c>
      <c r="U46" s="1">
        <v>25000</v>
      </c>
      <c r="X46" s="1">
        <v>1000</v>
      </c>
      <c r="Y46" s="1">
        <v>30000</v>
      </c>
      <c r="AD46" s="1">
        <v>0.2</v>
      </c>
      <c r="AE46" s="1">
        <v>1</v>
      </c>
      <c r="AH46" t="s">
        <v>136</v>
      </c>
      <c r="AI46" t="str">
        <f>VLOOKUP(AH46,Links!$A$1:$B$16,2,FALSE)</f>
        <v>https://iplo.nl/thema/lucht/milieubelastende-activiteiten-lucht/technieken-beperking-luchtemissie/gaswasser/</v>
      </c>
    </row>
    <row r="47" spans="1:35" x14ac:dyDescent="0.15">
      <c r="B47" s="1">
        <f>IF(ISNONTEXT(VLOOKUP(H47,H$4:H46,1,FALSE)),ABS(B46)+1,-ABS(B46))</f>
        <v>-22</v>
      </c>
      <c r="C47" s="1" t="str">
        <f>IF(AND(OR(Data!$B$4="Overig",ISNUMBER(FIND("Emissie",'KE-berekening'!$C$13))),I47&lt;&gt;"",OR(T46&lt;&gt;T47,U46&lt;&gt;U47,V46&lt;&gt;V47,W46&lt;&gt;W47,X46&lt;&gt;X47,Y46&lt;&gt;Y47,Z46&lt;&gt;Z47,AA46&lt;&gt;AA47,AB46&lt;&gt;AB47,AC46&lt;&gt;AC47,C46="Nee")),"Ja","")</f>
        <v/>
      </c>
      <c r="D47" s="1">
        <f t="shared" si="3"/>
        <v>0</v>
      </c>
      <c r="E47" s="1">
        <f>IF(H47=Data!$B$4,ABS(E46)+1,-ABS(E46))</f>
        <v>-2</v>
      </c>
      <c r="F47" s="1">
        <f t="shared" si="1"/>
        <v>-2</v>
      </c>
      <c r="G47" s="1">
        <f t="shared" si="2"/>
        <v>44</v>
      </c>
      <c r="H47" s="17" t="s">
        <v>51</v>
      </c>
      <c r="I47" s="43" t="s">
        <v>38</v>
      </c>
      <c r="J47" s="17" t="s">
        <v>53</v>
      </c>
      <c r="K47" s="1">
        <v>30</v>
      </c>
      <c r="L47" s="1">
        <v>30000</v>
      </c>
      <c r="M47" s="4">
        <v>0.9</v>
      </c>
      <c r="N47" s="4">
        <v>0.95</v>
      </c>
      <c r="O47" s="58">
        <v>1500</v>
      </c>
      <c r="P47" s="58">
        <v>15000</v>
      </c>
      <c r="R47" s="1">
        <v>-15</v>
      </c>
      <c r="S47" s="2" t="s">
        <v>60</v>
      </c>
      <c r="T47" s="1">
        <v>7500</v>
      </c>
      <c r="U47" s="1">
        <v>25000</v>
      </c>
      <c r="X47" s="1">
        <v>1000</v>
      </c>
      <c r="Y47" s="1">
        <v>30000</v>
      </c>
      <c r="AD47" s="1">
        <v>0.2</v>
      </c>
      <c r="AE47" s="1">
        <v>1</v>
      </c>
      <c r="AH47" t="s">
        <v>136</v>
      </c>
      <c r="AI47" t="str">
        <f>VLOOKUP(AH47,Links!$A$1:$B$16,2,FALSE)</f>
        <v>https://iplo.nl/thema/lucht/milieubelastende-activiteiten-lucht/technieken-beperking-luchtemissie/gaswasser/</v>
      </c>
    </row>
    <row r="48" spans="1:35" x14ac:dyDescent="0.15">
      <c r="B48" s="1">
        <f>IF(ISNONTEXT(VLOOKUP(H48,H$4:H47,1,FALSE)),ABS(B47)+1,-ABS(B47))</f>
        <v>-22</v>
      </c>
      <c r="C48" s="1" t="str">
        <f>IF(AND(OR(Data!$B$4="Overig",ISNUMBER(FIND("Emissie",'KE-berekening'!$C$13))),I48&lt;&gt;"",OR(T47&lt;&gt;T48,U47&lt;&gt;U48,V47&lt;&gt;V48,W47&lt;&gt;W48,X47&lt;&gt;X48,Y47&lt;&gt;Y48,Z47&lt;&gt;Z48,AA47&lt;&gt;AA48,AB47&lt;&gt;AB48,AC47&lt;&gt;AC48,C47="Nee")),"Ja","")</f>
        <v/>
      </c>
      <c r="D48" s="1">
        <f t="shared" si="3"/>
        <v>0</v>
      </c>
      <c r="E48" s="1">
        <f>IF(H48=Data!$B$4,ABS(E47)+1,-ABS(E47))</f>
        <v>-2</v>
      </c>
      <c r="F48" s="1">
        <f t="shared" si="1"/>
        <v>-2</v>
      </c>
      <c r="G48" s="1">
        <f t="shared" si="2"/>
        <v>45</v>
      </c>
      <c r="H48" s="17" t="s">
        <v>23</v>
      </c>
      <c r="I48" s="43" t="s">
        <v>38</v>
      </c>
      <c r="J48" s="17" t="s">
        <v>53</v>
      </c>
      <c r="K48" s="1">
        <v>30</v>
      </c>
      <c r="L48" s="1">
        <v>30000</v>
      </c>
      <c r="M48" s="4">
        <v>0.95</v>
      </c>
      <c r="N48" s="4">
        <v>0.98</v>
      </c>
      <c r="O48" s="58">
        <v>100</v>
      </c>
      <c r="P48" s="58">
        <v>10000</v>
      </c>
      <c r="R48" s="1">
        <v>-10</v>
      </c>
      <c r="S48" s="2" t="s">
        <v>60</v>
      </c>
      <c r="T48" s="1">
        <v>7500</v>
      </c>
      <c r="U48" s="1">
        <v>25000</v>
      </c>
      <c r="X48" s="1">
        <v>1000</v>
      </c>
      <c r="Y48" s="1">
        <v>30000</v>
      </c>
      <c r="AD48" s="1">
        <v>0.2</v>
      </c>
      <c r="AE48" s="1">
        <v>1</v>
      </c>
      <c r="AH48" t="s">
        <v>136</v>
      </c>
      <c r="AI48" t="str">
        <f>VLOOKUP(AH48,Links!$A$1:$B$16,2,FALSE)</f>
        <v>https://iplo.nl/thema/lucht/milieubelastende-activiteiten-lucht/technieken-beperking-luchtemissie/gaswasser/</v>
      </c>
    </row>
    <row r="49" spans="1:43" x14ac:dyDescent="0.15">
      <c r="B49" s="1">
        <f>IF(ISNONTEXT(VLOOKUP(H49,H$4:H48,1,FALSE)),ABS(B48)+1,-ABS(B48))</f>
        <v>-22</v>
      </c>
      <c r="C49" s="1" t="str">
        <f>IF(AND(OR(Data!$B$4="Overig",ISNUMBER(FIND("Emissie",'KE-berekening'!$C$13))),I49&lt;&gt;"",OR(T48&lt;&gt;T49,U48&lt;&gt;U49,V48&lt;&gt;V49,W48&lt;&gt;W49,X48&lt;&gt;X49,Y48&lt;&gt;Y49,Z48&lt;&gt;Z49,AA48&lt;&gt;AA49,AB48&lt;&gt;AB49,AC48&lt;&gt;AC49,C48="Nee")),"Ja","")</f>
        <v/>
      </c>
      <c r="D49" s="1">
        <f t="shared" si="3"/>
        <v>0</v>
      </c>
      <c r="E49" s="1">
        <f>IF(H49=Data!$B$4,ABS(E48)+1,-ABS(E48))</f>
        <v>-2</v>
      </c>
      <c r="F49" s="1">
        <f t="shared" si="1"/>
        <v>-2</v>
      </c>
      <c r="G49" s="1">
        <f t="shared" si="2"/>
        <v>46</v>
      </c>
      <c r="H49" s="17" t="s">
        <v>52</v>
      </c>
      <c r="I49" s="43" t="s">
        <v>38</v>
      </c>
      <c r="J49" s="17" t="s">
        <v>55</v>
      </c>
      <c r="K49" s="1">
        <v>30</v>
      </c>
      <c r="L49" s="1">
        <v>30000</v>
      </c>
      <c r="M49" s="4">
        <v>0.5</v>
      </c>
      <c r="N49" s="4">
        <v>0.99</v>
      </c>
      <c r="O49" s="58"/>
      <c r="P49" s="58"/>
      <c r="Q49" s="1">
        <v>-20</v>
      </c>
      <c r="R49" s="1">
        <v>40</v>
      </c>
      <c r="S49" s="2" t="s">
        <v>60</v>
      </c>
      <c r="T49" s="1">
        <v>7500</v>
      </c>
      <c r="U49" s="1">
        <v>25000</v>
      </c>
      <c r="X49" s="1">
        <v>1000</v>
      </c>
      <c r="Y49" s="1">
        <v>30000</v>
      </c>
      <c r="AD49" s="1">
        <v>0.2</v>
      </c>
      <c r="AE49" s="1">
        <v>1</v>
      </c>
      <c r="AH49" t="s">
        <v>136</v>
      </c>
      <c r="AI49" t="str">
        <f>VLOOKUP(AH49,Links!$A$1:$B$16,2,FALSE)</f>
        <v>https://iplo.nl/thema/lucht/milieubelastende-activiteiten-lucht/technieken-beperking-luchtemissie/gaswasser/</v>
      </c>
    </row>
    <row r="50" spans="1:43" x14ac:dyDescent="0.15">
      <c r="B50" s="1">
        <f>IF(ISNONTEXT(VLOOKUP(H50,H$4:H49,1,FALSE)),ABS(B49)+1,-ABS(B49))</f>
        <v>-22</v>
      </c>
      <c r="C50" s="1" t="str">
        <f>IF(AND(OR(Data!$B$4="Overig",ISNUMBER(FIND("Emissie",'KE-berekening'!$C$13))),I50&lt;&gt;"",OR(T49&lt;&gt;T50,U49&lt;&gt;U50,V49&lt;&gt;V50,W49&lt;&gt;W50,X49&lt;&gt;X50,Y49&lt;&gt;Y50,Z49&lt;&gt;Z50,AA49&lt;&gt;AA50,AB49&lt;&gt;AB50,AC49&lt;&gt;AC50,C49="Nee")),"Ja","")</f>
        <v/>
      </c>
      <c r="D50" s="1">
        <f t="shared" si="3"/>
        <v>0</v>
      </c>
      <c r="E50" s="1">
        <f>IF(H50=Data!$B$4,ABS(E49)+1,-ABS(E49))</f>
        <v>-2</v>
      </c>
      <c r="F50" s="1">
        <f t="shared" si="1"/>
        <v>-2</v>
      </c>
      <c r="G50" s="1">
        <f t="shared" si="2"/>
        <v>47</v>
      </c>
      <c r="H50" s="17" t="s">
        <v>49</v>
      </c>
      <c r="I50" s="43" t="s">
        <v>102</v>
      </c>
      <c r="K50" s="1">
        <v>1000</v>
      </c>
      <c r="L50" s="1">
        <v>200000</v>
      </c>
      <c r="O50" s="58"/>
      <c r="P50" s="58"/>
      <c r="S50" s="1" t="s">
        <v>92</v>
      </c>
      <c r="T50" s="1">
        <v>3000</v>
      </c>
      <c r="U50" s="1">
        <v>10000</v>
      </c>
      <c r="X50" s="1">
        <v>500</v>
      </c>
      <c r="Y50" s="1">
        <v>2000</v>
      </c>
      <c r="AD50" s="1">
        <v>0.3</v>
      </c>
      <c r="AE50" s="1">
        <v>3</v>
      </c>
      <c r="AH50" t="s">
        <v>137</v>
      </c>
      <c r="AI50" t="str">
        <f>VLOOKUP(AH50,Links!$A$1:$B$16,2,FALSE)</f>
        <v>https://iplo.nl/thema/lucht/milieubelastende-activiteiten-lucht/technieken-beperking-luchtemissie/ionisator/</v>
      </c>
    </row>
    <row r="51" spans="1:43" x14ac:dyDescent="0.15">
      <c r="B51" s="1">
        <f>IF(ISNONTEXT(VLOOKUP(H51,H$4:H50,1,FALSE)),ABS(B50)+1,-ABS(B50))</f>
        <v>-22</v>
      </c>
      <c r="C51" s="1" t="str">
        <f>IF(AND(OR(Data!$B$4="Overig",ISNUMBER(FIND("Emissie",'KE-berekening'!$C$13))),I51&lt;&gt;"",OR(T50&lt;&gt;T51,U50&lt;&gt;U51,V50&lt;&gt;V51,W50&lt;&gt;W51,X50&lt;&gt;X51,Y50&lt;&gt;Y51,Z50&lt;&gt;Z51,AA50&lt;&gt;AA51,AB50&lt;&gt;AB51,AC50&lt;&gt;AC51,C50="Nee")),"Ja","")</f>
        <v/>
      </c>
      <c r="D51" s="1">
        <f t="shared" si="3"/>
        <v>0</v>
      </c>
      <c r="E51" s="1">
        <f>IF(H51=Data!$B$4,ABS(E50)+1,-ABS(E50))</f>
        <v>-2</v>
      </c>
      <c r="F51" s="1">
        <f t="shared" si="1"/>
        <v>-2</v>
      </c>
      <c r="G51" s="1">
        <f t="shared" si="2"/>
        <v>48</v>
      </c>
      <c r="H51" s="17" t="s">
        <v>19</v>
      </c>
      <c r="I51" s="43" t="s">
        <v>20</v>
      </c>
      <c r="L51" s="1">
        <v>150000</v>
      </c>
      <c r="M51" s="4">
        <v>0.99</v>
      </c>
      <c r="O51" s="58"/>
      <c r="P51" s="58"/>
      <c r="S51" s="2" t="s">
        <v>60</v>
      </c>
      <c r="T51" s="1">
        <v>2500</v>
      </c>
      <c r="U51" s="1">
        <v>2500</v>
      </c>
      <c r="V51" s="32"/>
      <c r="W51" s="32"/>
      <c r="X51" s="32">
        <v>2500</v>
      </c>
      <c r="Y51" s="32">
        <v>2500</v>
      </c>
      <c r="Z51" s="32">
        <v>450</v>
      </c>
      <c r="AA51" s="32">
        <v>450</v>
      </c>
      <c r="AD51" s="1">
        <v>0</v>
      </c>
      <c r="AE51" s="1">
        <v>0</v>
      </c>
      <c r="AH51" t="s">
        <v>138</v>
      </c>
      <c r="AI51" t="str">
        <f>VLOOKUP(AH51,Links!$A$1:$B$16,2,FALSE)</f>
        <v>https://iplo.nl/thema/lucht/milieubelastende-activiteiten-lucht/technieken-beperking-luchtemissie/mistfilter/</v>
      </c>
    </row>
    <row r="52" spans="1:43" x14ac:dyDescent="0.15">
      <c r="B52" s="1">
        <f>IF(ISNONTEXT(VLOOKUP(H52,H$4:H51,1,FALSE)),ABS(B51)+1,-ABS(B51))</f>
        <v>-22</v>
      </c>
      <c r="C52" s="1" t="str">
        <f>IF(AND(OR(Data!$B$4="Overig",ISNUMBER(FIND("Emissie",'KE-berekening'!$C$13))),I52&lt;&gt;"",OR(T51&lt;&gt;T52,U51&lt;&gt;U52,V51&lt;&gt;V52,W51&lt;&gt;W52,X51&lt;&gt;X52,Y51&lt;&gt;Y52,Z51&lt;&gt;Z52,AA51&lt;&gt;AA52,AB51&lt;&gt;AB52,AC51&lt;&gt;AC52,C51="Nee")),"Ja","")</f>
        <v/>
      </c>
      <c r="D52" s="1">
        <f t="shared" si="3"/>
        <v>0</v>
      </c>
      <c r="E52" s="1">
        <f>IF(H52=Data!$B$4,ABS(E51)+1,-ABS(E51))</f>
        <v>-2</v>
      </c>
      <c r="F52" s="1">
        <f t="shared" si="1"/>
        <v>-2</v>
      </c>
      <c r="G52" s="1">
        <f t="shared" si="2"/>
        <v>49</v>
      </c>
      <c r="H52" s="17" t="s">
        <v>52</v>
      </c>
      <c r="I52" s="43" t="s">
        <v>97</v>
      </c>
      <c r="K52" s="1">
        <v>5000</v>
      </c>
      <c r="L52" s="1">
        <v>40000</v>
      </c>
      <c r="M52" s="4">
        <v>0.8</v>
      </c>
      <c r="N52" s="4">
        <v>0.95</v>
      </c>
      <c r="O52" s="58">
        <v>100</v>
      </c>
      <c r="P52" s="58">
        <v>100000</v>
      </c>
      <c r="Q52" s="1">
        <v>40</v>
      </c>
      <c r="S52" s="1" t="s">
        <v>60</v>
      </c>
      <c r="T52" s="1">
        <v>10000</v>
      </c>
      <c r="U52" s="1">
        <v>30000</v>
      </c>
      <c r="AD52" s="1">
        <v>0.5</v>
      </c>
      <c r="AE52" s="1">
        <v>1</v>
      </c>
      <c r="AH52" t="s">
        <v>132</v>
      </c>
      <c r="AI52" t="str">
        <f>VLOOKUP(AH52,Links!$A$1:$B$16,2,FALSE)</f>
        <v>https://iplo.nl/thema/lucht/milieubelastende-activiteiten-lucht/technieken-beperking-luchtemissie/biotricklingfilter/</v>
      </c>
    </row>
    <row r="53" spans="1:43" x14ac:dyDescent="0.15">
      <c r="B53" s="1">
        <f>IF(ISNONTEXT(VLOOKUP(H53,H$4:H52,1,FALSE)),ABS(B52)+1,-ABS(B52))</f>
        <v>-22</v>
      </c>
      <c r="C53" s="1" t="str">
        <f>IF(AND(OR(Data!$B$4="Overig",ISNUMBER(FIND("Emissie",'KE-berekening'!$C$13))),I53&lt;&gt;"",OR(T52&lt;&gt;T53,U52&lt;&gt;U53,V52&lt;&gt;V53,W52&lt;&gt;W53,X52&lt;&gt;X53,Y52&lt;&gt;Y53,Z52&lt;&gt;Z53,AA52&lt;&gt;AA53,AB52&lt;&gt;AB53,AC52&lt;&gt;AC53,C52="Nee")),"Ja","")</f>
        <v/>
      </c>
      <c r="D53" s="1">
        <f t="shared" si="3"/>
        <v>0</v>
      </c>
      <c r="E53" s="1">
        <f>IF(H53=Data!$B$4,ABS(E52)+1,-ABS(E52))</f>
        <v>-2</v>
      </c>
      <c r="F53" s="1">
        <f t="shared" si="1"/>
        <v>-2</v>
      </c>
      <c r="G53" s="1">
        <f t="shared" si="2"/>
        <v>50</v>
      </c>
      <c r="H53" s="17" t="s">
        <v>49</v>
      </c>
      <c r="I53" s="43" t="s">
        <v>97</v>
      </c>
      <c r="K53" s="1">
        <v>5000</v>
      </c>
      <c r="L53" s="1">
        <v>40000</v>
      </c>
      <c r="M53" s="4">
        <v>-0.9</v>
      </c>
      <c r="O53" s="58">
        <v>-10000</v>
      </c>
      <c r="P53" s="58"/>
      <c r="Q53" s="1">
        <v>1500</v>
      </c>
      <c r="S53" s="1" t="s">
        <v>109</v>
      </c>
      <c r="T53" s="1">
        <v>10000</v>
      </c>
      <c r="U53" s="1">
        <v>30000</v>
      </c>
      <c r="AD53" s="1">
        <v>0.5</v>
      </c>
      <c r="AE53" s="1">
        <v>1</v>
      </c>
      <c r="AH53" t="s">
        <v>132</v>
      </c>
      <c r="AI53" t="str">
        <f>VLOOKUP(AH53,Links!$A$1:$B$16,2,FALSE)</f>
        <v>https://iplo.nl/thema/lucht/milieubelastende-activiteiten-lucht/technieken-beperking-luchtemissie/biotricklingfilter/</v>
      </c>
    </row>
    <row r="54" spans="1:43" x14ac:dyDescent="0.15">
      <c r="B54" s="1">
        <f>IF(ISNONTEXT(VLOOKUP(H54,H$4:H53,1,FALSE)),ABS(B53)+1,-ABS(B53))</f>
        <v>-22</v>
      </c>
      <c r="C54" s="1" t="str">
        <f>IF(AND(OR(Data!$B$4="Overig",ISNUMBER(FIND("Emissie",'KE-berekening'!$C$13))),I54&lt;&gt;"",OR(T53&lt;&gt;T54,U53&lt;&gt;U54,V53&lt;&gt;V54,W53&lt;&gt;W54,X53&lt;&gt;X54,Y53&lt;&gt;Y54,Z53&lt;&gt;Z54,AA53&lt;&gt;AA54,AB53&lt;&gt;AB54,AC53&lt;&gt;AC54,C53="Nee")),"Ja","")</f>
        <v/>
      </c>
      <c r="D54" s="1">
        <f t="shared" si="3"/>
        <v>0</v>
      </c>
      <c r="E54" s="1">
        <f>IF(H54=Data!$B$4,ABS(E53)+1,-ABS(E53))</f>
        <v>-2</v>
      </c>
      <c r="F54" s="1">
        <f t="shared" si="1"/>
        <v>-2</v>
      </c>
      <c r="G54" s="1">
        <f t="shared" si="2"/>
        <v>51</v>
      </c>
      <c r="H54" s="17" t="s">
        <v>51</v>
      </c>
      <c r="I54" s="43" t="s">
        <v>97</v>
      </c>
      <c r="K54" s="1">
        <v>5000</v>
      </c>
      <c r="L54" s="1">
        <v>40000</v>
      </c>
      <c r="M54" s="4">
        <v>-0.98</v>
      </c>
      <c r="O54" s="58">
        <v>10</v>
      </c>
      <c r="P54" s="58">
        <v>500</v>
      </c>
      <c r="Q54" s="1">
        <v>0.1</v>
      </c>
      <c r="S54" s="1" t="s">
        <v>60</v>
      </c>
      <c r="T54" s="1">
        <v>10000</v>
      </c>
      <c r="U54" s="1">
        <v>30000</v>
      </c>
      <c r="AD54" s="1">
        <v>0.5</v>
      </c>
      <c r="AE54" s="1">
        <v>1</v>
      </c>
      <c r="AH54" t="s">
        <v>132</v>
      </c>
      <c r="AI54" t="str">
        <f>VLOOKUP(AH54,Links!$A$1:$B$16,2,FALSE)</f>
        <v>https://iplo.nl/thema/lucht/milieubelastende-activiteiten-lucht/technieken-beperking-luchtemissie/biotricklingfilter/</v>
      </c>
    </row>
    <row r="55" spans="1:43" x14ac:dyDescent="0.15">
      <c r="B55" s="1">
        <f>IF(ISNONTEXT(VLOOKUP(H55,H$4:H54,1,FALSE)),ABS(B54)+1,-ABS(B54))</f>
        <v>-22</v>
      </c>
      <c r="C55" s="1" t="str">
        <f>IF(AND(OR(Data!$B$4="Overig",ISNUMBER(FIND("Emissie",'KE-berekening'!$C$13))),I55&lt;&gt;"",OR(T54&lt;&gt;T55,U54&lt;&gt;U55,V54&lt;&gt;V55,W54&lt;&gt;W55,X54&lt;&gt;X55,Y54&lt;&gt;Y55,Z54&lt;&gt;Z55,AA54&lt;&gt;AA55,AB54&lt;&gt;AB55,AC54&lt;&gt;AC55,C54="Nee")),"Ja","")</f>
        <v/>
      </c>
      <c r="D55" s="1">
        <f t="shared" si="3"/>
        <v>0</v>
      </c>
      <c r="E55" s="1">
        <f>IF(H55=Data!$B$4,ABS(E54)+1,-ABS(E54))</f>
        <v>-2</v>
      </c>
      <c r="F55" s="1">
        <f t="shared" si="1"/>
        <v>-2</v>
      </c>
      <c r="G55" s="1">
        <f t="shared" si="2"/>
        <v>52</v>
      </c>
      <c r="H55" s="17" t="s">
        <v>95</v>
      </c>
      <c r="I55" s="43" t="s">
        <v>97</v>
      </c>
      <c r="K55" s="1">
        <v>5000</v>
      </c>
      <c r="L55" s="1">
        <v>40000</v>
      </c>
      <c r="M55" s="4">
        <v>-0.95</v>
      </c>
      <c r="O55" s="58"/>
      <c r="P55" s="58"/>
      <c r="Q55" s="1">
        <v>1</v>
      </c>
      <c r="S55" s="1" t="s">
        <v>60</v>
      </c>
      <c r="T55" s="1">
        <v>10000</v>
      </c>
      <c r="U55" s="1">
        <v>30000</v>
      </c>
      <c r="AD55" s="1">
        <v>0.5</v>
      </c>
      <c r="AE55" s="1">
        <v>1</v>
      </c>
      <c r="AH55" t="s">
        <v>132</v>
      </c>
      <c r="AI55" t="str">
        <f>VLOOKUP(AH55,Links!$A$1:$B$16,2,FALSE)</f>
        <v>https://iplo.nl/thema/lucht/milieubelastende-activiteiten-lucht/technieken-beperking-luchtemissie/biotricklingfilter/</v>
      </c>
    </row>
    <row r="56" spans="1:43" x14ac:dyDescent="0.15">
      <c r="B56" s="1">
        <f>IF(ISNONTEXT(VLOOKUP(H56,H$4:H55,1,FALSE)),ABS(B55)+1,-ABS(B55))</f>
        <v>-22</v>
      </c>
      <c r="C56" s="1" t="str">
        <f>IF(AND(OR(Data!$B$4="Overig",ISNUMBER(FIND("Emissie",'KE-berekening'!$C$13))),I56&lt;&gt;"",OR(T55&lt;&gt;T56,U55&lt;&gt;U56,V55&lt;&gt;V56,W55&lt;&gt;W56,X55&lt;&gt;X56,Y55&lt;&gt;Y56,Z55&lt;&gt;Z56,AA55&lt;&gt;AA56,AB55&lt;&gt;AB56,AC55&lt;&gt;AC56,C55="Nee")),"Ja","")</f>
        <v/>
      </c>
      <c r="D56" s="1">
        <f t="shared" si="3"/>
        <v>0</v>
      </c>
      <c r="E56" s="1">
        <f>IF(H56=Data!$B$4,ABS(E55)+1,-ABS(E55))</f>
        <v>3</v>
      </c>
      <c r="F56" s="1">
        <f t="shared" si="1"/>
        <v>3</v>
      </c>
      <c r="G56" s="1">
        <f t="shared" si="2"/>
        <v>53</v>
      </c>
      <c r="H56" s="17" t="s">
        <v>18</v>
      </c>
      <c r="I56" s="43" t="s">
        <v>13</v>
      </c>
      <c r="J56" s="17" t="s">
        <v>151</v>
      </c>
      <c r="K56" s="1">
        <v>1800</v>
      </c>
      <c r="L56" s="1">
        <v>53000</v>
      </c>
      <c r="M56" s="4">
        <v>0.97</v>
      </c>
      <c r="N56" s="4">
        <v>0.99</v>
      </c>
      <c r="O56" s="58">
        <v>2000</v>
      </c>
      <c r="P56" s="58">
        <v>110000</v>
      </c>
      <c r="Q56" s="1">
        <v>0.2</v>
      </c>
      <c r="R56" s="1">
        <v>8.6999999999999993</v>
      </c>
      <c r="S56" s="2" t="s">
        <v>60</v>
      </c>
      <c r="T56" s="1">
        <v>26000</v>
      </c>
      <c r="U56" s="1">
        <v>78000</v>
      </c>
      <c r="X56" s="32"/>
      <c r="Y56" s="32"/>
      <c r="Z56" s="5">
        <v>0.1</v>
      </c>
      <c r="AA56" s="5">
        <v>1</v>
      </c>
      <c r="AD56" s="1">
        <v>0.2</v>
      </c>
      <c r="AE56" s="1">
        <v>2</v>
      </c>
      <c r="AH56" s="66" t="s">
        <v>135</v>
      </c>
      <c r="AI56" s="66" t="str">
        <f>VLOOKUP(AH56,Links!$A$1:$B$16,2,FALSE)</f>
        <v>https://iplo.nl/thema/lucht/milieubelastende-activiteiten-lucht/technieken-beperking-luchtemissie/elektrostatisch-filter/</v>
      </c>
      <c r="AJ56" s="66"/>
      <c r="AK56" s="66"/>
      <c r="AL56" s="66"/>
      <c r="AM56" s="66"/>
      <c r="AN56" s="66"/>
      <c r="AO56" s="66"/>
      <c r="AP56" s="66"/>
      <c r="AQ56" s="66"/>
    </row>
    <row r="57" spans="1:43" s="66" customFormat="1" x14ac:dyDescent="0.15">
      <c r="A57" s="32"/>
      <c r="B57" s="32">
        <f>IF(ISNONTEXT(VLOOKUP(H57,H$4:H56,1,FALSE)),ABS(B56)+1,-ABS(B56))</f>
        <v>-22</v>
      </c>
      <c r="C57" s="1" t="str">
        <f>IF(AND(OR(Data!$B$4="Overig",ISNUMBER(FIND("Emissie",'KE-berekening'!$C$13))),I57&lt;&gt;"",OR(T56&lt;&gt;T57,U56&lt;&gt;U57,V56&lt;&gt;V57,W56&lt;&gt;W57,X56&lt;&gt;X57,Y56&lt;&gt;Y57,Z56&lt;&gt;Z57,AA56&lt;&gt;AA57,AB56&lt;&gt;AB57,AC56&lt;&gt;AC57,C56="Nee")),"Ja","")</f>
        <v/>
      </c>
      <c r="D57" s="32">
        <f t="shared" si="3"/>
        <v>0</v>
      </c>
      <c r="E57" s="32">
        <f>IF(H57=Data!$B$4,ABS(E56)+1,-ABS(E56))</f>
        <v>-3</v>
      </c>
      <c r="F57" s="32">
        <f t="shared" si="1"/>
        <v>-3</v>
      </c>
      <c r="G57" s="32">
        <f t="shared" si="2"/>
        <v>54</v>
      </c>
      <c r="H57" s="43" t="s">
        <v>25</v>
      </c>
      <c r="I57" s="43" t="s">
        <v>31</v>
      </c>
      <c r="J57" s="43" t="s">
        <v>37</v>
      </c>
      <c r="K57" s="32">
        <v>50</v>
      </c>
      <c r="L57" s="32">
        <v>500000</v>
      </c>
      <c r="M57" s="63">
        <v>0.9</v>
      </c>
      <c r="N57" s="63">
        <v>0.97</v>
      </c>
      <c r="O57" s="64"/>
      <c r="P57" s="64"/>
      <c r="Q57" s="32"/>
      <c r="R57" s="32">
        <v>-40</v>
      </c>
      <c r="S57" s="65" t="s">
        <v>60</v>
      </c>
      <c r="T57" s="32">
        <v>10000</v>
      </c>
      <c r="U57" s="32">
        <v>35000</v>
      </c>
      <c r="V57" s="32"/>
      <c r="W57" s="32"/>
      <c r="X57" s="32"/>
      <c r="Y57" s="32"/>
      <c r="Z57" s="32"/>
      <c r="AA57" s="32"/>
      <c r="AB57" s="32"/>
      <c r="AC57" s="32"/>
      <c r="AD57" s="32">
        <v>1</v>
      </c>
      <c r="AE57" s="32">
        <v>1</v>
      </c>
      <c r="AF57" s="32"/>
      <c r="AG57" s="32"/>
      <c r="AH57" s="66" t="s">
        <v>150</v>
      </c>
      <c r="AI57" s="66" t="str">
        <f>VLOOKUP(AH57,Links!$A$1:$B$16,2,FALSE)</f>
        <v>https://iplo.nl/thema/lucht/milieubelastende-activiteiten-lucht/technieken-beperking-luchtemissie/filter-kalkinjectie/</v>
      </c>
    </row>
    <row r="58" spans="1:43" s="66" customFormat="1" x14ac:dyDescent="0.15">
      <c r="A58" s="32"/>
      <c r="B58" s="32">
        <f>IF(ISNONTEXT(VLOOKUP(H58,H$4:H57,1,FALSE)),ABS(B57)+1,-ABS(B57))</f>
        <v>-22</v>
      </c>
      <c r="C58" s="1" t="str">
        <f>IF(AND(OR(Data!$B$4="Overig",ISNUMBER(FIND("Emissie",'KE-berekening'!$C$13))),I58&lt;&gt;"",OR(T57&lt;&gt;T58,U57&lt;&gt;U58,V57&lt;&gt;V58,W57&lt;&gt;W58,X57&lt;&gt;X58,Y57&lt;&gt;Y58,Z57&lt;&gt;Z58,AA57&lt;&gt;AA58,AB57&lt;&gt;AB58,AC57&lt;&gt;AC58,C57="Nee")),"Ja","")</f>
        <v/>
      </c>
      <c r="D58" s="32">
        <f t="shared" si="3"/>
        <v>0</v>
      </c>
      <c r="E58" s="32">
        <f>IF(H58=Data!$B$4,ABS(E57)+1,-ABS(E57))</f>
        <v>-3</v>
      </c>
      <c r="F58" s="32">
        <f t="shared" si="1"/>
        <v>-3</v>
      </c>
      <c r="G58" s="32">
        <f t="shared" si="2"/>
        <v>55</v>
      </c>
      <c r="H58" s="44" t="s">
        <v>7</v>
      </c>
      <c r="I58" s="44" t="s">
        <v>5</v>
      </c>
      <c r="J58" s="44" t="s">
        <v>73</v>
      </c>
      <c r="K58" s="67">
        <v>2500</v>
      </c>
      <c r="L58" s="67">
        <v>37000</v>
      </c>
      <c r="M58" s="68">
        <v>0.8</v>
      </c>
      <c r="N58" s="68">
        <v>0.99</v>
      </c>
      <c r="O58" s="69"/>
      <c r="P58" s="69">
        <v>-10000</v>
      </c>
      <c r="Q58" s="65">
        <v>-20</v>
      </c>
      <c r="R58" s="65">
        <v>150</v>
      </c>
      <c r="S58" s="65" t="s">
        <v>60</v>
      </c>
      <c r="T58" s="67">
        <v>3000</v>
      </c>
      <c r="U58" s="67">
        <v>100000</v>
      </c>
      <c r="V58" s="67"/>
      <c r="W58" s="67"/>
      <c r="X58" s="67"/>
      <c r="Y58" s="67"/>
      <c r="Z58" s="67"/>
      <c r="AA58" s="67"/>
      <c r="AB58" s="67">
        <v>200</v>
      </c>
      <c r="AC58" s="67">
        <v>5000</v>
      </c>
      <c r="AD58" s="67">
        <v>0</v>
      </c>
      <c r="AE58" s="67">
        <v>0</v>
      </c>
      <c r="AF58" s="67" t="s">
        <v>167</v>
      </c>
      <c r="AG58" s="1" t="s">
        <v>163</v>
      </c>
      <c r="AH58" s="66" t="s">
        <v>140</v>
      </c>
      <c r="AI58" s="66" t="str">
        <f>VLOOKUP(AH58,Links!$A$1:$B$16,2,FALSE)</f>
        <v>https://iplo.nl/thema/lucht/milieubelastende-activiteiten-lucht/technieken-beperking-luchtemissie/scr-sncr/</v>
      </c>
    </row>
    <row r="59" spans="1:43" s="66" customFormat="1" x14ac:dyDescent="0.15">
      <c r="A59" s="32"/>
      <c r="B59" s="32">
        <f>IF(ISNONTEXT(VLOOKUP(H59,H$4:H58,1,FALSE)),ABS(B58)+1,-ABS(B58))</f>
        <v>-22</v>
      </c>
      <c r="C59" s="1" t="str">
        <f>IF(AND(OR(Data!$B$4="Overig",ISNUMBER(FIND("Emissie",'KE-berekening'!$C$13))),I59&lt;&gt;"",OR(T58&lt;&gt;T59,U58&lt;&gt;U59,V58&lt;&gt;V59,W58&lt;&gt;W59,X58&lt;&gt;X59,Y58&lt;&gt;Y59,Z58&lt;&gt;Z59,AA58&lt;&gt;AA59,AB58&lt;&gt;AB59,AC58&lt;&gt;AC59,C58="Nee")),"Ja","")</f>
        <v/>
      </c>
      <c r="D59" s="32">
        <f t="shared" si="3"/>
        <v>0</v>
      </c>
      <c r="E59" s="32">
        <f>IF(H59=Data!$B$4,ABS(E58)+1,-ABS(E58))</f>
        <v>-3</v>
      </c>
      <c r="F59" s="32">
        <f t="shared" si="1"/>
        <v>-3</v>
      </c>
      <c r="G59" s="32">
        <f t="shared" si="2"/>
        <v>56</v>
      </c>
      <c r="H59" s="43" t="s">
        <v>25</v>
      </c>
      <c r="I59" s="43" t="s">
        <v>30</v>
      </c>
      <c r="J59" s="43" t="s">
        <v>103</v>
      </c>
      <c r="K59" s="32"/>
      <c r="L59" s="32">
        <v>1000000</v>
      </c>
      <c r="M59" s="63">
        <v>0.85</v>
      </c>
      <c r="N59" s="63">
        <v>0.9</v>
      </c>
      <c r="O59" s="64"/>
      <c r="P59" s="64"/>
      <c r="Q59" s="32"/>
      <c r="R59" s="32">
        <v>-40</v>
      </c>
      <c r="S59" s="65" t="s">
        <v>60</v>
      </c>
      <c r="T59" s="32">
        <v>10000</v>
      </c>
      <c r="U59" s="32">
        <v>35000</v>
      </c>
      <c r="V59" s="32">
        <v>20000</v>
      </c>
      <c r="W59" s="32">
        <v>20000</v>
      </c>
      <c r="X59" s="32">
        <v>400</v>
      </c>
      <c r="Y59" s="32">
        <v>400</v>
      </c>
      <c r="Z59" s="32"/>
      <c r="AA59" s="32"/>
      <c r="AB59" s="32"/>
      <c r="AC59" s="32"/>
      <c r="AD59" s="32">
        <v>1</v>
      </c>
      <c r="AE59" s="32">
        <v>1</v>
      </c>
      <c r="AF59" s="32"/>
      <c r="AG59" s="32"/>
      <c r="AH59" s="66" t="s">
        <v>150</v>
      </c>
      <c r="AI59" s="66" t="str">
        <f>VLOOKUP(AH59,Links!$A$1:$B$16,2,FALSE)</f>
        <v>https://iplo.nl/thema/lucht/milieubelastende-activiteiten-lucht/technieken-beperking-luchtemissie/filter-kalkinjectie/</v>
      </c>
    </row>
    <row r="60" spans="1:43" s="66" customFormat="1" x14ac:dyDescent="0.15">
      <c r="A60" s="32"/>
      <c r="B60" s="32">
        <f>IF(ISNONTEXT(VLOOKUP(H60,H$4:H59,1,FALSE)),ABS(B59)+1,-ABS(B59))</f>
        <v>-22</v>
      </c>
      <c r="C60" s="1" t="str">
        <f>IF(AND(OR(Data!$B$4="Overig",ISNUMBER(FIND("Emissie",'KE-berekening'!$C$13))),I60&lt;&gt;"",OR(T59&lt;&gt;T60,U59&lt;&gt;U60,V59&lt;&gt;V60,W59&lt;&gt;W60,X59&lt;&gt;X60,Y59&lt;&gt;Y60,Z59&lt;&gt;Z60,AA59&lt;&gt;AA60,AB59&lt;&gt;AB60,AC59&lt;&gt;AC60,C59="Nee")),"Ja","")</f>
        <v/>
      </c>
      <c r="D60" s="32">
        <f t="shared" si="3"/>
        <v>0</v>
      </c>
      <c r="E60" s="32">
        <f>IF(H60=Data!$B$4,ABS(E59)+1,-ABS(E59))</f>
        <v>-3</v>
      </c>
      <c r="F60" s="32">
        <f t="shared" si="1"/>
        <v>-3</v>
      </c>
      <c r="G60" s="32">
        <f t="shared" si="2"/>
        <v>57</v>
      </c>
      <c r="H60" s="43" t="s">
        <v>27</v>
      </c>
      <c r="I60" s="43" t="s">
        <v>30</v>
      </c>
      <c r="J60" s="43" t="s">
        <v>103</v>
      </c>
      <c r="K60" s="32"/>
      <c r="L60" s="32">
        <v>1000000</v>
      </c>
      <c r="M60" s="63">
        <v>-0.85</v>
      </c>
      <c r="N60" s="63"/>
      <c r="O60" s="64"/>
      <c r="P60" s="64"/>
      <c r="Q60" s="32"/>
      <c r="R60" s="32">
        <v>-1</v>
      </c>
      <c r="S60" s="65" t="s">
        <v>60</v>
      </c>
      <c r="T60" s="32">
        <v>10000</v>
      </c>
      <c r="U60" s="32">
        <v>35000</v>
      </c>
      <c r="V60" s="32">
        <v>20000</v>
      </c>
      <c r="W60" s="32">
        <v>20000</v>
      </c>
      <c r="X60" s="32">
        <v>400</v>
      </c>
      <c r="Y60" s="32">
        <v>400</v>
      </c>
      <c r="Z60" s="32"/>
      <c r="AA60" s="32"/>
      <c r="AB60" s="32"/>
      <c r="AC60" s="32"/>
      <c r="AD60" s="32">
        <v>1</v>
      </c>
      <c r="AE60" s="32">
        <v>1</v>
      </c>
      <c r="AF60" s="32"/>
      <c r="AG60" s="32"/>
      <c r="AH60" s="66" t="s">
        <v>150</v>
      </c>
      <c r="AI60" s="66" t="str">
        <f>VLOOKUP(AH60,Links!$A$1:$B$16,2,FALSE)</f>
        <v>https://iplo.nl/thema/lucht/milieubelastende-activiteiten-lucht/technieken-beperking-luchtemissie/filter-kalkinjectie/</v>
      </c>
    </row>
    <row r="61" spans="1:43" s="66" customFormat="1" x14ac:dyDescent="0.15">
      <c r="A61" s="32"/>
      <c r="B61" s="32">
        <f>IF(ISNONTEXT(VLOOKUP(H61,H$4:H60,1,FALSE)),ABS(B60)+1,-ABS(B60))</f>
        <v>-22</v>
      </c>
      <c r="C61" s="1" t="str">
        <f>IF(AND(OR(Data!$B$4="Overig",ISNUMBER(FIND("Emissie",'KE-berekening'!$C$13))),I61&lt;&gt;"",OR(T60&lt;&gt;T61,U60&lt;&gt;U61,V60&lt;&gt;V61,W60&lt;&gt;W61,X60&lt;&gt;X61,Y60&lt;&gt;Y61,Z60&lt;&gt;Z61,AA60&lt;&gt;AA61,AB60&lt;&gt;AB61,AC60&lt;&gt;AC61,C60="Nee")),"Ja","")</f>
        <v/>
      </c>
      <c r="D61" s="32">
        <f t="shared" si="3"/>
        <v>0</v>
      </c>
      <c r="E61" s="32">
        <f>IF(H61=Data!$B$4,ABS(E60)+1,-ABS(E60))</f>
        <v>-3</v>
      </c>
      <c r="F61" s="32">
        <f t="shared" si="1"/>
        <v>-3</v>
      </c>
      <c r="G61" s="32">
        <f t="shared" si="2"/>
        <v>58</v>
      </c>
      <c r="H61" s="43" t="s">
        <v>26</v>
      </c>
      <c r="I61" s="43" t="s">
        <v>35</v>
      </c>
      <c r="J61" s="43" t="s">
        <v>103</v>
      </c>
      <c r="K61" s="32"/>
      <c r="L61" s="32">
        <v>1000000</v>
      </c>
      <c r="M61" s="63">
        <v>-0.9</v>
      </c>
      <c r="N61" s="63"/>
      <c r="O61" s="64"/>
      <c r="P61" s="64"/>
      <c r="Q61" s="32"/>
      <c r="R61" s="32">
        <v>-10</v>
      </c>
      <c r="S61" s="65" t="s">
        <v>60</v>
      </c>
      <c r="T61" s="32">
        <v>10000</v>
      </c>
      <c r="U61" s="32">
        <v>35000</v>
      </c>
      <c r="V61" s="32">
        <v>20000</v>
      </c>
      <c r="W61" s="32">
        <v>20000</v>
      </c>
      <c r="X61" s="32">
        <v>400</v>
      </c>
      <c r="Y61" s="32">
        <v>400</v>
      </c>
      <c r="Z61" s="32"/>
      <c r="AA61" s="32"/>
      <c r="AB61" s="32"/>
      <c r="AC61" s="32"/>
      <c r="AD61" s="32">
        <v>1</v>
      </c>
      <c r="AE61" s="32">
        <v>1</v>
      </c>
      <c r="AF61" s="32"/>
      <c r="AG61" s="32"/>
      <c r="AH61" s="66" t="s">
        <v>150</v>
      </c>
      <c r="AI61" s="66" t="str">
        <f>VLOOKUP(AH61,Links!$A$1:$B$16,2,FALSE)</f>
        <v>https://iplo.nl/thema/lucht/milieubelastende-activiteiten-lucht/technieken-beperking-luchtemissie/filter-kalkinjectie/</v>
      </c>
    </row>
    <row r="62" spans="1:43" s="66" customFormat="1" x14ac:dyDescent="0.15">
      <c r="A62" s="32"/>
      <c r="B62" s="32">
        <f>IF(ISNONTEXT(VLOOKUP(H62,H$4:H61,1,FALSE)),ABS(B61)+1,-ABS(B61))</f>
        <v>-22</v>
      </c>
      <c r="C62" s="1" t="str">
        <f>IF(AND(OR(Data!$B$4="Overig",ISNUMBER(FIND("Emissie",'KE-berekening'!$C$13))),I62&lt;&gt;"",OR(T61&lt;&gt;T62,U61&lt;&gt;U62,V61&lt;&gt;V62,W61&lt;&gt;W62,X61&lt;&gt;X62,Y61&lt;&gt;Y62,Z61&lt;&gt;Z62,AA61&lt;&gt;AA62,AB61&lt;&gt;AB62,AC61&lt;&gt;AC62,C61="Nee")),"Ja","")</f>
        <v/>
      </c>
      <c r="D62" s="32">
        <f t="shared" si="3"/>
        <v>0</v>
      </c>
      <c r="E62" s="32">
        <f>IF(H62=Data!$B$4,ABS(E61)+1,-ABS(E61))</f>
        <v>-3</v>
      </c>
      <c r="F62" s="32">
        <f t="shared" si="1"/>
        <v>-3</v>
      </c>
      <c r="G62" s="32">
        <f t="shared" si="2"/>
        <v>59</v>
      </c>
      <c r="H62" s="44" t="s">
        <v>7</v>
      </c>
      <c r="I62" s="44" t="s">
        <v>6</v>
      </c>
      <c r="J62" s="44"/>
      <c r="K62" s="67">
        <v>2000</v>
      </c>
      <c r="L62" s="67">
        <v>36000</v>
      </c>
      <c r="M62" s="68">
        <v>0.25</v>
      </c>
      <c r="N62" s="68">
        <v>0.8</v>
      </c>
      <c r="O62" s="69"/>
      <c r="P62" s="69">
        <v>-10000</v>
      </c>
      <c r="Q62" s="65">
        <v>60</v>
      </c>
      <c r="R62" s="65">
        <v>70</v>
      </c>
      <c r="S62" s="65" t="s">
        <v>60</v>
      </c>
      <c r="T62" s="67">
        <v>3000</v>
      </c>
      <c r="U62" s="67">
        <v>30000</v>
      </c>
      <c r="V62" s="67"/>
      <c r="W62" s="67"/>
      <c r="X62" s="67"/>
      <c r="Y62" s="67"/>
      <c r="Z62" s="67"/>
      <c r="AA62" s="67"/>
      <c r="AB62" s="67">
        <v>700</v>
      </c>
      <c r="AC62" s="67">
        <v>1200</v>
      </c>
      <c r="AD62" s="67">
        <v>0</v>
      </c>
      <c r="AE62" s="67">
        <v>0</v>
      </c>
      <c r="AF62" s="67" t="s">
        <v>167</v>
      </c>
      <c r="AG62" s="1" t="s">
        <v>163</v>
      </c>
      <c r="AH62" s="66" t="s">
        <v>140</v>
      </c>
      <c r="AI62" s="66" t="str">
        <f>VLOOKUP(AH62,Links!$A$1:$B$16,2,FALSE)</f>
        <v>https://iplo.nl/thema/lucht/milieubelastende-activiteiten-lucht/technieken-beperking-luchtemissie/scr-sncr/</v>
      </c>
    </row>
    <row r="63" spans="1:43" x14ac:dyDescent="0.15">
      <c r="B63" s="1">
        <f>IF(ISNONTEXT(VLOOKUP(H63,H$4:H62,1,FALSE)),ABS(B62)+1,-ABS(B62))</f>
        <v>-22</v>
      </c>
      <c r="C63" s="1" t="str">
        <f>IF(AND(OR(Data!$B$4="Overig",ISNUMBER(FIND("Emissie",'KE-berekening'!$C$13))),I63&lt;&gt;"",OR(T62&lt;&gt;T63,U62&lt;&gt;U63,V62&lt;&gt;V63,W62&lt;&gt;W63,X62&lt;&gt;X63,Y62&lt;&gt;Y63,Z62&lt;&gt;Z63,AA62&lt;&gt;AA63,AB62&lt;&gt;AB63,AC62&lt;&gt;AC63,C62="Nee")),"Ja","")</f>
        <v/>
      </c>
      <c r="D63" s="1">
        <f t="shared" si="3"/>
        <v>0</v>
      </c>
      <c r="E63" s="1">
        <f>IF(H63=Data!$B$4,ABS(E62)+1,-ABS(E62))</f>
        <v>4</v>
      </c>
      <c r="F63" s="1">
        <f t="shared" si="1"/>
        <v>4</v>
      </c>
      <c r="G63" s="1">
        <f t="shared" si="2"/>
        <v>60</v>
      </c>
      <c r="H63" s="17" t="s">
        <v>18</v>
      </c>
      <c r="I63" s="43" t="s">
        <v>17</v>
      </c>
      <c r="K63" s="1">
        <v>2500</v>
      </c>
      <c r="L63" s="1">
        <v>170000</v>
      </c>
      <c r="M63" s="4">
        <v>0.7</v>
      </c>
      <c r="N63" s="4">
        <v>0.99</v>
      </c>
      <c r="O63" s="58"/>
      <c r="P63" s="58"/>
      <c r="Q63" s="1">
        <v>0.2</v>
      </c>
      <c r="R63" s="1">
        <v>8</v>
      </c>
      <c r="S63" s="2" t="s">
        <v>60</v>
      </c>
      <c r="T63" s="1">
        <v>8000</v>
      </c>
      <c r="U63" s="1">
        <v>30000</v>
      </c>
      <c r="X63" s="1">
        <v>300</v>
      </c>
      <c r="Y63" s="1">
        <v>2000</v>
      </c>
      <c r="AD63" s="1">
        <v>0.4</v>
      </c>
      <c r="AE63" s="1">
        <v>7</v>
      </c>
      <c r="AH63" t="s">
        <v>142</v>
      </c>
      <c r="AI63" t="str">
        <f>VLOOKUP(AH63,Links!$A$1:$B$16,2,FALSE)</f>
        <v>https://iplo.nl/thema/lucht/milieubelastende-activiteiten-lucht/technieken-beperking-luchtemissie/stofwasser/</v>
      </c>
    </row>
    <row r="64" spans="1:43" x14ac:dyDescent="0.15">
      <c r="B64" s="1">
        <f>IF(ISNONTEXT(VLOOKUP(H64,H$4:H63,1,FALSE)),ABS(B63)+1,-ABS(B63))</f>
        <v>-22</v>
      </c>
      <c r="C64" s="1" t="str">
        <f>IF(AND(OR(Data!$B$4="Overig",ISNUMBER(FIND("Emissie",'KE-berekening'!$C$13))),I64&lt;&gt;"",OR(T63&lt;&gt;T64,U63&lt;&gt;U64,V63&lt;&gt;V64,W63&lt;&gt;W64,X63&lt;&gt;X64,Y63&lt;&gt;Y64,Z63&lt;&gt;Z64,AA63&lt;&gt;AA64,AB63&lt;&gt;AB64,AC63&lt;&gt;AC64,C63="Nee")),"Ja","")</f>
        <v/>
      </c>
      <c r="D64" s="1">
        <f t="shared" si="3"/>
        <v>0</v>
      </c>
      <c r="E64" s="1">
        <f>IF(H64=Data!$B$4,ABS(E63)+1,-ABS(E63))</f>
        <v>-4</v>
      </c>
      <c r="F64" s="1">
        <f t="shared" si="1"/>
        <v>-4</v>
      </c>
      <c r="G64" s="1">
        <f t="shared" si="2"/>
        <v>61</v>
      </c>
      <c r="H64" s="17" t="s">
        <v>19</v>
      </c>
      <c r="I64" s="43" t="s">
        <v>17</v>
      </c>
      <c r="K64" s="1">
        <v>2500</v>
      </c>
      <c r="L64" s="1">
        <v>170000</v>
      </c>
      <c r="M64" s="4">
        <v>0.7</v>
      </c>
      <c r="N64" s="4">
        <v>0.99</v>
      </c>
      <c r="O64" s="58"/>
      <c r="P64" s="58"/>
      <c r="Q64" s="1">
        <v>0.2</v>
      </c>
      <c r="R64" s="1">
        <v>8</v>
      </c>
      <c r="S64" s="2" t="s">
        <v>60</v>
      </c>
      <c r="T64" s="1">
        <v>8000</v>
      </c>
      <c r="U64" s="1">
        <v>30000</v>
      </c>
      <c r="X64" s="1">
        <v>300</v>
      </c>
      <c r="Y64" s="1">
        <v>2000</v>
      </c>
      <c r="AD64" s="1">
        <v>0.4</v>
      </c>
      <c r="AE64" s="1">
        <v>7</v>
      </c>
      <c r="AH64" t="s">
        <v>142</v>
      </c>
      <c r="AI64" t="str">
        <f>VLOOKUP(AH64,Links!$A$1:$B$16,2,FALSE)</f>
        <v>https://iplo.nl/thema/lucht/milieubelastende-activiteiten-lucht/technieken-beperking-luchtemissie/stofwasser/</v>
      </c>
    </row>
    <row r="65" spans="2:35" x14ac:dyDescent="0.15">
      <c r="B65" s="1">
        <f>IF(ISNONTEXT(VLOOKUP(H65,H$4:H64,1,FALSE)),ABS(B64)+1,-ABS(B64))</f>
        <v>-22</v>
      </c>
      <c r="C65" s="1" t="str">
        <f>IF(AND(OR(Data!$B$4="Overig",ISNUMBER(FIND("Emissie",'KE-berekening'!$C$13))),I65&lt;&gt;"",OR(T64&lt;&gt;T65,U64&lt;&gt;U65,V64&lt;&gt;V65,W64&lt;&gt;W65,X64&lt;&gt;X65,Y64&lt;&gt;Y65,Z64&lt;&gt;Z65,AA64&lt;&gt;AA65,AB64&lt;&gt;AB65,AC64&lt;&gt;AC65,C64="Nee")),"Ja","")</f>
        <v/>
      </c>
      <c r="D65" s="1">
        <f t="shared" si="3"/>
        <v>0</v>
      </c>
      <c r="E65" s="1">
        <f>IF(H65=Data!$B$4,ABS(E64)+1,-ABS(E64))</f>
        <v>5</v>
      </c>
      <c r="F65" s="1">
        <f t="shared" si="1"/>
        <v>5</v>
      </c>
      <c r="G65" s="1">
        <f t="shared" si="2"/>
        <v>62</v>
      </c>
      <c r="H65" s="17" t="s">
        <v>18</v>
      </c>
      <c r="I65" s="43" t="s">
        <v>14</v>
      </c>
      <c r="K65" s="1">
        <v>300</v>
      </c>
      <c r="L65" s="1">
        <v>19000</v>
      </c>
      <c r="M65" s="4">
        <v>-0.99</v>
      </c>
      <c r="O65" s="58">
        <v>0.1</v>
      </c>
      <c r="P65" s="58">
        <v>230000</v>
      </c>
      <c r="Q65" s="1">
        <v>0.1</v>
      </c>
      <c r="R65" s="1">
        <v>4.8</v>
      </c>
      <c r="S65" s="2" t="s">
        <v>60</v>
      </c>
      <c r="T65" s="1">
        <v>1000</v>
      </c>
      <c r="U65" s="1">
        <v>9000</v>
      </c>
      <c r="X65" s="1">
        <v>200</v>
      </c>
      <c r="Y65" s="1">
        <v>1500</v>
      </c>
      <c r="AD65" s="1">
        <v>0.2</v>
      </c>
      <c r="AE65" s="1">
        <v>2</v>
      </c>
      <c r="AH65" t="s">
        <v>141</v>
      </c>
      <c r="AI65" t="str">
        <f>VLOOKUP(AH65,Links!$A$1:$B$16,2,FALSE)</f>
        <v>https://iplo.nl/thema/lucht/milieubelastende-activiteiten-lucht/technieken-beperking-luchtemissie/stoffilter/</v>
      </c>
    </row>
    <row r="66" spans="2:35" x14ac:dyDescent="0.15">
      <c r="B66" s="1">
        <f>IF(ISNONTEXT(VLOOKUP(H66,H$4:H65,1,FALSE)),ABS(B65)+1,-ABS(B65))</f>
        <v>-22</v>
      </c>
      <c r="C66" s="1" t="str">
        <f>IF(AND(OR(Data!$B$4="Overig",ISNUMBER(FIND("Emissie",'KE-berekening'!$C$13))),I66&lt;&gt;"",OR(T65&lt;&gt;T66,U65&lt;&gt;U66,V65&lt;&gt;V66,W65&lt;&gt;W66,X65&lt;&gt;X66,Y65&lt;&gt;Y66,Z65&lt;&gt;Z66,AA65&lt;&gt;AA66,AB65&lt;&gt;AB66,AC65&lt;&gt;AC66,C65="Nee")),"Ja","")</f>
        <v/>
      </c>
      <c r="D66" s="1">
        <f t="shared" si="3"/>
        <v>0</v>
      </c>
      <c r="E66" s="1">
        <f>IF(H66=Data!$B$4,ABS(E65)+1,-ABS(E65))</f>
        <v>6</v>
      </c>
      <c r="F66" s="1">
        <f t="shared" si="1"/>
        <v>6</v>
      </c>
      <c r="G66" s="1">
        <f t="shared" si="2"/>
        <v>63</v>
      </c>
      <c r="H66" s="17" t="s">
        <v>18</v>
      </c>
      <c r="I66" s="43" t="s">
        <v>108</v>
      </c>
      <c r="K66" s="1">
        <v>300</v>
      </c>
      <c r="L66" s="1">
        <v>19000</v>
      </c>
      <c r="M66" s="4">
        <v>-0.99</v>
      </c>
      <c r="O66" s="58"/>
      <c r="P66" s="58">
        <v>-20000</v>
      </c>
      <c r="Q66" s="1">
        <v>0.1</v>
      </c>
      <c r="R66" s="1">
        <v>4.8</v>
      </c>
      <c r="S66" s="2" t="s">
        <v>60</v>
      </c>
      <c r="T66" s="1">
        <v>30000</v>
      </c>
      <c r="U66" s="1">
        <v>55000</v>
      </c>
      <c r="X66" s="1">
        <v>200</v>
      </c>
      <c r="Y66" s="1">
        <v>1500</v>
      </c>
      <c r="AD66" s="1">
        <v>0.2</v>
      </c>
      <c r="AE66" s="1">
        <v>2</v>
      </c>
      <c r="AH66" t="s">
        <v>141</v>
      </c>
      <c r="AI66" t="str">
        <f>VLOOKUP(AH66,Links!$A$1:$B$16,2,FALSE)</f>
        <v>https://iplo.nl/thema/lucht/milieubelastende-activiteiten-lucht/technieken-beperking-luchtemissie/stoffilter/</v>
      </c>
    </row>
    <row r="67" spans="2:35" x14ac:dyDescent="0.15">
      <c r="B67" s="1">
        <f>IF(ISNONTEXT(VLOOKUP(H67,H$4:H66,1,FALSE)),ABS(B66)+1,-ABS(B66))</f>
        <v>-22</v>
      </c>
      <c r="C67" s="1" t="str">
        <f>IF(AND(OR(Data!$B$4="Overig",ISNUMBER(FIND("Emissie",'KE-berekening'!$C$13))),I67&lt;&gt;"",OR(T66&lt;&gt;T67,U66&lt;&gt;U67,V66&lt;&gt;V67,W66&lt;&gt;W67,X66&lt;&gt;X67,Y66&lt;&gt;Y67,Z66&lt;&gt;Z67,AA66&lt;&gt;AA67,AB66&lt;&gt;AB67,AC66&lt;&gt;AC67,C66="Nee")),"Ja","")</f>
        <v/>
      </c>
      <c r="D67" s="1">
        <f t="shared" si="3"/>
        <v>0</v>
      </c>
      <c r="E67" s="1">
        <f>IF(H67=Data!$B$4,ABS(E66)+1,-ABS(E66))</f>
        <v>7</v>
      </c>
      <c r="F67" s="1">
        <f t="shared" si="1"/>
        <v>7</v>
      </c>
      <c r="G67" s="1">
        <f t="shared" si="2"/>
        <v>64</v>
      </c>
      <c r="H67" s="17" t="s">
        <v>18</v>
      </c>
      <c r="I67" s="43" t="s">
        <v>15</v>
      </c>
      <c r="K67" s="1">
        <v>1800</v>
      </c>
      <c r="L67" s="1">
        <v>170000</v>
      </c>
      <c r="M67" s="4">
        <v>0.7</v>
      </c>
      <c r="N67" s="4">
        <v>0.99</v>
      </c>
      <c r="O67" s="58"/>
      <c r="P67" s="58">
        <v>-11000</v>
      </c>
      <c r="Q67" s="1">
        <v>0.2</v>
      </c>
      <c r="R67" s="1">
        <v>8</v>
      </c>
      <c r="S67" s="2" t="s">
        <v>60</v>
      </c>
      <c r="T67" s="1">
        <v>2000</v>
      </c>
      <c r="U67" s="1">
        <v>10000</v>
      </c>
      <c r="X67" s="1">
        <v>150</v>
      </c>
      <c r="Y67" s="1">
        <v>2000</v>
      </c>
      <c r="AD67" s="1">
        <v>0.4</v>
      </c>
      <c r="AE67" s="1">
        <v>7</v>
      </c>
      <c r="AH67" t="s">
        <v>142</v>
      </c>
      <c r="AI67" t="str">
        <f>VLOOKUP(AH67,Links!$A$1:$B$16,2,FALSE)</f>
        <v>https://iplo.nl/thema/lucht/milieubelastende-activiteiten-lucht/technieken-beperking-luchtemissie/stofwasser/</v>
      </c>
    </row>
    <row r="68" spans="2:35" x14ac:dyDescent="0.15">
      <c r="B68" s="1">
        <f>IF(ISNONTEXT(VLOOKUP(H68,H$4:H67,1,FALSE)),ABS(B67)+1,-ABS(B67))</f>
        <v>-22</v>
      </c>
      <c r="C68" s="1" t="str">
        <f>IF(AND(OR(Data!$B$4="Overig",ISNUMBER(FIND("Emissie",'KE-berekening'!$C$13))),I68&lt;&gt;"",OR(T67&lt;&gt;T68,U67&lt;&gt;U68,V67&lt;&gt;V68,W67&lt;&gt;W68,X67&lt;&gt;X68,Y67&lt;&gt;Y68,Z67&lt;&gt;Z68,AA67&lt;&gt;AA68,AB67&lt;&gt;AB68,AC67&lt;&gt;AC68,C67="Nee")),"Ja","")</f>
        <v/>
      </c>
      <c r="D68" s="1">
        <f t="shared" si="3"/>
        <v>0</v>
      </c>
      <c r="E68" s="1">
        <f>IF(H68=Data!$B$4,ABS(E67)+1,-ABS(E67))</f>
        <v>-7</v>
      </c>
      <c r="F68" s="1">
        <f t="shared" si="1"/>
        <v>-7</v>
      </c>
      <c r="G68" s="1">
        <f t="shared" si="2"/>
        <v>65</v>
      </c>
      <c r="H68" s="17" t="s">
        <v>19</v>
      </c>
      <c r="I68" s="43" t="s">
        <v>15</v>
      </c>
      <c r="K68" s="1">
        <v>1800</v>
      </c>
      <c r="L68" s="1">
        <v>170000</v>
      </c>
      <c r="M68" s="4">
        <v>0.7</v>
      </c>
      <c r="N68" s="4">
        <v>0.99</v>
      </c>
      <c r="O68" s="58"/>
      <c r="P68" s="58">
        <v>-11000</v>
      </c>
      <c r="Q68" s="1">
        <v>0.2</v>
      </c>
      <c r="R68" s="1">
        <v>8</v>
      </c>
      <c r="S68" s="2" t="s">
        <v>60</v>
      </c>
      <c r="T68" s="1">
        <v>2000</v>
      </c>
      <c r="U68" s="1">
        <v>10000</v>
      </c>
      <c r="X68" s="1">
        <v>150</v>
      </c>
      <c r="Y68" s="1">
        <v>2000</v>
      </c>
      <c r="AD68" s="1">
        <v>0.4</v>
      </c>
      <c r="AE68" s="1">
        <v>7</v>
      </c>
      <c r="AH68" t="s">
        <v>142</v>
      </c>
      <c r="AI68" t="str">
        <f>VLOOKUP(AH68,Links!$A$1:$B$16,2,FALSE)</f>
        <v>https://iplo.nl/thema/lucht/milieubelastende-activiteiten-lucht/technieken-beperking-luchtemissie/stofwasser/</v>
      </c>
    </row>
    <row r="69" spans="2:35" x14ac:dyDescent="0.15">
      <c r="B69" s="1">
        <f>IF(ISNONTEXT(VLOOKUP(H69,H$4:H68,1,FALSE)),ABS(B68)+1,-ABS(B68))</f>
        <v>-22</v>
      </c>
      <c r="C69" s="1" t="str">
        <f>IF(AND(OR(Data!$B$4="Overig",ISNUMBER(FIND("Emissie",'KE-berekening'!$C$13))),I69&lt;&gt;"",OR(T68&lt;&gt;T69,U68&lt;&gt;U69,V68&lt;&gt;V69,W68&lt;&gt;W69,X68&lt;&gt;X69,Y68&lt;&gt;Y69,Z68&lt;&gt;Z69,AA68&lt;&gt;AA69,AB68&lt;&gt;AB69,AC68&lt;&gt;AC69,C68="Nee")),"Ja","")</f>
        <v/>
      </c>
      <c r="D69" s="1">
        <f t="shared" si="3"/>
        <v>0</v>
      </c>
      <c r="E69" s="1">
        <f>IF(H69=Data!$B$4,ABS(E68)+1,-ABS(E68))</f>
        <v>-7</v>
      </c>
      <c r="F69" s="1">
        <f t="shared" ref="F69:F132" si="4">IF($C$4="Ja",D69,E69)</f>
        <v>-7</v>
      </c>
      <c r="G69" s="1">
        <f t="shared" ref="G69:G132" si="5">ROW(F69)-ROW($B$3)</f>
        <v>66</v>
      </c>
      <c r="H69" s="17" t="s">
        <v>52</v>
      </c>
      <c r="I69" s="43" t="s">
        <v>100</v>
      </c>
      <c r="K69" s="1">
        <v>1500</v>
      </c>
      <c r="L69" s="1">
        <v>75000</v>
      </c>
      <c r="M69" s="4">
        <v>-0.98</v>
      </c>
      <c r="O69" s="58"/>
      <c r="P69" s="58"/>
      <c r="Q69" s="1">
        <v>-1</v>
      </c>
      <c r="S69" s="1" t="s">
        <v>60</v>
      </c>
      <c r="T69" s="1">
        <v>30000</v>
      </c>
      <c r="U69" s="1">
        <v>100000</v>
      </c>
      <c r="X69" s="1">
        <v>2500</v>
      </c>
      <c r="Y69" s="1">
        <v>12000</v>
      </c>
      <c r="AD69" s="1">
        <v>3</v>
      </c>
      <c r="AE69" s="1">
        <v>8</v>
      </c>
      <c r="AF69" s="1" t="s">
        <v>7</v>
      </c>
      <c r="AG69" s="1" t="s">
        <v>163</v>
      </c>
      <c r="AH69" t="s">
        <v>139</v>
      </c>
      <c r="AI69" t="str">
        <f>VLOOKUP(AH69,Links!$A$1:$B$16,2,FALSE)</f>
        <v>https://iplo.nl/thema/lucht/milieubelastende-activiteiten-lucht/technieken-beperking-luchtemissie/naverbrander/</v>
      </c>
    </row>
    <row r="70" spans="2:35" x14ac:dyDescent="0.15">
      <c r="B70" s="1">
        <f>IF(ISNONTEXT(VLOOKUP(H70,H$4:H69,1,FALSE)),ABS(B69)+1,-ABS(B69))</f>
        <v>23</v>
      </c>
      <c r="C70" s="1" t="str">
        <f>IF(AND(OR(Data!$B$4="Overig",ISNUMBER(FIND("Emissie",'KE-berekening'!$C$13))),I70&lt;&gt;"",OR(T69&lt;&gt;T70,U69&lt;&gt;U70,V69&lt;&gt;V70,W69&lt;&gt;W70,X69&lt;&gt;X70,Y69&lt;&gt;Y70,Z69&lt;&gt;Z70,AA69&lt;&gt;AA70,AB69&lt;&gt;AB70,AC69&lt;&gt;AC70,C69="Nee")),"Ja","")</f>
        <v/>
      </c>
      <c r="D70" s="1">
        <f t="shared" ref="D70:D133" si="6">IF(C70="Ja",ABS(D69)+1,-ABS(D69))</f>
        <v>0</v>
      </c>
      <c r="E70" s="1">
        <f>IF(H70=Data!$B$4,ABS(E69)+1,-ABS(E69))</f>
        <v>-7</v>
      </c>
      <c r="F70" s="1">
        <f t="shared" si="4"/>
        <v>-7</v>
      </c>
      <c r="G70" s="1">
        <f t="shared" si="5"/>
        <v>67</v>
      </c>
      <c r="H70" s="17" t="s">
        <v>98</v>
      </c>
      <c r="I70" s="43" t="s">
        <v>100</v>
      </c>
      <c r="K70" s="1">
        <v>1500</v>
      </c>
      <c r="L70" s="1">
        <v>75000</v>
      </c>
      <c r="M70" s="4">
        <v>-0.25</v>
      </c>
      <c r="O70" s="58"/>
      <c r="P70" s="58"/>
      <c r="Q70" s="1">
        <v>-1</v>
      </c>
      <c r="S70" s="1" t="s">
        <v>60</v>
      </c>
      <c r="T70" s="1">
        <v>30000</v>
      </c>
      <c r="U70" s="1">
        <v>100000</v>
      </c>
      <c r="X70" s="1">
        <v>2500</v>
      </c>
      <c r="Y70" s="1">
        <v>12000</v>
      </c>
      <c r="AD70" s="1">
        <v>3</v>
      </c>
      <c r="AE70" s="1">
        <v>8</v>
      </c>
      <c r="AF70" s="1" t="s">
        <v>7</v>
      </c>
      <c r="AG70" s="1" t="s">
        <v>163</v>
      </c>
      <c r="AH70" t="s">
        <v>139</v>
      </c>
      <c r="AI70" t="str">
        <f>VLOOKUP(AH70,Links!$A$1:$B$16,2,FALSE)</f>
        <v>https://iplo.nl/thema/lucht/milieubelastende-activiteiten-lucht/technieken-beperking-luchtemissie/naverbrander/</v>
      </c>
    </row>
    <row r="71" spans="2:35" x14ac:dyDescent="0.15">
      <c r="B71" s="1">
        <f>IF(ISNONTEXT(VLOOKUP(H71,H$4:H70,1,FALSE)),ABS(B70)+1,-ABS(B70))</f>
        <v>-23</v>
      </c>
      <c r="C71" s="1" t="str">
        <f>IF(AND(OR(Data!$B$4="Overig",ISNUMBER(FIND("Emissie",'KE-berekening'!$C$13))),I71&lt;&gt;"",OR(T70&lt;&gt;T71,U70&lt;&gt;U71,V70&lt;&gt;V71,W70&lt;&gt;W71,X70&lt;&gt;X71,Y70&lt;&gt;Y71,Z70&lt;&gt;Z71,AA70&lt;&gt;AA71,AB70&lt;&gt;AB71,AC70&lt;&gt;AC71,C70="Nee")),"Ja","")</f>
        <v/>
      </c>
      <c r="D71" s="1">
        <f t="shared" si="6"/>
        <v>0</v>
      </c>
      <c r="E71" s="1">
        <f>IF(H71=Data!$B$4,ABS(E70)+1,-ABS(E70))</f>
        <v>-7</v>
      </c>
      <c r="F71" s="1">
        <f t="shared" si="4"/>
        <v>-7</v>
      </c>
      <c r="G71" s="1">
        <f t="shared" si="5"/>
        <v>68</v>
      </c>
      <c r="H71" s="17" t="s">
        <v>49</v>
      </c>
      <c r="I71" s="43" t="s">
        <v>100</v>
      </c>
      <c r="K71" s="1">
        <v>1500</v>
      </c>
      <c r="L71" s="1">
        <v>75000</v>
      </c>
      <c r="M71" s="4">
        <v>-0.98</v>
      </c>
      <c r="O71" s="58"/>
      <c r="P71" s="58"/>
      <c r="S71" s="1" t="s">
        <v>109</v>
      </c>
      <c r="T71" s="1">
        <v>30000</v>
      </c>
      <c r="U71" s="1">
        <v>100000</v>
      </c>
      <c r="X71" s="1">
        <v>2500</v>
      </c>
      <c r="Y71" s="1">
        <v>12000</v>
      </c>
      <c r="AD71" s="1">
        <v>3</v>
      </c>
      <c r="AE71" s="1">
        <v>8</v>
      </c>
      <c r="AF71" s="1" t="s">
        <v>7</v>
      </c>
      <c r="AG71" s="1" t="s">
        <v>163</v>
      </c>
      <c r="AH71" t="s">
        <v>139</v>
      </c>
      <c r="AI71" t="str">
        <f>VLOOKUP(AH71,Links!$A$1:$B$16,2,FALSE)</f>
        <v>https://iplo.nl/thema/lucht/milieubelastende-activiteiten-lucht/technieken-beperking-luchtemissie/naverbrander/</v>
      </c>
    </row>
    <row r="72" spans="2:35" x14ac:dyDescent="0.15">
      <c r="B72" s="1">
        <f>IF(ISNONTEXT(VLOOKUP(H72,H$4:H71,1,FALSE)),ABS(B71)+1,-ABS(B71))</f>
        <v>-23</v>
      </c>
      <c r="C72" s="1" t="str">
        <f>IF(AND(OR(Data!$B$4="Overig",ISNUMBER(FIND("Emissie",'KE-berekening'!$C$13))),I72&lt;&gt;"",OR(T71&lt;&gt;T72,U71&lt;&gt;U72,V71&lt;&gt;V72,W71&lt;&gt;W72,X71&lt;&gt;X72,Y71&lt;&gt;Y72,Z71&lt;&gt;Z72,AA71&lt;&gt;AA72,AB71&lt;&gt;AB72,AC71&lt;&gt;AC72,C71="Nee")),"Ja","")</f>
        <v/>
      </c>
      <c r="D72" s="1">
        <f t="shared" si="6"/>
        <v>0</v>
      </c>
      <c r="E72" s="1">
        <f>IF(H72=Data!$B$4,ABS(E71)+1,-ABS(E71))</f>
        <v>-7</v>
      </c>
      <c r="F72" s="1">
        <f t="shared" si="4"/>
        <v>-7</v>
      </c>
      <c r="G72" s="1">
        <f t="shared" si="5"/>
        <v>69</v>
      </c>
      <c r="H72" s="17" t="s">
        <v>52</v>
      </c>
      <c r="I72" s="43" t="s">
        <v>152</v>
      </c>
      <c r="K72" s="1">
        <v>4000</v>
      </c>
      <c r="L72" s="1">
        <v>70000</v>
      </c>
      <c r="M72" s="4">
        <v>-0.98</v>
      </c>
      <c r="O72" s="58"/>
      <c r="P72" s="58"/>
      <c r="Q72" s="1">
        <v>-1</v>
      </c>
      <c r="S72" s="1" t="s">
        <v>60</v>
      </c>
      <c r="T72" s="1">
        <v>30000</v>
      </c>
      <c r="U72" s="1">
        <v>100000</v>
      </c>
      <c r="X72" s="1">
        <v>2500</v>
      </c>
      <c r="Y72" s="1">
        <v>12000</v>
      </c>
      <c r="AD72" s="1">
        <v>3</v>
      </c>
      <c r="AE72" s="1">
        <v>8</v>
      </c>
      <c r="AF72" s="1" t="s">
        <v>7</v>
      </c>
      <c r="AG72" s="1" t="s">
        <v>163</v>
      </c>
      <c r="AH72" t="s">
        <v>139</v>
      </c>
      <c r="AI72" t="str">
        <f>VLOOKUP(AH72,Links!$A$1:$B$16,2,FALSE)</f>
        <v>https://iplo.nl/thema/lucht/milieubelastende-activiteiten-lucht/technieken-beperking-luchtemissie/naverbrander/</v>
      </c>
    </row>
    <row r="73" spans="2:35" x14ac:dyDescent="0.15">
      <c r="B73" s="1">
        <f>IF(ISNONTEXT(VLOOKUP(H73,H$4:H72,1,FALSE)),ABS(B72)+1,-ABS(B72))</f>
        <v>-23</v>
      </c>
      <c r="C73" s="1" t="str">
        <f>IF(AND(OR(Data!$B$4="Overig",ISNUMBER(FIND("Emissie",'KE-berekening'!$C$13))),I73&lt;&gt;"",OR(T72&lt;&gt;T73,U72&lt;&gt;U73,V72&lt;&gt;V73,W72&lt;&gt;W73,X72&lt;&gt;X73,Y72&lt;&gt;Y73,Z72&lt;&gt;Z73,AA72&lt;&gt;AA73,AB72&lt;&gt;AB73,AC72&lt;&gt;AC73,C72="Nee")),"Ja","")</f>
        <v/>
      </c>
      <c r="D73" s="1">
        <f t="shared" si="6"/>
        <v>0</v>
      </c>
      <c r="E73" s="1">
        <f>IF(H73=Data!$B$4,ABS(E72)+1,-ABS(E72))</f>
        <v>-7</v>
      </c>
      <c r="F73" s="1">
        <f t="shared" si="4"/>
        <v>-7</v>
      </c>
      <c r="G73" s="1">
        <f t="shared" si="5"/>
        <v>70</v>
      </c>
      <c r="H73" s="17" t="s">
        <v>98</v>
      </c>
      <c r="I73" s="43" t="s">
        <v>152</v>
      </c>
      <c r="K73" s="1">
        <v>4000</v>
      </c>
      <c r="L73" s="1">
        <v>70000</v>
      </c>
      <c r="M73" s="4">
        <v>0.25</v>
      </c>
      <c r="N73" s="4">
        <v>0.999</v>
      </c>
      <c r="O73" s="58"/>
      <c r="P73" s="58"/>
      <c r="Q73" s="1">
        <v>-1</v>
      </c>
      <c r="S73" s="1" t="s">
        <v>60</v>
      </c>
      <c r="T73" s="1">
        <v>30000</v>
      </c>
      <c r="U73" s="1">
        <v>100000</v>
      </c>
      <c r="X73" s="1">
        <v>2500</v>
      </c>
      <c r="Y73" s="1">
        <v>12000</v>
      </c>
      <c r="AD73" s="1">
        <v>3</v>
      </c>
      <c r="AE73" s="1">
        <v>8</v>
      </c>
      <c r="AF73" s="1" t="s">
        <v>7</v>
      </c>
      <c r="AG73" s="1" t="s">
        <v>163</v>
      </c>
      <c r="AH73" t="s">
        <v>139</v>
      </c>
      <c r="AI73" t="str">
        <f>VLOOKUP(AH73,Links!$A$1:$B$16,2,FALSE)</f>
        <v>https://iplo.nl/thema/lucht/milieubelastende-activiteiten-lucht/technieken-beperking-luchtemissie/naverbrander/</v>
      </c>
    </row>
    <row r="74" spans="2:35" x14ac:dyDescent="0.15">
      <c r="B74" s="1">
        <f>IF(ISNONTEXT(VLOOKUP(H74,H$4:H73,1,FALSE)),ABS(B73)+1,-ABS(B73))</f>
        <v>-23</v>
      </c>
      <c r="C74" s="1" t="str">
        <f>IF(AND(OR(Data!$B$4="Overig",ISNUMBER(FIND("Emissie",'KE-berekening'!$C$13))),I74&lt;&gt;"",OR(T73&lt;&gt;T74,U73&lt;&gt;U74,V73&lt;&gt;V74,W73&lt;&gt;W74,X73&lt;&gt;X74,Y73&lt;&gt;Y74,Z73&lt;&gt;Z74,AA73&lt;&gt;AA74,AB73&lt;&gt;AB74,AC73&lt;&gt;AC74,C73="Nee")),"Ja","")</f>
        <v/>
      </c>
      <c r="D74" s="1">
        <f t="shared" si="6"/>
        <v>0</v>
      </c>
      <c r="E74" s="1">
        <f>IF(H74=Data!$B$4,ABS(E73)+1,-ABS(E73))</f>
        <v>-7</v>
      </c>
      <c r="F74" s="1">
        <f t="shared" si="4"/>
        <v>-7</v>
      </c>
      <c r="G74" s="1">
        <f t="shared" si="5"/>
        <v>71</v>
      </c>
      <c r="H74" s="17" t="s">
        <v>49</v>
      </c>
      <c r="I74" s="43" t="s">
        <v>152</v>
      </c>
      <c r="K74" s="1">
        <v>4000</v>
      </c>
      <c r="L74" s="1">
        <v>70000</v>
      </c>
      <c r="M74" s="4">
        <v>-0.98</v>
      </c>
      <c r="O74" s="58"/>
      <c r="P74" s="58"/>
      <c r="S74" s="1" t="s">
        <v>109</v>
      </c>
      <c r="T74" s="1">
        <v>30000</v>
      </c>
      <c r="U74" s="1">
        <v>100000</v>
      </c>
      <c r="X74" s="1">
        <v>2500</v>
      </c>
      <c r="Y74" s="1">
        <v>12000</v>
      </c>
      <c r="AD74" s="1">
        <v>3</v>
      </c>
      <c r="AE74" s="1">
        <v>8</v>
      </c>
      <c r="AF74" s="1" t="s">
        <v>7</v>
      </c>
      <c r="AG74" s="1" t="s">
        <v>163</v>
      </c>
      <c r="AH74" t="s">
        <v>139</v>
      </c>
      <c r="AI74" t="str">
        <f>VLOOKUP(AH74,Links!$A$1:$B$16,2,FALSE)</f>
        <v>https://iplo.nl/thema/lucht/milieubelastende-activiteiten-lucht/technieken-beperking-luchtemissie/naverbrander/</v>
      </c>
    </row>
    <row r="75" spans="2:35" x14ac:dyDescent="0.15">
      <c r="B75" s="1">
        <f>IF(ISNONTEXT(VLOOKUP(H75,H$4:H74,1,FALSE)),ABS(B74)+1,-ABS(B74))</f>
        <v>-23</v>
      </c>
      <c r="C75" s="1" t="str">
        <f>IF(AND(OR(Data!$B$4="Overig",ISNUMBER(FIND("Emissie",'KE-berekening'!$C$13))),I75&lt;&gt;"",OR(T74&lt;&gt;T75,U74&lt;&gt;U75,V74&lt;&gt;V75,W74&lt;&gt;W75,X74&lt;&gt;X75,Y74&lt;&gt;Y75,Z74&lt;&gt;Z75,AA74&lt;&gt;AA75,AB74&lt;&gt;AB75,AC74&lt;&gt;AC75,C74="Nee")),"Ja","")</f>
        <v/>
      </c>
      <c r="D75" s="1">
        <f t="shared" si="6"/>
        <v>0</v>
      </c>
      <c r="E75" s="1">
        <f>IF(H75=Data!$B$4,ABS(E74)+1,-ABS(E74))</f>
        <v>-7</v>
      </c>
      <c r="F75" s="1">
        <f t="shared" si="4"/>
        <v>-7</v>
      </c>
      <c r="G75" s="1">
        <f t="shared" si="5"/>
        <v>72</v>
      </c>
      <c r="H75" s="17" t="s">
        <v>52</v>
      </c>
      <c r="I75" s="43" t="s">
        <v>99</v>
      </c>
      <c r="K75" s="1">
        <v>1000</v>
      </c>
      <c r="L75" s="1">
        <v>21000</v>
      </c>
      <c r="M75" s="4">
        <v>-0.98</v>
      </c>
      <c r="O75" s="58"/>
      <c r="P75" s="58"/>
      <c r="Q75" s="1">
        <v>-1</v>
      </c>
      <c r="S75" s="1" t="s">
        <v>60</v>
      </c>
      <c r="T75" s="1">
        <v>10000</v>
      </c>
      <c r="U75" s="1">
        <v>40000</v>
      </c>
      <c r="X75" s="1">
        <v>2500</v>
      </c>
      <c r="Y75" s="1">
        <v>30000</v>
      </c>
      <c r="AD75" s="1">
        <v>3</v>
      </c>
      <c r="AE75" s="1">
        <v>8</v>
      </c>
      <c r="AF75" s="1" t="s">
        <v>7</v>
      </c>
      <c r="AG75" s="1" t="s">
        <v>163</v>
      </c>
      <c r="AH75" t="s">
        <v>139</v>
      </c>
      <c r="AI75" t="str">
        <f>VLOOKUP(AH75,Links!$A$1:$B$16,2,FALSE)</f>
        <v>https://iplo.nl/thema/lucht/milieubelastende-activiteiten-lucht/technieken-beperking-luchtemissie/naverbrander/</v>
      </c>
    </row>
    <row r="76" spans="2:35" x14ac:dyDescent="0.15">
      <c r="B76" s="1">
        <f>IF(ISNONTEXT(VLOOKUP(H76,H$4:H75,1,FALSE)),ABS(B75)+1,-ABS(B75))</f>
        <v>-23</v>
      </c>
      <c r="C76" s="1" t="str">
        <f>IF(AND(OR(Data!$B$4="Overig",ISNUMBER(FIND("Emissie",'KE-berekening'!$C$13))),I76&lt;&gt;"",OR(T75&lt;&gt;T76,U75&lt;&gt;U76,V75&lt;&gt;V76,W75&lt;&gt;W76,X75&lt;&gt;X76,Y75&lt;&gt;Y76,Z75&lt;&gt;Z76,AA75&lt;&gt;AA76,AB75&lt;&gt;AB76,AC75&lt;&gt;AC76,C75="Nee")),"Ja","")</f>
        <v/>
      </c>
      <c r="D76" s="1">
        <f t="shared" si="6"/>
        <v>0</v>
      </c>
      <c r="E76" s="1">
        <f>IF(H76=Data!$B$4,ABS(E75)+1,-ABS(E75))</f>
        <v>-7</v>
      </c>
      <c r="F76" s="1">
        <f t="shared" si="4"/>
        <v>-7</v>
      </c>
      <c r="G76" s="1">
        <f t="shared" si="5"/>
        <v>73</v>
      </c>
      <c r="H76" s="17" t="s">
        <v>98</v>
      </c>
      <c r="I76" s="43" t="s">
        <v>99</v>
      </c>
      <c r="K76" s="1">
        <v>1000</v>
      </c>
      <c r="L76" s="1">
        <v>21000</v>
      </c>
      <c r="M76" s="4">
        <v>-0.25</v>
      </c>
      <c r="O76" s="58"/>
      <c r="P76" s="58"/>
      <c r="Q76" s="1">
        <v>-1</v>
      </c>
      <c r="S76" s="1" t="s">
        <v>60</v>
      </c>
      <c r="T76" s="1">
        <v>10000</v>
      </c>
      <c r="U76" s="1">
        <v>40000</v>
      </c>
      <c r="X76" s="1">
        <v>2500</v>
      </c>
      <c r="Y76" s="1">
        <v>30000</v>
      </c>
      <c r="AD76" s="1">
        <v>3</v>
      </c>
      <c r="AE76" s="1">
        <v>8</v>
      </c>
      <c r="AF76" s="1" t="s">
        <v>7</v>
      </c>
      <c r="AG76" s="1" t="s">
        <v>163</v>
      </c>
      <c r="AH76" t="s">
        <v>139</v>
      </c>
      <c r="AI76" t="str">
        <f>VLOOKUP(AH76,Links!$A$1:$B$16,2,FALSE)</f>
        <v>https://iplo.nl/thema/lucht/milieubelastende-activiteiten-lucht/technieken-beperking-luchtemissie/naverbrander/</v>
      </c>
    </row>
    <row r="77" spans="2:35" x14ac:dyDescent="0.15">
      <c r="B77" s="1">
        <f>IF(ISNONTEXT(VLOOKUP(H77,H$4:H76,1,FALSE)),ABS(B76)+1,-ABS(B76))</f>
        <v>-23</v>
      </c>
      <c r="C77" s="1" t="str">
        <f>IF(AND(OR(Data!$B$4="Overig",ISNUMBER(FIND("Emissie",'KE-berekening'!$C$13))),I77&lt;&gt;"",OR(T76&lt;&gt;T77,U76&lt;&gt;U77,V76&lt;&gt;V77,W76&lt;&gt;W77,X76&lt;&gt;X77,Y76&lt;&gt;Y77,Z76&lt;&gt;Z77,AA76&lt;&gt;AA77,AB76&lt;&gt;AB77,AC76&lt;&gt;AC77,C76="Nee")),"Ja","")</f>
        <v/>
      </c>
      <c r="D77" s="1">
        <f t="shared" si="6"/>
        <v>0</v>
      </c>
      <c r="E77" s="1">
        <f>IF(H77=Data!$B$4,ABS(E76)+1,-ABS(E76))</f>
        <v>-7</v>
      </c>
      <c r="F77" s="1">
        <f t="shared" si="4"/>
        <v>-7</v>
      </c>
      <c r="G77" s="1">
        <f t="shared" si="5"/>
        <v>74</v>
      </c>
      <c r="H77" s="17" t="s">
        <v>49</v>
      </c>
      <c r="I77" s="43" t="s">
        <v>99</v>
      </c>
      <c r="K77" s="1">
        <v>1000</v>
      </c>
      <c r="L77" s="1">
        <v>21000</v>
      </c>
      <c r="M77" s="4">
        <v>-0.98</v>
      </c>
      <c r="O77" s="58"/>
      <c r="P77" s="58"/>
      <c r="S77" s="1" t="s">
        <v>109</v>
      </c>
      <c r="T77" s="1">
        <v>10000</v>
      </c>
      <c r="U77" s="1">
        <v>40000</v>
      </c>
      <c r="X77" s="1">
        <v>2500</v>
      </c>
      <c r="Y77" s="1">
        <v>30000</v>
      </c>
      <c r="AD77" s="1">
        <v>3</v>
      </c>
      <c r="AE77" s="1">
        <v>8</v>
      </c>
      <c r="AF77" s="1" t="s">
        <v>7</v>
      </c>
      <c r="AG77" s="1" t="s">
        <v>163</v>
      </c>
      <c r="AH77" t="s">
        <v>139</v>
      </c>
      <c r="AI77" t="str">
        <f>VLOOKUP(AH77,Links!$A$1:$B$16,2,FALSE)</f>
        <v>https://iplo.nl/thema/lucht/milieubelastende-activiteiten-lucht/technieken-beperking-luchtemissie/naverbrander/</v>
      </c>
    </row>
    <row r="78" spans="2:35" x14ac:dyDescent="0.15">
      <c r="B78" s="1">
        <f>IF(ISNONTEXT(VLOOKUP(H78,H$4:H77,1,FALSE)),ABS(B77)+1,-ABS(B77))</f>
        <v>-23</v>
      </c>
      <c r="C78" s="1" t="str">
        <f>IF(AND(OR(Data!$B$4="Overig",ISNUMBER(FIND("Emissie",'KE-berekening'!$C$13))),I78&lt;&gt;"",OR(T77&lt;&gt;T78,U77&lt;&gt;U78,V77&lt;&gt;V78,W77&lt;&gt;W78,X77&lt;&gt;X78,Y77&lt;&gt;Y78,Z77&lt;&gt;Z78,AA77&lt;&gt;AA78,AB77&lt;&gt;AB78,AC77&lt;&gt;AC78,C77="Nee")),"Ja","")</f>
        <v/>
      </c>
      <c r="D78" s="1">
        <f t="shared" si="6"/>
        <v>0</v>
      </c>
      <c r="E78" s="1">
        <f>IF(H78=Data!$B$4,ABS(E77)+1,-ABS(E77))</f>
        <v>8</v>
      </c>
      <c r="F78" s="1">
        <f t="shared" si="4"/>
        <v>8</v>
      </c>
      <c r="G78" s="1">
        <f t="shared" si="5"/>
        <v>75</v>
      </c>
      <c r="H78" s="17" t="s">
        <v>18</v>
      </c>
      <c r="I78" s="43" t="s">
        <v>16</v>
      </c>
      <c r="K78" s="1">
        <v>720</v>
      </c>
      <c r="L78" s="1">
        <v>100000</v>
      </c>
      <c r="M78" s="4">
        <v>0.7</v>
      </c>
      <c r="N78" s="4">
        <v>0.99</v>
      </c>
      <c r="O78" s="58"/>
      <c r="P78" s="58">
        <v>-115000</v>
      </c>
      <c r="Q78" s="1">
        <v>0.2</v>
      </c>
      <c r="R78" s="1">
        <v>8</v>
      </c>
      <c r="S78" s="2" t="s">
        <v>60</v>
      </c>
      <c r="T78" s="1">
        <v>5000</v>
      </c>
      <c r="U78" s="1">
        <v>15000</v>
      </c>
      <c r="X78" s="1">
        <v>500</v>
      </c>
      <c r="Y78" s="1">
        <v>2000</v>
      </c>
      <c r="AD78" s="1">
        <v>0.4</v>
      </c>
      <c r="AE78" s="1">
        <v>7</v>
      </c>
      <c r="AH78" t="s">
        <v>142</v>
      </c>
      <c r="AI78" t="str">
        <f>VLOOKUP(AH78,Links!$A$1:$B$16,2,FALSE)</f>
        <v>https://iplo.nl/thema/lucht/milieubelastende-activiteiten-lucht/technieken-beperking-luchtemissie/stofwasser/</v>
      </c>
    </row>
    <row r="79" spans="2:35" x14ac:dyDescent="0.15">
      <c r="B79" s="1">
        <f>IF(ISNONTEXT(VLOOKUP(H79,H$4:H78,1,FALSE)),ABS(B78)+1,-ABS(B78))</f>
        <v>-23</v>
      </c>
      <c r="C79" s="1" t="str">
        <f>IF(AND(OR(Data!$B$4="Overig",ISNUMBER(FIND("Emissie",'KE-berekening'!$C$13))),I79&lt;&gt;"",OR(T78&lt;&gt;T79,U78&lt;&gt;U79,V78&lt;&gt;V79,W78&lt;&gt;W79,X78&lt;&gt;X79,Y78&lt;&gt;Y79,Z78&lt;&gt;Z79,AA78&lt;&gt;AA79,AB78&lt;&gt;AB79,AC78&lt;&gt;AC79,C78="Nee")),"Ja","")</f>
        <v/>
      </c>
      <c r="D79" s="1">
        <f t="shared" si="6"/>
        <v>0</v>
      </c>
      <c r="E79" s="1">
        <f>IF(H79=Data!$B$4,ABS(E78)+1,-ABS(E78))</f>
        <v>-8</v>
      </c>
      <c r="F79" s="1">
        <f t="shared" si="4"/>
        <v>-8</v>
      </c>
      <c r="G79" s="1">
        <f t="shared" si="5"/>
        <v>76</v>
      </c>
      <c r="H79" s="17" t="s">
        <v>19</v>
      </c>
      <c r="I79" s="43" t="s">
        <v>16</v>
      </c>
      <c r="K79" s="1">
        <v>720</v>
      </c>
      <c r="L79" s="1">
        <v>100000</v>
      </c>
      <c r="M79" s="4">
        <v>0.7</v>
      </c>
      <c r="N79" s="4">
        <v>0.99</v>
      </c>
      <c r="O79" s="58"/>
      <c r="P79" s="58">
        <v>-115000</v>
      </c>
      <c r="Q79" s="1">
        <v>0.2</v>
      </c>
      <c r="R79" s="1">
        <v>8</v>
      </c>
      <c r="S79" s="2" t="s">
        <v>60</v>
      </c>
      <c r="T79" s="1">
        <v>5000</v>
      </c>
      <c r="U79" s="1">
        <v>15000</v>
      </c>
      <c r="X79" s="1">
        <v>500</v>
      </c>
      <c r="Y79" s="1">
        <v>2000</v>
      </c>
      <c r="AD79" s="1">
        <v>0.4</v>
      </c>
      <c r="AE79" s="1">
        <v>7</v>
      </c>
      <c r="AH79" t="s">
        <v>142</v>
      </c>
      <c r="AI79" t="str">
        <f>VLOOKUP(AH79,Links!$A$1:$B$16,2,FALSE)</f>
        <v>https://iplo.nl/thema/lucht/milieubelastende-activiteiten-lucht/technieken-beperking-luchtemissie/stofwasser/</v>
      </c>
    </row>
    <row r="80" spans="2:35" x14ac:dyDescent="0.15">
      <c r="B80" s="1">
        <f>IF(ISNONTEXT(VLOOKUP(H80,H$4:H79,1,FALSE)),ABS(B79)+1,-ABS(B79))</f>
        <v>24</v>
      </c>
      <c r="C80" s="1" t="str">
        <f>IF(AND(OR(Data!$B$4="Overig",ISNUMBER(FIND("Emissie",'KE-berekening'!$C$13))),I80&lt;&gt;"",OR(T79&lt;&gt;T80,U79&lt;&gt;U80,V79&lt;&gt;V80,W79&lt;&gt;W80,X79&lt;&gt;X80,Y79&lt;&gt;Y80,Z79&lt;&gt;Z80,AA79&lt;&gt;AA80,AB79&lt;&gt;AB80,AC79&lt;&gt;AC80,C79="Nee")),"Ja","")</f>
        <v/>
      </c>
      <c r="D80" s="1">
        <f t="shared" si="6"/>
        <v>0</v>
      </c>
      <c r="E80" s="1">
        <f>IF(H80=Data!$B$4,ABS(E79)+1,-ABS(E79))</f>
        <v>-8</v>
      </c>
      <c r="F80" s="1">
        <f t="shared" si="4"/>
        <v>-8</v>
      </c>
      <c r="G80" s="1">
        <f t="shared" si="5"/>
        <v>77</v>
      </c>
      <c r="H80" s="17" t="s">
        <v>40</v>
      </c>
      <c r="I80" s="43" t="s">
        <v>75</v>
      </c>
      <c r="K80" s="1">
        <v>30</v>
      </c>
      <c r="L80" s="1">
        <v>30000</v>
      </c>
      <c r="M80" s="4">
        <v>-0.99</v>
      </c>
      <c r="O80" s="58">
        <v>10</v>
      </c>
      <c r="P80" s="58">
        <v>1000</v>
      </c>
      <c r="Q80" s="1">
        <v>-1</v>
      </c>
      <c r="S80" s="2" t="s">
        <v>60</v>
      </c>
      <c r="T80" s="1">
        <v>10000</v>
      </c>
      <c r="U80" s="1">
        <v>50000</v>
      </c>
      <c r="X80" s="1">
        <v>1000</v>
      </c>
      <c r="Y80" s="1">
        <v>30000</v>
      </c>
      <c r="AD80" s="1">
        <v>0.2</v>
      </c>
      <c r="AE80" s="1">
        <v>1</v>
      </c>
      <c r="AH80" t="s">
        <v>136</v>
      </c>
      <c r="AI80" t="str">
        <f>VLOOKUP(AH80,Links!$A$1:$B$16,2,FALSE)</f>
        <v>https://iplo.nl/thema/lucht/milieubelastende-activiteiten-lucht/technieken-beperking-luchtemissie/gaswasser/</v>
      </c>
    </row>
    <row r="81" spans="2:35" x14ac:dyDescent="0.15">
      <c r="B81" s="1">
        <f>IF(ISNONTEXT(VLOOKUP(H81,H$4:H80,1,FALSE)),ABS(B80)+1,-ABS(B80))</f>
        <v>-24</v>
      </c>
      <c r="C81" s="1" t="str">
        <f>IF(AND(OR(Data!$B$4="Overig",ISNUMBER(FIND("Emissie",'KE-berekening'!$C$13))),I81&lt;&gt;"",OR(T80&lt;&gt;T81,U80&lt;&gt;U81,V80&lt;&gt;V81,W80&lt;&gt;W81,X80&lt;&gt;X81,Y80&lt;&gt;Y81,Z80&lt;&gt;Z81,AA80&lt;&gt;AA81,AB80&lt;&gt;AB81,AC80&lt;&gt;AC81,C80="Nee")),"Ja","")</f>
        <v/>
      </c>
      <c r="D81" s="1">
        <f t="shared" si="6"/>
        <v>0</v>
      </c>
      <c r="E81" s="1">
        <f>IF(H81=Data!$B$4,ABS(E80)+1,-ABS(E80))</f>
        <v>-8</v>
      </c>
      <c r="F81" s="1">
        <f t="shared" si="4"/>
        <v>-8</v>
      </c>
      <c r="G81" s="1">
        <f t="shared" si="5"/>
        <v>78</v>
      </c>
      <c r="H81" s="17" t="s">
        <v>41</v>
      </c>
      <c r="I81" s="43" t="s">
        <v>75</v>
      </c>
      <c r="K81" s="1">
        <v>30</v>
      </c>
      <c r="L81" s="1">
        <v>30000</v>
      </c>
      <c r="M81" s="4">
        <v>-0.99</v>
      </c>
      <c r="O81" s="58">
        <v>200</v>
      </c>
      <c r="P81" s="58">
        <v>1000</v>
      </c>
      <c r="Q81" s="1">
        <v>-1</v>
      </c>
      <c r="R81" s="1">
        <v>3</v>
      </c>
      <c r="S81" s="2" t="s">
        <v>60</v>
      </c>
      <c r="T81" s="1">
        <v>10000</v>
      </c>
      <c r="U81" s="1">
        <v>50000</v>
      </c>
      <c r="X81" s="1">
        <v>1000</v>
      </c>
      <c r="Y81" s="1">
        <v>30000</v>
      </c>
      <c r="AD81" s="1">
        <v>0.2</v>
      </c>
      <c r="AE81" s="1">
        <v>1</v>
      </c>
      <c r="AH81" t="s">
        <v>136</v>
      </c>
      <c r="AI81" t="str">
        <f>VLOOKUP(AH81,Links!$A$1:$B$16,2,FALSE)</f>
        <v>https://iplo.nl/thema/lucht/milieubelastende-activiteiten-lucht/technieken-beperking-luchtemissie/gaswasser/</v>
      </c>
    </row>
    <row r="82" spans="2:35" x14ac:dyDescent="0.15">
      <c r="B82" s="1">
        <f>IF(ISNONTEXT(VLOOKUP(H82,H$4:H81,1,FALSE)),ABS(B81)+1,-ABS(B81))</f>
        <v>25</v>
      </c>
      <c r="C82" s="1" t="str">
        <f>IF(AND(OR(Data!$B$4="Overig",ISNUMBER(FIND("Emissie",'KE-berekening'!$C$13))),I82&lt;&gt;"",OR(T81&lt;&gt;T82,U81&lt;&gt;U82,V81&lt;&gt;V82,W81&lt;&gt;W82,X81&lt;&gt;X82,Y81&lt;&gt;Y82,Z81&lt;&gt;Z82,AA81&lt;&gt;AA82,AB81&lt;&gt;AB82,AC81&lt;&gt;AC82,C81="Nee")),"Ja","")</f>
        <v/>
      </c>
      <c r="D82" s="1">
        <f t="shared" si="6"/>
        <v>0</v>
      </c>
      <c r="E82" s="1">
        <f>IF(H82=Data!$B$4,ABS(E81)+1,-ABS(E81))</f>
        <v>-8</v>
      </c>
      <c r="F82" s="1">
        <f t="shared" si="4"/>
        <v>-8</v>
      </c>
      <c r="G82" s="1">
        <f t="shared" si="5"/>
        <v>79</v>
      </c>
      <c r="H82" s="17" t="s">
        <v>44</v>
      </c>
      <c r="I82" s="43" t="s">
        <v>75</v>
      </c>
      <c r="K82" s="1">
        <v>30</v>
      </c>
      <c r="L82" s="1">
        <v>30000</v>
      </c>
      <c r="M82" s="4">
        <v>0.8</v>
      </c>
      <c r="O82" s="58">
        <v>100</v>
      </c>
      <c r="P82" s="58"/>
      <c r="Q82" s="1">
        <v>-20</v>
      </c>
      <c r="R82" s="1">
        <v>40</v>
      </c>
      <c r="S82" s="2" t="s">
        <v>60</v>
      </c>
      <c r="T82" s="1">
        <v>10000</v>
      </c>
      <c r="U82" s="1">
        <v>50000</v>
      </c>
      <c r="X82" s="1">
        <v>1000</v>
      </c>
      <c r="Y82" s="1">
        <v>30000</v>
      </c>
      <c r="AD82" s="1">
        <v>0.2</v>
      </c>
      <c r="AE82" s="1">
        <v>1</v>
      </c>
      <c r="AH82" t="s">
        <v>136</v>
      </c>
      <c r="AI82" t="str">
        <f>VLOOKUP(AH82,Links!$A$1:$B$16,2,FALSE)</f>
        <v>https://iplo.nl/thema/lucht/milieubelastende-activiteiten-lucht/technieken-beperking-luchtemissie/gaswasser/</v>
      </c>
    </row>
    <row r="83" spans="2:35" x14ac:dyDescent="0.15">
      <c r="B83" s="1">
        <f>IF(ISNONTEXT(VLOOKUP(H83,H$4:H82,1,FALSE)),ABS(B82)+1,-ABS(B82))</f>
        <v>26</v>
      </c>
      <c r="C83" s="1" t="str">
        <f>IF(AND(OR(Data!$B$4="Overig",ISNUMBER(FIND("Emissie",'KE-berekening'!$C$13))),I83&lt;&gt;"",OR(T82&lt;&gt;T83,U82&lt;&gt;U83,V82&lt;&gt;V83,W82&lt;&gt;W83,X82&lt;&gt;X83,Y82&lt;&gt;Y83,Z82&lt;&gt;Z83,AA82&lt;&gt;AA83,AB82&lt;&gt;AB83,AC82&lt;&gt;AC83,C82="Nee")),"Ja","")</f>
        <v/>
      </c>
      <c r="D83" s="1">
        <f t="shared" si="6"/>
        <v>0</v>
      </c>
      <c r="E83" s="1">
        <f>IF(H83=Data!$B$4,ABS(E82)+1,-ABS(E82))</f>
        <v>-8</v>
      </c>
      <c r="F83" s="1">
        <f t="shared" si="4"/>
        <v>-8</v>
      </c>
      <c r="G83" s="1">
        <f t="shared" si="5"/>
        <v>80</v>
      </c>
      <c r="H83" s="17" t="s">
        <v>45</v>
      </c>
      <c r="I83" s="43" t="s">
        <v>75</v>
      </c>
      <c r="K83" s="1">
        <v>30</v>
      </c>
      <c r="L83" s="1">
        <v>30000</v>
      </c>
      <c r="M83" s="4">
        <v>0.99</v>
      </c>
      <c r="O83" s="58"/>
      <c r="P83" s="58"/>
      <c r="Q83" s="1">
        <v>0.02</v>
      </c>
      <c r="R83" s="1">
        <v>1</v>
      </c>
      <c r="S83" s="2" t="s">
        <v>60</v>
      </c>
      <c r="T83" s="1">
        <v>10000</v>
      </c>
      <c r="U83" s="1">
        <v>50000</v>
      </c>
      <c r="X83" s="1">
        <v>1000</v>
      </c>
      <c r="Y83" s="1">
        <v>30000</v>
      </c>
      <c r="AD83" s="1">
        <v>0.2</v>
      </c>
      <c r="AE83" s="1">
        <v>1</v>
      </c>
      <c r="AH83" t="s">
        <v>136</v>
      </c>
      <c r="AI83" t="str">
        <f>VLOOKUP(AH83,Links!$A$1:$B$16,2,FALSE)</f>
        <v>https://iplo.nl/thema/lucht/milieubelastende-activiteiten-lucht/technieken-beperking-luchtemissie/gaswasser/</v>
      </c>
    </row>
    <row r="84" spans="2:35" x14ac:dyDescent="0.15">
      <c r="B84" s="1">
        <f>IF(ISNONTEXT(VLOOKUP(H84,H$4:H83,1,FALSE)),ABS(B83)+1,-ABS(B83))</f>
        <v>27</v>
      </c>
      <c r="C84" s="1" t="str">
        <f>IF(AND(OR(Data!$B$4="Overig",ISNUMBER(FIND("Emissie",'KE-berekening'!$C$13))),I84&lt;&gt;"",OR(T83&lt;&gt;T84,U83&lt;&gt;U84,V83&lt;&gt;V84,W83&lt;&gt;W84,X83&lt;&gt;X84,Y83&lt;&gt;Y84,Z83&lt;&gt;Z84,AA83&lt;&gt;AA84,AB83&lt;&gt;AB84,AC83&lt;&gt;AC84,C83="Nee")),"Ja","")</f>
        <v/>
      </c>
      <c r="D84" s="1">
        <f t="shared" si="6"/>
        <v>0</v>
      </c>
      <c r="E84" s="1">
        <f>IF(H84=Data!$B$4,ABS(E83)+1,-ABS(E83))</f>
        <v>-8</v>
      </c>
      <c r="F84" s="1">
        <f t="shared" si="4"/>
        <v>-8</v>
      </c>
      <c r="G84" s="1">
        <f t="shared" si="5"/>
        <v>81</v>
      </c>
    </row>
    <row r="85" spans="2:35" x14ac:dyDescent="0.15">
      <c r="B85" s="1">
        <f>IF(ISNONTEXT(VLOOKUP(H85,H$4:H84,1,FALSE)),ABS(B84)+1,-ABS(B84))</f>
        <v>28</v>
      </c>
      <c r="C85" s="1" t="str">
        <f>IF(AND(OR(Data!$B$4="Overig",ISNUMBER(FIND("Emissie",'KE-berekening'!$C$13))),I85&lt;&gt;"",OR(T84&lt;&gt;T85,U84&lt;&gt;U85,V84&lt;&gt;V85,W84&lt;&gt;W85,X84&lt;&gt;X85,Y84&lt;&gt;Y85,Z84&lt;&gt;Z85,AA84&lt;&gt;AA85,AB84&lt;&gt;AB85,AC84&lt;&gt;AC85,C84="Nee")),"Ja","")</f>
        <v/>
      </c>
      <c r="D85" s="1">
        <f t="shared" si="6"/>
        <v>0</v>
      </c>
      <c r="E85" s="1">
        <f>IF(H85=Data!$B$4,ABS(E84)+1,-ABS(E84))</f>
        <v>-8</v>
      </c>
      <c r="F85" s="1">
        <f t="shared" si="4"/>
        <v>-8</v>
      </c>
      <c r="G85" s="1">
        <f t="shared" si="5"/>
        <v>82</v>
      </c>
    </row>
    <row r="86" spans="2:35" x14ac:dyDescent="0.15">
      <c r="B86" s="1">
        <f>IF(ISNONTEXT(VLOOKUP(H86,H$4:H85,1,FALSE)),ABS(B85)+1,-ABS(B85))</f>
        <v>29</v>
      </c>
      <c r="C86" s="1" t="str">
        <f>IF(AND(OR(Data!$B$4="Overig",ISNUMBER(FIND("Emissie",'KE-berekening'!$C$13))),I86&lt;&gt;"",OR(T85&lt;&gt;T86,U85&lt;&gt;U86,V85&lt;&gt;V86,W85&lt;&gt;W86,X85&lt;&gt;X86,Y85&lt;&gt;Y86,Z85&lt;&gt;Z86,AA85&lt;&gt;AA86,AB85&lt;&gt;AB86,AC85&lt;&gt;AC86,C85="Nee")),"Ja","")</f>
        <v/>
      </c>
      <c r="D86" s="1">
        <f t="shared" si="6"/>
        <v>0</v>
      </c>
      <c r="E86" s="1">
        <f>IF(H86=Data!$B$4,ABS(E85)+1,-ABS(E85))</f>
        <v>-8</v>
      </c>
      <c r="F86" s="1">
        <f t="shared" si="4"/>
        <v>-8</v>
      </c>
      <c r="G86" s="1">
        <f t="shared" si="5"/>
        <v>83</v>
      </c>
    </row>
    <row r="87" spans="2:35" x14ac:dyDescent="0.15">
      <c r="B87" s="1">
        <f>IF(ISNONTEXT(VLOOKUP(H87,H$4:H86,1,FALSE)),ABS(B86)+1,-ABS(B86))</f>
        <v>30</v>
      </c>
      <c r="C87" s="1" t="str">
        <f>IF(AND(OR(Data!$B$4="Overig",ISNUMBER(FIND("Emissie",'KE-berekening'!$C$13))),I87&lt;&gt;"",OR(T86&lt;&gt;T87,U86&lt;&gt;U87,V86&lt;&gt;V87,W86&lt;&gt;W87,X86&lt;&gt;X87,Y86&lt;&gt;Y87,Z86&lt;&gt;Z87,AA86&lt;&gt;AA87,AB86&lt;&gt;AB87,AC86&lt;&gt;AC87,C86="Nee")),"Ja","")</f>
        <v/>
      </c>
      <c r="D87" s="1">
        <f t="shared" si="6"/>
        <v>0</v>
      </c>
      <c r="E87" s="1">
        <f>IF(H87=Data!$B$4,ABS(E86)+1,-ABS(E86))</f>
        <v>-8</v>
      </c>
      <c r="F87" s="1">
        <f t="shared" si="4"/>
        <v>-8</v>
      </c>
      <c r="G87" s="1">
        <f t="shared" si="5"/>
        <v>84</v>
      </c>
    </row>
    <row r="88" spans="2:35" x14ac:dyDescent="0.15">
      <c r="B88" s="1">
        <f>IF(ISNONTEXT(VLOOKUP(H88,H$4:H87,1,FALSE)),ABS(B87)+1,-ABS(B87))</f>
        <v>31</v>
      </c>
      <c r="C88" s="1" t="str">
        <f>IF(AND(OR(Data!$B$4="Overig",ISNUMBER(FIND("Emissie",'KE-berekening'!$C$13))),I88&lt;&gt;"",OR(T87&lt;&gt;T88,U87&lt;&gt;U88,V87&lt;&gt;V88,W87&lt;&gt;W88,X87&lt;&gt;X88,Y87&lt;&gt;Y88,Z87&lt;&gt;Z88,AA87&lt;&gt;AA88,AB87&lt;&gt;AB88,AC87&lt;&gt;AC88,C87="Nee")),"Ja","")</f>
        <v/>
      </c>
      <c r="D88" s="1">
        <f t="shared" si="6"/>
        <v>0</v>
      </c>
      <c r="E88" s="1">
        <f>IF(H88=Data!$B$4,ABS(E87)+1,-ABS(E87))</f>
        <v>-8</v>
      </c>
      <c r="F88" s="1">
        <f t="shared" si="4"/>
        <v>-8</v>
      </c>
      <c r="G88" s="1">
        <f t="shared" si="5"/>
        <v>85</v>
      </c>
    </row>
    <row r="89" spans="2:35" x14ac:dyDescent="0.15">
      <c r="B89" s="1">
        <f>IF(ISNONTEXT(VLOOKUP(H89,H$4:H88,1,FALSE)),ABS(B88)+1,-ABS(B88))</f>
        <v>32</v>
      </c>
      <c r="C89" s="1" t="str">
        <f>IF(AND(OR(Data!$B$4="Overig",ISNUMBER(FIND("Emissie",'KE-berekening'!$C$13))),I89&lt;&gt;"",OR(T88&lt;&gt;T89,U88&lt;&gt;U89,V88&lt;&gt;V89,W88&lt;&gt;W89,X88&lt;&gt;X89,Y88&lt;&gt;Y89,Z88&lt;&gt;Z89,AA88&lt;&gt;AA89,AB88&lt;&gt;AB89,AC88&lt;&gt;AC89,C88="Nee")),"Ja","")</f>
        <v/>
      </c>
      <c r="D89" s="1">
        <f t="shared" si="6"/>
        <v>0</v>
      </c>
      <c r="E89" s="1">
        <f>IF(H89=Data!$B$4,ABS(E88)+1,-ABS(E88))</f>
        <v>-8</v>
      </c>
      <c r="F89" s="1">
        <f t="shared" si="4"/>
        <v>-8</v>
      </c>
      <c r="G89" s="1">
        <f t="shared" si="5"/>
        <v>86</v>
      </c>
    </row>
    <row r="90" spans="2:35" x14ac:dyDescent="0.15">
      <c r="B90" s="1">
        <f>IF(ISNONTEXT(VLOOKUP(H90,H$4:H89,1,FALSE)),ABS(B89)+1,-ABS(B89))</f>
        <v>33</v>
      </c>
      <c r="C90" s="1" t="str">
        <f>IF(AND(OR(Data!$B$4="Overig",ISNUMBER(FIND("Emissie",'KE-berekening'!$C$13))),I90&lt;&gt;"",OR(T89&lt;&gt;T90,U89&lt;&gt;U90,V89&lt;&gt;V90,W89&lt;&gt;W90,X89&lt;&gt;X90,Y89&lt;&gt;Y90,Z89&lt;&gt;Z90,AA89&lt;&gt;AA90,AB89&lt;&gt;AB90,AC89&lt;&gt;AC90,C89="Nee")),"Ja","")</f>
        <v/>
      </c>
      <c r="D90" s="1">
        <f t="shared" si="6"/>
        <v>0</v>
      </c>
      <c r="E90" s="1">
        <f>IF(H90=Data!$B$4,ABS(E89)+1,-ABS(E89))</f>
        <v>-8</v>
      </c>
      <c r="F90" s="1">
        <f t="shared" si="4"/>
        <v>-8</v>
      </c>
      <c r="G90" s="1">
        <f t="shared" si="5"/>
        <v>87</v>
      </c>
    </row>
    <row r="91" spans="2:35" x14ac:dyDescent="0.15">
      <c r="B91" s="1">
        <f>IF(ISNONTEXT(VLOOKUP(H91,H$4:H90,1,FALSE)),ABS(B90)+1,-ABS(B90))</f>
        <v>34</v>
      </c>
      <c r="C91" s="1" t="str">
        <f>IF(AND(OR(Data!$B$4="Overig",ISNUMBER(FIND("Emissie",'KE-berekening'!$C$13))),I91&lt;&gt;"",OR(T90&lt;&gt;T91,U90&lt;&gt;U91,V90&lt;&gt;V91,W90&lt;&gt;W91,X90&lt;&gt;X91,Y90&lt;&gt;Y91,Z90&lt;&gt;Z91,AA90&lt;&gt;AA91,AB90&lt;&gt;AB91,AC90&lt;&gt;AC91,C90="Nee")),"Ja","")</f>
        <v/>
      </c>
      <c r="D91" s="1">
        <f t="shared" si="6"/>
        <v>0</v>
      </c>
      <c r="E91" s="1">
        <f>IF(H91=Data!$B$4,ABS(E90)+1,-ABS(E90))</f>
        <v>-8</v>
      </c>
      <c r="F91" s="1">
        <f t="shared" si="4"/>
        <v>-8</v>
      </c>
      <c r="G91" s="1">
        <f t="shared" si="5"/>
        <v>88</v>
      </c>
    </row>
    <row r="92" spans="2:35" x14ac:dyDescent="0.15">
      <c r="B92" s="1">
        <f>IF(ISNONTEXT(VLOOKUP(H92,H$4:H91,1,FALSE)),ABS(B91)+1,-ABS(B91))</f>
        <v>35</v>
      </c>
      <c r="C92" s="1" t="str">
        <f>IF(AND(OR(Data!$B$4="Overig",ISNUMBER(FIND("Emissie",'KE-berekening'!$C$13))),I92&lt;&gt;"",OR(T91&lt;&gt;T92,U91&lt;&gt;U92,V91&lt;&gt;V92,W91&lt;&gt;W92,X91&lt;&gt;X92,Y91&lt;&gt;Y92,Z91&lt;&gt;Z92,AA91&lt;&gt;AA92,AB91&lt;&gt;AB92,AC91&lt;&gt;AC92,C91="Nee")),"Ja","")</f>
        <v/>
      </c>
      <c r="D92" s="1">
        <f t="shared" si="6"/>
        <v>0</v>
      </c>
      <c r="E92" s="1">
        <f>IF(H92=Data!$B$4,ABS(E91)+1,-ABS(E91))</f>
        <v>-8</v>
      </c>
      <c r="F92" s="1">
        <f t="shared" si="4"/>
        <v>-8</v>
      </c>
      <c r="G92" s="1">
        <f t="shared" si="5"/>
        <v>89</v>
      </c>
    </row>
    <row r="93" spans="2:35" x14ac:dyDescent="0.15">
      <c r="B93" s="1">
        <f>IF(ISNONTEXT(VLOOKUP(H93,H$4:H92,1,FALSE)),ABS(B92)+1,-ABS(B92))</f>
        <v>36</v>
      </c>
      <c r="C93" s="1" t="str">
        <f>IF(AND(OR(Data!$B$4="Overig",ISNUMBER(FIND("Emissie",'KE-berekening'!$C$13))),I93&lt;&gt;"",OR(T92&lt;&gt;T93,U92&lt;&gt;U93,V92&lt;&gt;V93,W92&lt;&gt;W93,X92&lt;&gt;X93,Y92&lt;&gt;Y93,Z92&lt;&gt;Z93,AA92&lt;&gt;AA93,AB92&lt;&gt;AB93,AC92&lt;&gt;AC93,C92="Nee")),"Ja","")</f>
        <v/>
      </c>
      <c r="D93" s="1">
        <f t="shared" si="6"/>
        <v>0</v>
      </c>
      <c r="E93" s="1">
        <f>IF(H93=Data!$B$4,ABS(E92)+1,-ABS(E92))</f>
        <v>-8</v>
      </c>
      <c r="F93" s="1">
        <f t="shared" si="4"/>
        <v>-8</v>
      </c>
      <c r="G93" s="1">
        <f t="shared" si="5"/>
        <v>90</v>
      </c>
    </row>
    <row r="94" spans="2:35" x14ac:dyDescent="0.15">
      <c r="B94" s="1">
        <f>IF(ISNONTEXT(VLOOKUP(H94,H$4:H93,1,FALSE)),ABS(B93)+1,-ABS(B93))</f>
        <v>37</v>
      </c>
      <c r="C94" s="1" t="str">
        <f>IF(AND(OR(Data!$B$4="Overig",ISNUMBER(FIND("Emissie",'KE-berekening'!$C$13))),I94&lt;&gt;"",OR(T93&lt;&gt;T94,U93&lt;&gt;U94,V93&lt;&gt;V94,W93&lt;&gt;W94,X93&lt;&gt;X94,Y93&lt;&gt;Y94,Z93&lt;&gt;Z94,AA93&lt;&gt;AA94,AB93&lt;&gt;AB94,AC93&lt;&gt;AC94,C93="Nee")),"Ja","")</f>
        <v/>
      </c>
      <c r="D94" s="1">
        <f t="shared" si="6"/>
        <v>0</v>
      </c>
      <c r="E94" s="1">
        <f>IF(H94=Data!$B$4,ABS(E93)+1,-ABS(E93))</f>
        <v>-8</v>
      </c>
      <c r="F94" s="1">
        <f t="shared" si="4"/>
        <v>-8</v>
      </c>
      <c r="G94" s="1">
        <f t="shared" si="5"/>
        <v>91</v>
      </c>
    </row>
    <row r="95" spans="2:35" x14ac:dyDescent="0.15">
      <c r="B95" s="1">
        <f>IF(ISNONTEXT(VLOOKUP(H95,H$4:H94,1,FALSE)),ABS(B94)+1,-ABS(B94))</f>
        <v>38</v>
      </c>
      <c r="C95" s="1" t="str">
        <f>IF(AND(OR(Data!$B$4="Overig",ISNUMBER(FIND("Emissie",'KE-berekening'!$C$13))),I95&lt;&gt;"",OR(T94&lt;&gt;T95,U94&lt;&gt;U95,V94&lt;&gt;V95,W94&lt;&gt;W95,X94&lt;&gt;X95,Y94&lt;&gt;Y95,Z94&lt;&gt;Z95,AA94&lt;&gt;AA95,AB94&lt;&gt;AB95,AC94&lt;&gt;AC95,C94="Nee")),"Ja","")</f>
        <v/>
      </c>
      <c r="D95" s="1">
        <f t="shared" si="6"/>
        <v>0</v>
      </c>
      <c r="E95" s="1">
        <f>IF(H95=Data!$B$4,ABS(E94)+1,-ABS(E94))</f>
        <v>-8</v>
      </c>
      <c r="F95" s="1">
        <f t="shared" si="4"/>
        <v>-8</v>
      </c>
      <c r="G95" s="1">
        <f t="shared" si="5"/>
        <v>92</v>
      </c>
    </row>
    <row r="96" spans="2:35" x14ac:dyDescent="0.15">
      <c r="B96" s="1">
        <f>IF(ISNONTEXT(VLOOKUP(H96,H$4:H95,1,FALSE)),ABS(B95)+1,-ABS(B95))</f>
        <v>39</v>
      </c>
      <c r="C96" s="1" t="str">
        <f>IF(AND(OR(Data!$B$4="Overig",ISNUMBER(FIND("Emissie",'KE-berekening'!$C$13))),I96&lt;&gt;"",OR(T95&lt;&gt;T96,U95&lt;&gt;U96,V95&lt;&gt;V96,W95&lt;&gt;W96,X95&lt;&gt;X96,Y95&lt;&gt;Y96,Z95&lt;&gt;Z96,AA95&lt;&gt;AA96,AB95&lt;&gt;AB96,AC95&lt;&gt;AC96,C95="Nee")),"Ja","")</f>
        <v/>
      </c>
      <c r="D96" s="1">
        <f t="shared" si="6"/>
        <v>0</v>
      </c>
      <c r="E96" s="1">
        <f>IF(H96=Data!$B$4,ABS(E95)+1,-ABS(E95))</f>
        <v>-8</v>
      </c>
      <c r="F96" s="1">
        <f t="shared" si="4"/>
        <v>-8</v>
      </c>
      <c r="G96" s="1">
        <f t="shared" si="5"/>
        <v>93</v>
      </c>
    </row>
    <row r="97" spans="2:7" x14ac:dyDescent="0.15">
      <c r="B97" s="1">
        <f>IF(ISNONTEXT(VLOOKUP(H97,H$4:H96,1,FALSE)),ABS(B96)+1,-ABS(B96))</f>
        <v>40</v>
      </c>
      <c r="C97" s="1" t="str">
        <f>IF(AND(OR(Data!$B$4="Overig",ISNUMBER(FIND("Emissie",'KE-berekening'!$C$13))),I97&lt;&gt;"",OR(T96&lt;&gt;T97,U96&lt;&gt;U97,V96&lt;&gt;V97,W96&lt;&gt;W97,X96&lt;&gt;X97,Y96&lt;&gt;Y97,Z96&lt;&gt;Z97,AA96&lt;&gt;AA97,AB96&lt;&gt;AB97,AC96&lt;&gt;AC97,C96="Nee")),"Ja","")</f>
        <v/>
      </c>
      <c r="D97" s="1">
        <f t="shared" si="6"/>
        <v>0</v>
      </c>
      <c r="E97" s="1">
        <f>IF(H97=Data!$B$4,ABS(E96)+1,-ABS(E96))</f>
        <v>-8</v>
      </c>
      <c r="F97" s="1">
        <f t="shared" si="4"/>
        <v>-8</v>
      </c>
      <c r="G97" s="1">
        <f t="shared" si="5"/>
        <v>94</v>
      </c>
    </row>
    <row r="98" spans="2:7" x14ac:dyDescent="0.15">
      <c r="B98" s="1">
        <f>IF(ISNONTEXT(VLOOKUP(H98,H$4:H97,1,FALSE)),ABS(B97)+1,-ABS(B97))</f>
        <v>41</v>
      </c>
      <c r="C98" s="1" t="str">
        <f>IF(AND(OR(Data!$B$4="Overig",ISNUMBER(FIND("Emissie",'KE-berekening'!$C$13))),I98&lt;&gt;"",OR(T97&lt;&gt;T98,U97&lt;&gt;U98,V97&lt;&gt;V98,W97&lt;&gt;W98,X97&lt;&gt;X98,Y97&lt;&gt;Y98,Z97&lt;&gt;Z98,AA97&lt;&gt;AA98,AB97&lt;&gt;AB98,AC97&lt;&gt;AC98,C97="Nee")),"Ja","")</f>
        <v/>
      </c>
      <c r="D98" s="1">
        <f t="shared" si="6"/>
        <v>0</v>
      </c>
      <c r="E98" s="1">
        <f>IF(H98=Data!$B$4,ABS(E97)+1,-ABS(E97))</f>
        <v>-8</v>
      </c>
      <c r="F98" s="1">
        <f t="shared" si="4"/>
        <v>-8</v>
      </c>
      <c r="G98" s="1">
        <f t="shared" si="5"/>
        <v>95</v>
      </c>
    </row>
    <row r="99" spans="2:7" x14ac:dyDescent="0.15">
      <c r="B99" s="1">
        <f>IF(ISNONTEXT(VLOOKUP(H99,H$4:H98,1,FALSE)),ABS(B98)+1,-ABS(B98))</f>
        <v>42</v>
      </c>
      <c r="C99" s="1" t="str">
        <f>IF(AND(OR(Data!$B$4="Overig",ISNUMBER(FIND("Emissie",'KE-berekening'!$C$13))),I99&lt;&gt;"",OR(T98&lt;&gt;T99,U98&lt;&gt;U99,V98&lt;&gt;V99,W98&lt;&gt;W99,X98&lt;&gt;X99,Y98&lt;&gt;Y99,Z98&lt;&gt;Z99,AA98&lt;&gt;AA99,AB98&lt;&gt;AB99,AC98&lt;&gt;AC99,C98="Nee")),"Ja","")</f>
        <v/>
      </c>
      <c r="D99" s="1">
        <f t="shared" si="6"/>
        <v>0</v>
      </c>
      <c r="E99" s="1">
        <f>IF(H99=Data!$B$4,ABS(E98)+1,-ABS(E98))</f>
        <v>-8</v>
      </c>
      <c r="F99" s="1">
        <f t="shared" si="4"/>
        <v>-8</v>
      </c>
      <c r="G99" s="1">
        <f t="shared" si="5"/>
        <v>96</v>
      </c>
    </row>
    <row r="100" spans="2:7" x14ac:dyDescent="0.15">
      <c r="B100" s="1">
        <f>IF(ISNONTEXT(VLOOKUP(H100,H$4:H99,1,FALSE)),ABS(B99)+1,-ABS(B99))</f>
        <v>43</v>
      </c>
      <c r="C100" s="1" t="str">
        <f>IF(AND(OR(Data!$B$4="Overig",ISNUMBER(FIND("Emissie",'KE-berekening'!$C$13))),I100&lt;&gt;"",OR(T99&lt;&gt;T100,U99&lt;&gt;U100,V99&lt;&gt;V100,W99&lt;&gt;W100,X99&lt;&gt;X100,Y99&lt;&gt;Y100,Z99&lt;&gt;Z100,AA99&lt;&gt;AA100,AB99&lt;&gt;AB100,AC99&lt;&gt;AC100,C99="Nee")),"Ja","")</f>
        <v/>
      </c>
      <c r="D100" s="1">
        <f t="shared" si="6"/>
        <v>0</v>
      </c>
      <c r="E100" s="1">
        <f>IF(H100=Data!$B$4,ABS(E99)+1,-ABS(E99))</f>
        <v>-8</v>
      </c>
      <c r="F100" s="1">
        <f t="shared" si="4"/>
        <v>-8</v>
      </c>
      <c r="G100" s="1">
        <f t="shared" si="5"/>
        <v>97</v>
      </c>
    </row>
    <row r="101" spans="2:7" x14ac:dyDescent="0.15">
      <c r="B101" s="1">
        <f>IF(ISNONTEXT(VLOOKUP(H101,H$4:H100,1,FALSE)),ABS(B100)+1,-ABS(B100))</f>
        <v>44</v>
      </c>
      <c r="C101" s="1" t="str">
        <f>IF(AND(OR(Data!$B$4="Overig",ISNUMBER(FIND("Emissie",'KE-berekening'!$C$13))),I101&lt;&gt;"",OR(T100&lt;&gt;T101,U100&lt;&gt;U101,V100&lt;&gt;V101,W100&lt;&gt;W101,X100&lt;&gt;X101,Y100&lt;&gt;Y101,Z100&lt;&gt;Z101,AA100&lt;&gt;AA101,AB100&lt;&gt;AB101,AC100&lt;&gt;AC101,C100="Nee")),"Ja","")</f>
        <v/>
      </c>
      <c r="D101" s="1">
        <f t="shared" si="6"/>
        <v>0</v>
      </c>
      <c r="E101" s="1">
        <f>IF(H101=Data!$B$4,ABS(E100)+1,-ABS(E100))</f>
        <v>-8</v>
      </c>
      <c r="F101" s="1">
        <f t="shared" si="4"/>
        <v>-8</v>
      </c>
      <c r="G101" s="1">
        <f t="shared" si="5"/>
        <v>98</v>
      </c>
    </row>
    <row r="102" spans="2:7" x14ac:dyDescent="0.15">
      <c r="B102" s="1">
        <f>IF(ISNONTEXT(VLOOKUP(H102,H$4:H101,1,FALSE)),ABS(B101)+1,-ABS(B101))</f>
        <v>45</v>
      </c>
      <c r="C102" s="1" t="str">
        <f>IF(AND(OR(Data!$B$4="Overig",ISNUMBER(FIND("Emissie",'KE-berekening'!$C$13))),I102&lt;&gt;"",OR(T101&lt;&gt;T102,U101&lt;&gt;U102,V101&lt;&gt;V102,W101&lt;&gt;W102,X101&lt;&gt;X102,Y101&lt;&gt;Y102,Z101&lt;&gt;Z102,AA101&lt;&gt;AA102,AB101&lt;&gt;AB102,AC101&lt;&gt;AC102,C101="Nee")),"Ja","")</f>
        <v/>
      </c>
      <c r="D102" s="1">
        <f t="shared" si="6"/>
        <v>0</v>
      </c>
      <c r="E102" s="1">
        <f>IF(H102=Data!$B$4,ABS(E101)+1,-ABS(E101))</f>
        <v>-8</v>
      </c>
      <c r="F102" s="1">
        <f t="shared" si="4"/>
        <v>-8</v>
      </c>
      <c r="G102" s="1">
        <f t="shared" si="5"/>
        <v>99</v>
      </c>
    </row>
    <row r="103" spans="2:7" x14ac:dyDescent="0.15">
      <c r="B103" s="1">
        <f>IF(ISNONTEXT(VLOOKUP(H103,H$4:H102,1,FALSE)),ABS(B102)+1,-ABS(B102))</f>
        <v>46</v>
      </c>
      <c r="C103" s="1" t="str">
        <f>IF(AND(OR(Data!$B$4="Overig",ISNUMBER(FIND("Emissie",'KE-berekening'!$C$13))),I103&lt;&gt;"",OR(T102&lt;&gt;T103,U102&lt;&gt;U103,V102&lt;&gt;V103,W102&lt;&gt;W103,X102&lt;&gt;X103,Y102&lt;&gt;Y103,Z102&lt;&gt;Z103,AA102&lt;&gt;AA103,AB102&lt;&gt;AB103,AC102&lt;&gt;AC103,C102="Nee")),"Ja","")</f>
        <v/>
      </c>
      <c r="D103" s="1">
        <f t="shared" si="6"/>
        <v>0</v>
      </c>
      <c r="E103" s="1">
        <f>IF(H103=Data!$B$4,ABS(E102)+1,-ABS(E102))</f>
        <v>-8</v>
      </c>
      <c r="F103" s="1">
        <f t="shared" si="4"/>
        <v>-8</v>
      </c>
      <c r="G103" s="1">
        <f t="shared" si="5"/>
        <v>100</v>
      </c>
    </row>
    <row r="104" spans="2:7" x14ac:dyDescent="0.15">
      <c r="B104" s="1">
        <f>IF(ISNONTEXT(VLOOKUP(H104,H$4:H103,1,FALSE)),ABS(B103)+1,-ABS(B103))</f>
        <v>47</v>
      </c>
      <c r="C104" s="1" t="str">
        <f>IF(AND(OR(Data!$B$4="Overig",ISNUMBER(FIND("Emissie",'KE-berekening'!$C$13))),I104&lt;&gt;"",OR(T103&lt;&gt;T104,U103&lt;&gt;U104,V103&lt;&gt;V104,W103&lt;&gt;W104,X103&lt;&gt;X104,Y103&lt;&gt;Y104,Z103&lt;&gt;Z104,AA103&lt;&gt;AA104,AB103&lt;&gt;AB104,AC103&lt;&gt;AC104,C103="Nee")),"Ja","")</f>
        <v/>
      </c>
      <c r="D104" s="1">
        <f t="shared" si="6"/>
        <v>0</v>
      </c>
      <c r="E104" s="1">
        <f>IF(H104=Data!$B$4,ABS(E103)+1,-ABS(E103))</f>
        <v>-8</v>
      </c>
      <c r="F104" s="1">
        <f t="shared" si="4"/>
        <v>-8</v>
      </c>
      <c r="G104" s="1">
        <f t="shared" si="5"/>
        <v>101</v>
      </c>
    </row>
    <row r="105" spans="2:7" x14ac:dyDescent="0.15">
      <c r="B105" s="1">
        <f>IF(ISNONTEXT(VLOOKUP(H105,H$4:H104,1,FALSE)),ABS(B104)+1,-ABS(B104))</f>
        <v>48</v>
      </c>
      <c r="C105" s="1" t="str">
        <f>IF(AND(OR(Data!$B$4="Overig",ISNUMBER(FIND("Emissie",'KE-berekening'!$C$13))),I105&lt;&gt;"",OR(T104&lt;&gt;T105,U104&lt;&gt;U105,V104&lt;&gt;V105,W104&lt;&gt;W105,X104&lt;&gt;X105,Y104&lt;&gt;Y105,Z104&lt;&gt;Z105,AA104&lt;&gt;AA105,AB104&lt;&gt;AB105,AC104&lt;&gt;AC105,C104="Nee")),"Ja","")</f>
        <v/>
      </c>
      <c r="D105" s="1">
        <f t="shared" si="6"/>
        <v>0</v>
      </c>
      <c r="E105" s="1">
        <f>IF(H105=Data!$B$4,ABS(E104)+1,-ABS(E104))</f>
        <v>-8</v>
      </c>
      <c r="F105" s="1">
        <f t="shared" si="4"/>
        <v>-8</v>
      </c>
      <c r="G105" s="1">
        <f t="shared" si="5"/>
        <v>102</v>
      </c>
    </row>
    <row r="106" spans="2:7" x14ac:dyDescent="0.15">
      <c r="B106" s="1">
        <f>IF(ISNONTEXT(VLOOKUP(H106,H$4:H105,1,FALSE)),ABS(B105)+1,-ABS(B105))</f>
        <v>49</v>
      </c>
      <c r="C106" s="1" t="str">
        <f>IF(AND(OR(Data!$B$4="Overig",ISNUMBER(FIND("Emissie",'KE-berekening'!$C$13))),I106&lt;&gt;"",OR(T105&lt;&gt;T106,U105&lt;&gt;U106,V105&lt;&gt;V106,W105&lt;&gt;W106,X105&lt;&gt;X106,Y105&lt;&gt;Y106,Z105&lt;&gt;Z106,AA105&lt;&gt;AA106,AB105&lt;&gt;AB106,AC105&lt;&gt;AC106,C105="Nee")),"Ja","")</f>
        <v/>
      </c>
      <c r="D106" s="1">
        <f t="shared" si="6"/>
        <v>0</v>
      </c>
      <c r="E106" s="1">
        <f>IF(H106=Data!$B$4,ABS(E105)+1,-ABS(E105))</f>
        <v>-8</v>
      </c>
      <c r="F106" s="1">
        <f t="shared" si="4"/>
        <v>-8</v>
      </c>
      <c r="G106" s="1">
        <f t="shared" si="5"/>
        <v>103</v>
      </c>
    </row>
    <row r="107" spans="2:7" x14ac:dyDescent="0.15">
      <c r="B107" s="1">
        <f>IF(ISNONTEXT(VLOOKUP(H107,H$4:H106,1,FALSE)),ABS(B106)+1,-ABS(B106))</f>
        <v>50</v>
      </c>
      <c r="C107" s="1" t="str">
        <f>IF(AND(OR(Data!$B$4="Overig",ISNUMBER(FIND("Emissie",'KE-berekening'!$C$13))),I107&lt;&gt;"",OR(T106&lt;&gt;T107,U106&lt;&gt;U107,V106&lt;&gt;V107,W106&lt;&gt;W107,X106&lt;&gt;X107,Y106&lt;&gt;Y107,Z106&lt;&gt;Z107,AA106&lt;&gt;AA107,AB106&lt;&gt;AB107,AC106&lt;&gt;AC107,C106="Nee")),"Ja","")</f>
        <v/>
      </c>
      <c r="D107" s="1">
        <f t="shared" si="6"/>
        <v>0</v>
      </c>
      <c r="E107" s="1">
        <f>IF(H107=Data!$B$4,ABS(E106)+1,-ABS(E106))</f>
        <v>-8</v>
      </c>
      <c r="F107" s="1">
        <f t="shared" si="4"/>
        <v>-8</v>
      </c>
      <c r="G107" s="1">
        <f t="shared" si="5"/>
        <v>104</v>
      </c>
    </row>
    <row r="108" spans="2:7" x14ac:dyDescent="0.15">
      <c r="B108" s="1">
        <f>IF(ISNONTEXT(VLOOKUP(H108,H$4:H107,1,FALSE)),ABS(B107)+1,-ABS(B107))</f>
        <v>51</v>
      </c>
      <c r="C108" s="1" t="str">
        <f>IF(AND(OR(Data!$B$4="Overig",ISNUMBER(FIND("Emissie",'KE-berekening'!$C$13))),I108&lt;&gt;"",OR(T107&lt;&gt;T108,U107&lt;&gt;U108,V107&lt;&gt;V108,W107&lt;&gt;W108,X107&lt;&gt;X108,Y107&lt;&gt;Y108,Z107&lt;&gt;Z108,AA107&lt;&gt;AA108,AB107&lt;&gt;AB108,AC107&lt;&gt;AC108,C107="Nee")),"Ja","")</f>
        <v/>
      </c>
      <c r="D108" s="1">
        <f t="shared" si="6"/>
        <v>0</v>
      </c>
      <c r="E108" s="1">
        <f>IF(H108=Data!$B$4,ABS(E107)+1,-ABS(E107))</f>
        <v>-8</v>
      </c>
      <c r="F108" s="1">
        <f t="shared" si="4"/>
        <v>-8</v>
      </c>
      <c r="G108" s="1">
        <f t="shared" si="5"/>
        <v>105</v>
      </c>
    </row>
    <row r="109" spans="2:7" x14ac:dyDescent="0.15">
      <c r="B109" s="1">
        <f>IF(ISNONTEXT(VLOOKUP(H109,H$4:H108,1,FALSE)),ABS(B108)+1,-ABS(B108))</f>
        <v>52</v>
      </c>
      <c r="C109" s="1" t="str">
        <f>IF(AND(OR(Data!$B$4="Overig",ISNUMBER(FIND("Emissie",'KE-berekening'!$C$13))),I109&lt;&gt;"",OR(T108&lt;&gt;T109,U108&lt;&gt;U109,V108&lt;&gt;V109,W108&lt;&gt;W109,X108&lt;&gt;X109,Y108&lt;&gt;Y109,Z108&lt;&gt;Z109,AA108&lt;&gt;AA109,AB108&lt;&gt;AB109,AC108&lt;&gt;AC109,C108="Nee")),"Ja","")</f>
        <v/>
      </c>
      <c r="D109" s="1">
        <f t="shared" si="6"/>
        <v>0</v>
      </c>
      <c r="E109" s="1">
        <f>IF(H109=Data!$B$4,ABS(E108)+1,-ABS(E108))</f>
        <v>-8</v>
      </c>
      <c r="F109" s="1">
        <f t="shared" si="4"/>
        <v>-8</v>
      </c>
      <c r="G109" s="1">
        <f t="shared" si="5"/>
        <v>106</v>
      </c>
    </row>
    <row r="110" spans="2:7" x14ac:dyDescent="0.15">
      <c r="B110" s="1">
        <f>IF(ISNONTEXT(VLOOKUP(H110,H$4:H109,1,FALSE)),ABS(B109)+1,-ABS(B109))</f>
        <v>53</v>
      </c>
      <c r="C110" s="1" t="str">
        <f>IF(AND(OR(Data!$B$4="Overig",ISNUMBER(FIND("Emissie",'KE-berekening'!$C$13))),I110&lt;&gt;"",OR(T109&lt;&gt;T110,U109&lt;&gt;U110,V109&lt;&gt;V110,W109&lt;&gt;W110,X109&lt;&gt;X110,Y109&lt;&gt;Y110,Z109&lt;&gt;Z110,AA109&lt;&gt;AA110,AB109&lt;&gt;AB110,AC109&lt;&gt;AC110,C109="Nee")),"Ja","")</f>
        <v/>
      </c>
      <c r="D110" s="1">
        <f t="shared" si="6"/>
        <v>0</v>
      </c>
      <c r="E110" s="1">
        <f>IF(H110=Data!$B$4,ABS(E109)+1,-ABS(E109))</f>
        <v>-8</v>
      </c>
      <c r="F110" s="1">
        <f t="shared" si="4"/>
        <v>-8</v>
      </c>
      <c r="G110" s="1">
        <f t="shared" si="5"/>
        <v>107</v>
      </c>
    </row>
    <row r="111" spans="2:7" x14ac:dyDescent="0.15">
      <c r="B111" s="1">
        <f>IF(ISNONTEXT(VLOOKUP(H111,H$4:H110,1,FALSE)),ABS(B110)+1,-ABS(B110))</f>
        <v>54</v>
      </c>
      <c r="C111" s="1" t="str">
        <f>IF(AND(OR(Data!$B$4="Overig",ISNUMBER(FIND("Emissie",'KE-berekening'!$C$13))),I111&lt;&gt;"",OR(T110&lt;&gt;T111,U110&lt;&gt;U111,V110&lt;&gt;V111,W110&lt;&gt;W111,X110&lt;&gt;X111,Y110&lt;&gt;Y111,Z110&lt;&gt;Z111,AA110&lt;&gt;AA111,AB110&lt;&gt;AB111,AC110&lt;&gt;AC111,C110="Nee")),"Ja","")</f>
        <v/>
      </c>
      <c r="D111" s="1">
        <f t="shared" si="6"/>
        <v>0</v>
      </c>
      <c r="E111" s="1">
        <f>IF(H111=Data!$B$4,ABS(E110)+1,-ABS(E110))</f>
        <v>-8</v>
      </c>
      <c r="F111" s="1">
        <f t="shared" si="4"/>
        <v>-8</v>
      </c>
      <c r="G111" s="1">
        <f t="shared" si="5"/>
        <v>108</v>
      </c>
    </row>
    <row r="112" spans="2:7" x14ac:dyDescent="0.15">
      <c r="B112" s="1">
        <f>IF(ISNONTEXT(VLOOKUP(H112,H$4:H111,1,FALSE)),ABS(B111)+1,-ABS(B111))</f>
        <v>55</v>
      </c>
      <c r="C112" s="1" t="str">
        <f>IF(AND(OR(Data!$B$4="Overig",ISNUMBER(FIND("Emissie",'KE-berekening'!$C$13))),I112&lt;&gt;"",OR(T111&lt;&gt;T112,U111&lt;&gt;U112,V111&lt;&gt;V112,W111&lt;&gt;W112,X111&lt;&gt;X112,Y111&lt;&gt;Y112,Z111&lt;&gt;Z112,AA111&lt;&gt;AA112,AB111&lt;&gt;AB112,AC111&lt;&gt;AC112,C111="Nee")),"Ja","")</f>
        <v/>
      </c>
      <c r="D112" s="1">
        <f t="shared" si="6"/>
        <v>0</v>
      </c>
      <c r="E112" s="1">
        <f>IF(H112=Data!$B$4,ABS(E111)+1,-ABS(E111))</f>
        <v>-8</v>
      </c>
      <c r="F112" s="1">
        <f t="shared" si="4"/>
        <v>-8</v>
      </c>
      <c r="G112" s="1">
        <f t="shared" si="5"/>
        <v>109</v>
      </c>
    </row>
    <row r="113" spans="2:7" x14ac:dyDescent="0.15">
      <c r="B113" s="1">
        <f>IF(ISNONTEXT(VLOOKUP(H113,H$4:H112,1,FALSE)),ABS(B112)+1,-ABS(B112))</f>
        <v>56</v>
      </c>
      <c r="C113" s="1" t="str">
        <f>IF(AND(OR(Data!$B$4="Overig",ISNUMBER(FIND("Emissie",'KE-berekening'!$C$13))),I113&lt;&gt;"",OR(T112&lt;&gt;T113,U112&lt;&gt;U113,V112&lt;&gt;V113,W112&lt;&gt;W113,X112&lt;&gt;X113,Y112&lt;&gt;Y113,Z112&lt;&gt;Z113,AA112&lt;&gt;AA113,AB112&lt;&gt;AB113,AC112&lt;&gt;AC113,C112="Nee")),"Ja","")</f>
        <v/>
      </c>
      <c r="D113" s="1">
        <f t="shared" si="6"/>
        <v>0</v>
      </c>
      <c r="E113" s="1">
        <f>IF(H113=Data!$B$4,ABS(E112)+1,-ABS(E112))</f>
        <v>-8</v>
      </c>
      <c r="F113" s="1">
        <f t="shared" si="4"/>
        <v>-8</v>
      </c>
      <c r="G113" s="1">
        <f t="shared" si="5"/>
        <v>110</v>
      </c>
    </row>
    <row r="114" spans="2:7" x14ac:dyDescent="0.15">
      <c r="B114" s="1">
        <f>IF(ISNONTEXT(VLOOKUP(H114,H$4:H113,1,FALSE)),ABS(B113)+1,-ABS(B113))</f>
        <v>57</v>
      </c>
      <c r="C114" s="1" t="str">
        <f>IF(AND(OR(Data!$B$4="Overig",ISNUMBER(FIND("Emissie",'KE-berekening'!$C$13))),I114&lt;&gt;"",OR(T113&lt;&gt;T114,U113&lt;&gt;U114,V113&lt;&gt;V114,W113&lt;&gt;W114,X113&lt;&gt;X114,Y113&lt;&gt;Y114,Z113&lt;&gt;Z114,AA113&lt;&gt;AA114,AB113&lt;&gt;AB114,AC113&lt;&gt;AC114,C113="Nee")),"Ja","")</f>
        <v/>
      </c>
      <c r="D114" s="1">
        <f t="shared" si="6"/>
        <v>0</v>
      </c>
      <c r="E114" s="1">
        <f>IF(H114=Data!$B$4,ABS(E113)+1,-ABS(E113))</f>
        <v>-8</v>
      </c>
      <c r="F114" s="1">
        <f t="shared" si="4"/>
        <v>-8</v>
      </c>
      <c r="G114" s="1">
        <f t="shared" si="5"/>
        <v>111</v>
      </c>
    </row>
    <row r="115" spans="2:7" x14ac:dyDescent="0.15">
      <c r="B115" s="1">
        <f>IF(ISNONTEXT(VLOOKUP(H115,H$4:H114,1,FALSE)),ABS(B114)+1,-ABS(B114))</f>
        <v>58</v>
      </c>
      <c r="C115" s="1" t="str">
        <f>IF(AND(OR(Data!$B$4="Overig",ISNUMBER(FIND("Emissie",'KE-berekening'!$C$13))),I115&lt;&gt;"",OR(T114&lt;&gt;T115,U114&lt;&gt;U115,V114&lt;&gt;V115,W114&lt;&gt;W115,X114&lt;&gt;X115,Y114&lt;&gt;Y115,Z114&lt;&gt;Z115,AA114&lt;&gt;AA115,AB114&lt;&gt;AB115,AC114&lt;&gt;AC115,C114="Nee")),"Ja","")</f>
        <v/>
      </c>
      <c r="D115" s="1">
        <f t="shared" si="6"/>
        <v>0</v>
      </c>
      <c r="E115" s="1">
        <f>IF(H115=Data!$B$4,ABS(E114)+1,-ABS(E114))</f>
        <v>-8</v>
      </c>
      <c r="F115" s="1">
        <f t="shared" si="4"/>
        <v>-8</v>
      </c>
      <c r="G115" s="1">
        <f t="shared" si="5"/>
        <v>112</v>
      </c>
    </row>
    <row r="116" spans="2:7" x14ac:dyDescent="0.15">
      <c r="B116" s="1">
        <f>IF(ISNONTEXT(VLOOKUP(H116,H$4:H115,1,FALSE)),ABS(B115)+1,-ABS(B115))</f>
        <v>59</v>
      </c>
      <c r="C116" s="1" t="str">
        <f>IF(AND(OR(Data!$B$4="Overig",ISNUMBER(FIND("Emissie",'KE-berekening'!$C$13))),I116&lt;&gt;"",OR(T115&lt;&gt;T116,U115&lt;&gt;U116,V115&lt;&gt;V116,W115&lt;&gt;W116,X115&lt;&gt;X116,Y115&lt;&gt;Y116,Z115&lt;&gt;Z116,AA115&lt;&gt;AA116,AB115&lt;&gt;AB116,AC115&lt;&gt;AC116,C115="Nee")),"Ja","")</f>
        <v/>
      </c>
      <c r="D116" s="1">
        <f t="shared" si="6"/>
        <v>0</v>
      </c>
      <c r="E116" s="1">
        <f>IF(H116=Data!$B$4,ABS(E115)+1,-ABS(E115))</f>
        <v>-8</v>
      </c>
      <c r="F116" s="1">
        <f t="shared" si="4"/>
        <v>-8</v>
      </c>
      <c r="G116" s="1">
        <f t="shared" si="5"/>
        <v>113</v>
      </c>
    </row>
    <row r="117" spans="2:7" x14ac:dyDescent="0.15">
      <c r="B117" s="1">
        <f>IF(ISNONTEXT(VLOOKUP(H117,H$4:H116,1,FALSE)),ABS(B116)+1,-ABS(B116))</f>
        <v>60</v>
      </c>
      <c r="C117" s="1" t="str">
        <f>IF(AND(OR(Data!$B$4="Overig",ISNUMBER(FIND("Emissie",'KE-berekening'!$C$13))),I117&lt;&gt;"",OR(T116&lt;&gt;T117,U116&lt;&gt;U117,V116&lt;&gt;V117,W116&lt;&gt;W117,X116&lt;&gt;X117,Y116&lt;&gt;Y117,Z116&lt;&gt;Z117,AA116&lt;&gt;AA117,AB116&lt;&gt;AB117,AC116&lt;&gt;AC117,C116="Nee")),"Ja","")</f>
        <v/>
      </c>
      <c r="D117" s="1">
        <f t="shared" si="6"/>
        <v>0</v>
      </c>
      <c r="E117" s="1">
        <f>IF(H117=Data!$B$4,ABS(E116)+1,-ABS(E116))</f>
        <v>-8</v>
      </c>
      <c r="F117" s="1">
        <f t="shared" si="4"/>
        <v>-8</v>
      </c>
      <c r="G117" s="1">
        <f t="shared" si="5"/>
        <v>114</v>
      </c>
    </row>
    <row r="118" spans="2:7" x14ac:dyDescent="0.15">
      <c r="B118" s="1">
        <f>IF(ISNONTEXT(VLOOKUP(H118,H$4:H117,1,FALSE)),ABS(B117)+1,-ABS(B117))</f>
        <v>61</v>
      </c>
      <c r="C118" s="1" t="str">
        <f>IF(AND(OR(Data!$B$4="Overig",ISNUMBER(FIND("Emissie",'KE-berekening'!$C$13))),I118&lt;&gt;"",OR(T117&lt;&gt;T118,U117&lt;&gt;U118,V117&lt;&gt;V118,W117&lt;&gt;W118,X117&lt;&gt;X118,Y117&lt;&gt;Y118,Z117&lt;&gt;Z118,AA117&lt;&gt;AA118,AB117&lt;&gt;AB118,AC117&lt;&gt;AC118,C117="Nee")),"Ja","")</f>
        <v/>
      </c>
      <c r="D118" s="1">
        <f t="shared" si="6"/>
        <v>0</v>
      </c>
      <c r="E118" s="1">
        <f>IF(H118=Data!$B$4,ABS(E117)+1,-ABS(E117))</f>
        <v>-8</v>
      </c>
      <c r="F118" s="1">
        <f t="shared" si="4"/>
        <v>-8</v>
      </c>
      <c r="G118" s="1">
        <f t="shared" si="5"/>
        <v>115</v>
      </c>
    </row>
    <row r="119" spans="2:7" x14ac:dyDescent="0.15">
      <c r="B119" s="1">
        <f>IF(ISNONTEXT(VLOOKUP(H119,H$4:H118,1,FALSE)),ABS(B118)+1,-ABS(B118))</f>
        <v>62</v>
      </c>
      <c r="C119" s="1" t="str">
        <f>IF(AND(OR(Data!$B$4="Overig",ISNUMBER(FIND("Emissie",'KE-berekening'!$C$13))),I119&lt;&gt;"",OR(T118&lt;&gt;T119,U118&lt;&gt;U119,V118&lt;&gt;V119,W118&lt;&gt;W119,X118&lt;&gt;X119,Y118&lt;&gt;Y119,Z118&lt;&gt;Z119,AA118&lt;&gt;AA119,AB118&lt;&gt;AB119,AC118&lt;&gt;AC119,C118="Nee")),"Ja","")</f>
        <v/>
      </c>
      <c r="D119" s="1">
        <f t="shared" si="6"/>
        <v>0</v>
      </c>
      <c r="E119" s="1">
        <f>IF(H119=Data!$B$4,ABS(E118)+1,-ABS(E118))</f>
        <v>-8</v>
      </c>
      <c r="F119" s="1">
        <f t="shared" si="4"/>
        <v>-8</v>
      </c>
      <c r="G119" s="1">
        <f t="shared" si="5"/>
        <v>116</v>
      </c>
    </row>
    <row r="120" spans="2:7" x14ac:dyDescent="0.15">
      <c r="B120" s="1">
        <f>IF(ISNONTEXT(VLOOKUP(H120,H$4:H119,1,FALSE)),ABS(B119)+1,-ABS(B119))</f>
        <v>63</v>
      </c>
      <c r="C120" s="1" t="str">
        <f>IF(AND(OR(Data!$B$4="Overig",ISNUMBER(FIND("Emissie",'KE-berekening'!$C$13))),I120&lt;&gt;"",OR(T119&lt;&gt;T120,U119&lt;&gt;U120,V119&lt;&gt;V120,W119&lt;&gt;W120,X119&lt;&gt;X120,Y119&lt;&gt;Y120,Z119&lt;&gt;Z120,AA119&lt;&gt;AA120,AB119&lt;&gt;AB120,AC119&lt;&gt;AC120,C119="Nee")),"Ja","")</f>
        <v/>
      </c>
      <c r="D120" s="1">
        <f t="shared" si="6"/>
        <v>0</v>
      </c>
      <c r="E120" s="1">
        <f>IF(H120=Data!$B$4,ABS(E119)+1,-ABS(E119))</f>
        <v>-8</v>
      </c>
      <c r="F120" s="1">
        <f t="shared" si="4"/>
        <v>-8</v>
      </c>
      <c r="G120" s="1">
        <f t="shared" si="5"/>
        <v>117</v>
      </c>
    </row>
    <row r="121" spans="2:7" x14ac:dyDescent="0.15">
      <c r="B121" s="1">
        <f>IF(ISNONTEXT(VLOOKUP(H121,H$4:H120,1,FALSE)),ABS(B120)+1,-ABS(B120))</f>
        <v>64</v>
      </c>
      <c r="C121" s="1" t="str">
        <f>IF(AND(OR(Data!$B$4="Overig",ISNUMBER(FIND("Emissie",'KE-berekening'!$C$13))),I121&lt;&gt;"",OR(T120&lt;&gt;T121,U120&lt;&gt;U121,V120&lt;&gt;V121,W120&lt;&gt;W121,X120&lt;&gt;X121,Y120&lt;&gt;Y121,Z120&lt;&gt;Z121,AA120&lt;&gt;AA121,AB120&lt;&gt;AB121,AC120&lt;&gt;AC121,C120="Nee")),"Ja","")</f>
        <v/>
      </c>
      <c r="D121" s="1">
        <f t="shared" si="6"/>
        <v>0</v>
      </c>
      <c r="E121" s="1">
        <f>IF(H121=Data!$B$4,ABS(E120)+1,-ABS(E120))</f>
        <v>-8</v>
      </c>
      <c r="F121" s="1">
        <f t="shared" si="4"/>
        <v>-8</v>
      </c>
      <c r="G121" s="1">
        <f t="shared" si="5"/>
        <v>118</v>
      </c>
    </row>
    <row r="122" spans="2:7" x14ac:dyDescent="0.15">
      <c r="B122" s="1">
        <f>IF(ISNONTEXT(VLOOKUP(H122,H$4:H121,1,FALSE)),ABS(B121)+1,-ABS(B121))</f>
        <v>65</v>
      </c>
      <c r="C122" s="1" t="str">
        <f>IF(AND(OR(Data!$B$4="Overig",ISNUMBER(FIND("Emissie",'KE-berekening'!$C$13))),I122&lt;&gt;"",OR(T121&lt;&gt;T122,U121&lt;&gt;U122,V121&lt;&gt;V122,W121&lt;&gt;W122,X121&lt;&gt;X122,Y121&lt;&gt;Y122,Z121&lt;&gt;Z122,AA121&lt;&gt;AA122,AB121&lt;&gt;AB122,AC121&lt;&gt;AC122,C121="Nee")),"Ja","")</f>
        <v/>
      </c>
      <c r="D122" s="1">
        <f t="shared" si="6"/>
        <v>0</v>
      </c>
      <c r="E122" s="1">
        <f>IF(H122=Data!$B$4,ABS(E121)+1,-ABS(E121))</f>
        <v>-8</v>
      </c>
      <c r="F122" s="1">
        <f t="shared" si="4"/>
        <v>-8</v>
      </c>
      <c r="G122" s="1">
        <f t="shared" si="5"/>
        <v>119</v>
      </c>
    </row>
    <row r="123" spans="2:7" x14ac:dyDescent="0.15">
      <c r="B123" s="1">
        <f>IF(ISNONTEXT(VLOOKUP(H123,H$4:H122,1,FALSE)),ABS(B122)+1,-ABS(B122))</f>
        <v>66</v>
      </c>
      <c r="C123" s="1" t="str">
        <f>IF(AND(OR(Data!$B$4="Overig",ISNUMBER(FIND("Emissie",'KE-berekening'!$C$13))),I123&lt;&gt;"",OR(T122&lt;&gt;T123,U122&lt;&gt;U123,V122&lt;&gt;V123,W122&lt;&gt;W123,X122&lt;&gt;X123,Y122&lt;&gt;Y123,Z122&lt;&gt;Z123,AA122&lt;&gt;AA123,AB122&lt;&gt;AB123,AC122&lt;&gt;AC123,C122="Nee")),"Ja","")</f>
        <v/>
      </c>
      <c r="D123" s="1">
        <f t="shared" si="6"/>
        <v>0</v>
      </c>
      <c r="E123" s="1">
        <f>IF(H123=Data!$B$4,ABS(E122)+1,-ABS(E122))</f>
        <v>-8</v>
      </c>
      <c r="F123" s="1">
        <f t="shared" si="4"/>
        <v>-8</v>
      </c>
      <c r="G123" s="1">
        <f t="shared" si="5"/>
        <v>120</v>
      </c>
    </row>
    <row r="124" spans="2:7" x14ac:dyDescent="0.15">
      <c r="B124" s="1">
        <f>IF(ISNONTEXT(VLOOKUP(H124,H$4:H123,1,FALSE)),ABS(B123)+1,-ABS(B123))</f>
        <v>67</v>
      </c>
      <c r="C124" s="1" t="str">
        <f>IF(AND(OR(Data!$B$4="Overig",ISNUMBER(FIND("Emissie",'KE-berekening'!$C$13))),I124&lt;&gt;"",OR(T123&lt;&gt;T124,U123&lt;&gt;U124,V123&lt;&gt;V124,W123&lt;&gt;W124,X123&lt;&gt;X124,Y123&lt;&gt;Y124,Z123&lt;&gt;Z124,AA123&lt;&gt;AA124,AB123&lt;&gt;AB124,AC123&lt;&gt;AC124,C123="Nee")),"Ja","")</f>
        <v/>
      </c>
      <c r="D124" s="1">
        <f t="shared" si="6"/>
        <v>0</v>
      </c>
      <c r="E124" s="1">
        <f>IF(H124=Data!$B$4,ABS(E123)+1,-ABS(E123))</f>
        <v>-8</v>
      </c>
      <c r="F124" s="1">
        <f t="shared" si="4"/>
        <v>-8</v>
      </c>
      <c r="G124" s="1">
        <f t="shared" si="5"/>
        <v>121</v>
      </c>
    </row>
    <row r="125" spans="2:7" x14ac:dyDescent="0.15">
      <c r="B125" s="1">
        <f>IF(ISNONTEXT(VLOOKUP(H125,H$4:H124,1,FALSE)),ABS(B124)+1,-ABS(B124))</f>
        <v>68</v>
      </c>
      <c r="C125" s="1" t="str">
        <f>IF(AND(OR(Data!$B$4="Overig",ISNUMBER(FIND("Emissie",'KE-berekening'!$C$13))),I125&lt;&gt;"",OR(T124&lt;&gt;T125,U124&lt;&gt;U125,V124&lt;&gt;V125,W124&lt;&gt;W125,X124&lt;&gt;X125,Y124&lt;&gt;Y125,Z124&lt;&gt;Z125,AA124&lt;&gt;AA125,AB124&lt;&gt;AB125,AC124&lt;&gt;AC125,C124="Nee")),"Ja","")</f>
        <v/>
      </c>
      <c r="D125" s="1">
        <f t="shared" si="6"/>
        <v>0</v>
      </c>
      <c r="E125" s="1">
        <f>IF(H125=Data!$B$4,ABS(E124)+1,-ABS(E124))</f>
        <v>-8</v>
      </c>
      <c r="F125" s="1">
        <f t="shared" si="4"/>
        <v>-8</v>
      </c>
      <c r="G125" s="1">
        <f t="shared" si="5"/>
        <v>122</v>
      </c>
    </row>
    <row r="126" spans="2:7" x14ac:dyDescent="0.15">
      <c r="B126" s="1">
        <f>IF(ISNONTEXT(VLOOKUP(H126,H$4:H125,1,FALSE)),ABS(B125)+1,-ABS(B125))</f>
        <v>69</v>
      </c>
      <c r="C126" s="1" t="str">
        <f>IF(AND(OR(Data!$B$4="Overig",ISNUMBER(FIND("Emissie",'KE-berekening'!$C$13))),I126&lt;&gt;"",OR(T125&lt;&gt;T126,U125&lt;&gt;U126,V125&lt;&gt;V126,W125&lt;&gt;W126,X125&lt;&gt;X126,Y125&lt;&gt;Y126,Z125&lt;&gt;Z126,AA125&lt;&gt;AA126,AB125&lt;&gt;AB126,AC125&lt;&gt;AC126,C125="Nee")),"Ja","")</f>
        <v/>
      </c>
      <c r="D126" s="1">
        <f t="shared" si="6"/>
        <v>0</v>
      </c>
      <c r="E126" s="1">
        <f>IF(H126=Data!$B$4,ABS(E125)+1,-ABS(E125))</f>
        <v>-8</v>
      </c>
      <c r="F126" s="1">
        <f t="shared" si="4"/>
        <v>-8</v>
      </c>
      <c r="G126" s="1">
        <f t="shared" si="5"/>
        <v>123</v>
      </c>
    </row>
    <row r="127" spans="2:7" x14ac:dyDescent="0.15">
      <c r="B127" s="1">
        <f>IF(ISNONTEXT(VLOOKUP(H127,H$4:H126,1,FALSE)),ABS(B126)+1,-ABS(B126))</f>
        <v>70</v>
      </c>
      <c r="C127" s="1" t="str">
        <f>IF(AND(OR(Data!$B$4="Overig",ISNUMBER(FIND("Emissie",'KE-berekening'!$C$13))),I127&lt;&gt;"",OR(T126&lt;&gt;T127,U126&lt;&gt;U127,V126&lt;&gt;V127,W126&lt;&gt;W127,X126&lt;&gt;X127,Y126&lt;&gt;Y127,Z126&lt;&gt;Z127,AA126&lt;&gt;AA127,AB126&lt;&gt;AB127,AC126&lt;&gt;AC127,C126="Nee")),"Ja","")</f>
        <v/>
      </c>
      <c r="D127" s="1">
        <f t="shared" si="6"/>
        <v>0</v>
      </c>
      <c r="E127" s="1">
        <f>IF(H127=Data!$B$4,ABS(E126)+1,-ABS(E126))</f>
        <v>-8</v>
      </c>
      <c r="F127" s="1">
        <f t="shared" si="4"/>
        <v>-8</v>
      </c>
      <c r="G127" s="1">
        <f t="shared" si="5"/>
        <v>124</v>
      </c>
    </row>
    <row r="128" spans="2:7" x14ac:dyDescent="0.15">
      <c r="B128" s="1">
        <f>IF(ISNONTEXT(VLOOKUP(H128,H$4:H127,1,FALSE)),ABS(B127)+1,-ABS(B127))</f>
        <v>71</v>
      </c>
      <c r="C128" s="1" t="str">
        <f>IF(AND(OR(Data!$B$4="Overig",ISNUMBER(FIND("Emissie",'KE-berekening'!$C$13))),I128&lt;&gt;"",OR(T127&lt;&gt;T128,U127&lt;&gt;U128,V127&lt;&gt;V128,W127&lt;&gt;W128,X127&lt;&gt;X128,Y127&lt;&gt;Y128,Z127&lt;&gt;Z128,AA127&lt;&gt;AA128,AB127&lt;&gt;AB128,AC127&lt;&gt;AC128,C127="Nee")),"Ja","")</f>
        <v/>
      </c>
      <c r="D128" s="1">
        <f t="shared" si="6"/>
        <v>0</v>
      </c>
      <c r="E128" s="1">
        <f>IF(H128=Data!$B$4,ABS(E127)+1,-ABS(E127))</f>
        <v>-8</v>
      </c>
      <c r="F128" s="1">
        <f t="shared" si="4"/>
        <v>-8</v>
      </c>
      <c r="G128" s="1">
        <f t="shared" si="5"/>
        <v>125</v>
      </c>
    </row>
    <row r="129" spans="2:7" x14ac:dyDescent="0.15">
      <c r="B129" s="1">
        <f>IF(ISNONTEXT(VLOOKUP(H129,H$4:H128,1,FALSE)),ABS(B128)+1,-ABS(B128))</f>
        <v>72</v>
      </c>
      <c r="C129" s="1" t="str">
        <f>IF(AND(OR(Data!$B$4="Overig",ISNUMBER(FIND("Emissie",'KE-berekening'!$C$13))),I129&lt;&gt;"",OR(T128&lt;&gt;T129,U128&lt;&gt;U129,V128&lt;&gt;V129,W128&lt;&gt;W129,X128&lt;&gt;X129,Y128&lt;&gt;Y129,Z128&lt;&gt;Z129,AA128&lt;&gt;AA129,AB128&lt;&gt;AB129,AC128&lt;&gt;AC129,C128="Nee")),"Ja","")</f>
        <v/>
      </c>
      <c r="D129" s="1">
        <f t="shared" si="6"/>
        <v>0</v>
      </c>
      <c r="E129" s="1">
        <f>IF(H129=Data!$B$4,ABS(E128)+1,-ABS(E128))</f>
        <v>-8</v>
      </c>
      <c r="F129" s="1">
        <f t="shared" si="4"/>
        <v>-8</v>
      </c>
      <c r="G129" s="1">
        <f t="shared" si="5"/>
        <v>126</v>
      </c>
    </row>
    <row r="130" spans="2:7" x14ac:dyDescent="0.15">
      <c r="B130" s="1">
        <f>IF(ISNONTEXT(VLOOKUP(H130,H$4:H129,1,FALSE)),ABS(B129)+1,-ABS(B129))</f>
        <v>73</v>
      </c>
      <c r="C130" s="1" t="str">
        <f>IF(AND(OR(Data!$B$4="Overig",ISNUMBER(FIND("Emissie",'KE-berekening'!$C$13))),I130&lt;&gt;"",OR(T129&lt;&gt;T130,U129&lt;&gt;U130,V129&lt;&gt;V130,W129&lt;&gt;W130,X129&lt;&gt;X130,Y129&lt;&gt;Y130,Z129&lt;&gt;Z130,AA129&lt;&gt;AA130,AB129&lt;&gt;AB130,AC129&lt;&gt;AC130,C129="Nee")),"Ja","")</f>
        <v/>
      </c>
      <c r="D130" s="1">
        <f t="shared" si="6"/>
        <v>0</v>
      </c>
      <c r="E130" s="1">
        <f>IF(H130=Data!$B$4,ABS(E129)+1,-ABS(E129))</f>
        <v>-8</v>
      </c>
      <c r="F130" s="1">
        <f t="shared" si="4"/>
        <v>-8</v>
      </c>
      <c r="G130" s="1">
        <f t="shared" si="5"/>
        <v>127</v>
      </c>
    </row>
    <row r="131" spans="2:7" x14ac:dyDescent="0.15">
      <c r="B131" s="1">
        <f>IF(ISNONTEXT(VLOOKUP(H131,H$4:H130,1,FALSE)),ABS(B130)+1,-ABS(B130))</f>
        <v>74</v>
      </c>
      <c r="C131" s="1" t="str">
        <f>IF(AND(OR(Data!$B$4="Overig",ISNUMBER(FIND("Emissie",'KE-berekening'!$C$13))),I131&lt;&gt;"",OR(T130&lt;&gt;T131,U130&lt;&gt;U131,V130&lt;&gt;V131,W130&lt;&gt;W131,X130&lt;&gt;X131,Y130&lt;&gt;Y131,Z130&lt;&gt;Z131,AA130&lt;&gt;AA131,AB130&lt;&gt;AB131,AC130&lt;&gt;AC131,C130="Nee")),"Ja","")</f>
        <v/>
      </c>
      <c r="D131" s="1">
        <f t="shared" si="6"/>
        <v>0</v>
      </c>
      <c r="E131" s="1">
        <f>IF(H131=Data!$B$4,ABS(E130)+1,-ABS(E130))</f>
        <v>-8</v>
      </c>
      <c r="F131" s="1">
        <f t="shared" si="4"/>
        <v>-8</v>
      </c>
      <c r="G131" s="1">
        <f t="shared" si="5"/>
        <v>128</v>
      </c>
    </row>
    <row r="132" spans="2:7" x14ac:dyDescent="0.15">
      <c r="B132" s="1">
        <f>IF(ISNONTEXT(VLOOKUP(H132,H$4:H131,1,FALSE)),ABS(B131)+1,-ABS(B131))</f>
        <v>75</v>
      </c>
      <c r="C132" s="1" t="str">
        <f>IF(AND(OR(Data!$B$4="Overig",ISNUMBER(FIND("Emissie",'KE-berekening'!$C$13))),I132&lt;&gt;"",OR(T131&lt;&gt;T132,U131&lt;&gt;U132,V131&lt;&gt;V132,W131&lt;&gt;W132,X131&lt;&gt;X132,Y131&lt;&gt;Y132,Z131&lt;&gt;Z132,AA131&lt;&gt;AA132,AB131&lt;&gt;AB132,AC131&lt;&gt;AC132,C131="Nee")),"Ja","")</f>
        <v/>
      </c>
      <c r="D132" s="1">
        <f t="shared" si="6"/>
        <v>0</v>
      </c>
      <c r="E132" s="1">
        <f>IF(H132=Data!$B$4,ABS(E131)+1,-ABS(E131))</f>
        <v>-8</v>
      </c>
      <c r="F132" s="1">
        <f t="shared" si="4"/>
        <v>-8</v>
      </c>
      <c r="G132" s="1">
        <f t="shared" si="5"/>
        <v>129</v>
      </c>
    </row>
    <row r="133" spans="2:7" x14ac:dyDescent="0.15">
      <c r="B133" s="1">
        <f>IF(ISNONTEXT(VLOOKUP(H133,H$4:H132,1,FALSE)),ABS(B132)+1,-ABS(B132))</f>
        <v>76</v>
      </c>
      <c r="C133" s="1" t="str">
        <f>IF(AND(OR(Data!$B$4="Overig",ISNUMBER(FIND("Emissie",'KE-berekening'!$C$13))),I133&lt;&gt;"",OR(T132&lt;&gt;T133,U132&lt;&gt;U133,V132&lt;&gt;V133,W132&lt;&gt;W133,X132&lt;&gt;X133,Y132&lt;&gt;Y133,Z132&lt;&gt;Z133,AA132&lt;&gt;AA133,AB132&lt;&gt;AB133,AC132&lt;&gt;AC133,C132="Nee")),"Ja","")</f>
        <v/>
      </c>
      <c r="D133" s="1">
        <f t="shared" si="6"/>
        <v>0</v>
      </c>
      <c r="E133" s="1">
        <f>IF(H133=Data!$B$4,ABS(E132)+1,-ABS(E132))</f>
        <v>-8</v>
      </c>
      <c r="F133" s="1">
        <f t="shared" ref="F133:F153" si="7">IF($C$4="Ja",D133,E133)</f>
        <v>-8</v>
      </c>
      <c r="G133" s="1">
        <f t="shared" ref="G133:G153" si="8">ROW(F133)-ROW($B$3)</f>
        <v>130</v>
      </c>
    </row>
    <row r="134" spans="2:7" x14ac:dyDescent="0.15">
      <c r="B134" s="1">
        <f>IF(ISNONTEXT(VLOOKUP(H134,H$4:H133,1,FALSE)),ABS(B133)+1,-ABS(B133))</f>
        <v>77</v>
      </c>
      <c r="C134" s="1" t="str">
        <f>IF(AND(OR(Data!$B$4="Overig",ISNUMBER(FIND("Emissie",'KE-berekening'!$C$13))),I134&lt;&gt;"",OR(T133&lt;&gt;T134,U133&lt;&gt;U134,V133&lt;&gt;V134,W133&lt;&gt;W134,X133&lt;&gt;X134,Y133&lt;&gt;Y134,Z133&lt;&gt;Z134,AA133&lt;&gt;AA134,AB133&lt;&gt;AB134,AC133&lt;&gt;AC134,C133="Nee")),"Ja","")</f>
        <v/>
      </c>
      <c r="D134" s="1">
        <f t="shared" ref="D134:D153" si="9">IF(C134="Ja",ABS(D133)+1,-ABS(D133))</f>
        <v>0</v>
      </c>
      <c r="E134" s="1">
        <f>IF(H134=Data!$B$4,ABS(E133)+1,-ABS(E133))</f>
        <v>-8</v>
      </c>
      <c r="F134" s="1">
        <f t="shared" si="7"/>
        <v>-8</v>
      </c>
      <c r="G134" s="1">
        <f t="shared" si="8"/>
        <v>131</v>
      </c>
    </row>
    <row r="135" spans="2:7" x14ac:dyDescent="0.15">
      <c r="B135" s="1">
        <f>IF(ISNONTEXT(VLOOKUP(H135,H$4:H134,1,FALSE)),ABS(B134)+1,-ABS(B134))</f>
        <v>78</v>
      </c>
      <c r="C135" s="1" t="str">
        <f>IF(AND(OR(Data!$B$4="Overig",ISNUMBER(FIND("Emissie",'KE-berekening'!$C$13))),I135&lt;&gt;"",OR(T134&lt;&gt;T135,U134&lt;&gt;U135,V134&lt;&gt;V135,W134&lt;&gt;W135,X134&lt;&gt;X135,Y134&lt;&gt;Y135,Z134&lt;&gt;Z135,AA134&lt;&gt;AA135,AB134&lt;&gt;AB135,AC134&lt;&gt;AC135,C134="Nee")),"Ja","")</f>
        <v/>
      </c>
      <c r="D135" s="1">
        <f t="shared" si="9"/>
        <v>0</v>
      </c>
      <c r="E135" s="1">
        <f>IF(H135=Data!$B$4,ABS(E134)+1,-ABS(E134))</f>
        <v>-8</v>
      </c>
      <c r="F135" s="1">
        <f t="shared" si="7"/>
        <v>-8</v>
      </c>
      <c r="G135" s="1">
        <f t="shared" si="8"/>
        <v>132</v>
      </c>
    </row>
    <row r="136" spans="2:7" x14ac:dyDescent="0.15">
      <c r="B136" s="1">
        <f>IF(ISNONTEXT(VLOOKUP(H136,H$4:H135,1,FALSE)),ABS(B135)+1,-ABS(B135))</f>
        <v>79</v>
      </c>
      <c r="C136" s="1" t="str">
        <f>IF(AND(OR(Data!$B$4="Overig",ISNUMBER(FIND("Emissie",'KE-berekening'!$C$13))),I136&lt;&gt;"",OR(T135&lt;&gt;T136,U135&lt;&gt;U136,V135&lt;&gt;V136,W135&lt;&gt;W136,X135&lt;&gt;X136,Y135&lt;&gt;Y136,Z135&lt;&gt;Z136,AA135&lt;&gt;AA136,AB135&lt;&gt;AB136,AC135&lt;&gt;AC136,C135="Nee")),"Ja","")</f>
        <v/>
      </c>
      <c r="D136" s="1">
        <f t="shared" si="9"/>
        <v>0</v>
      </c>
      <c r="E136" s="1">
        <f>IF(H136=Data!$B$4,ABS(E135)+1,-ABS(E135))</f>
        <v>-8</v>
      </c>
      <c r="F136" s="1">
        <f t="shared" si="7"/>
        <v>-8</v>
      </c>
      <c r="G136" s="1">
        <f t="shared" si="8"/>
        <v>133</v>
      </c>
    </row>
    <row r="137" spans="2:7" x14ac:dyDescent="0.15">
      <c r="B137" s="1">
        <f>IF(ISNONTEXT(VLOOKUP(H137,H$4:H136,1,FALSE)),ABS(B136)+1,-ABS(B136))</f>
        <v>80</v>
      </c>
      <c r="C137" s="1" t="str">
        <f>IF(AND(OR(Data!$B$4="Overig",ISNUMBER(FIND("Emissie",'KE-berekening'!$C$13))),I137&lt;&gt;"",OR(T136&lt;&gt;T137,U136&lt;&gt;U137,V136&lt;&gt;V137,W136&lt;&gt;W137,X136&lt;&gt;X137,Y136&lt;&gt;Y137,Z136&lt;&gt;Z137,AA136&lt;&gt;AA137,AB136&lt;&gt;AB137,AC136&lt;&gt;AC137,C136="Nee")),"Ja","")</f>
        <v/>
      </c>
      <c r="D137" s="1">
        <f t="shared" si="9"/>
        <v>0</v>
      </c>
      <c r="E137" s="1">
        <f>IF(H137=Data!$B$4,ABS(E136)+1,-ABS(E136))</f>
        <v>-8</v>
      </c>
      <c r="F137" s="1">
        <f t="shared" si="7"/>
        <v>-8</v>
      </c>
      <c r="G137" s="1">
        <f t="shared" si="8"/>
        <v>134</v>
      </c>
    </row>
    <row r="138" spans="2:7" x14ac:dyDescent="0.15">
      <c r="B138" s="1">
        <f>IF(ISNONTEXT(VLOOKUP(H138,H$4:H137,1,FALSE)),ABS(B137)+1,-ABS(B137))</f>
        <v>81</v>
      </c>
      <c r="C138" s="1" t="str">
        <f>IF(AND(OR(Data!$B$4="Overig",ISNUMBER(FIND("Emissie",'KE-berekening'!$C$13))),I138&lt;&gt;"",OR(T137&lt;&gt;T138,U137&lt;&gt;U138,V137&lt;&gt;V138,W137&lt;&gt;W138,X137&lt;&gt;X138,Y137&lt;&gt;Y138,Z137&lt;&gt;Z138,AA137&lt;&gt;AA138,AB137&lt;&gt;AB138,AC137&lt;&gt;AC138,C137="Nee")),"Ja","")</f>
        <v/>
      </c>
      <c r="D138" s="1">
        <f t="shared" si="9"/>
        <v>0</v>
      </c>
      <c r="E138" s="1">
        <f>IF(H138=Data!$B$4,ABS(E137)+1,-ABS(E137))</f>
        <v>-8</v>
      </c>
      <c r="F138" s="1">
        <f t="shared" si="7"/>
        <v>-8</v>
      </c>
      <c r="G138" s="1">
        <f t="shared" si="8"/>
        <v>135</v>
      </c>
    </row>
    <row r="139" spans="2:7" x14ac:dyDescent="0.15">
      <c r="B139" s="1">
        <f>IF(ISNONTEXT(VLOOKUP(H139,H$4:H138,1,FALSE)),ABS(B138)+1,-ABS(B138))</f>
        <v>82</v>
      </c>
      <c r="C139" s="1" t="str">
        <f>IF(AND(OR(Data!$B$4="Overig",ISNUMBER(FIND("Emissie",'KE-berekening'!$C$13))),I139&lt;&gt;"",OR(T138&lt;&gt;T139,U138&lt;&gt;U139,V138&lt;&gt;V139,W138&lt;&gt;W139,X138&lt;&gt;X139,Y138&lt;&gt;Y139,Z138&lt;&gt;Z139,AA138&lt;&gt;AA139,AB138&lt;&gt;AB139,AC138&lt;&gt;AC139,C138="Nee")),"Ja","")</f>
        <v/>
      </c>
      <c r="D139" s="1">
        <f t="shared" si="9"/>
        <v>0</v>
      </c>
      <c r="E139" s="1">
        <f>IF(H139=Data!$B$4,ABS(E138)+1,-ABS(E138))</f>
        <v>-8</v>
      </c>
      <c r="F139" s="1">
        <f t="shared" si="7"/>
        <v>-8</v>
      </c>
      <c r="G139" s="1">
        <f t="shared" si="8"/>
        <v>136</v>
      </c>
    </row>
    <row r="140" spans="2:7" x14ac:dyDescent="0.15">
      <c r="B140" s="1">
        <f>IF(ISNONTEXT(VLOOKUP(H140,H$4:H139,1,FALSE)),ABS(B139)+1,-ABS(B139))</f>
        <v>83</v>
      </c>
      <c r="C140" s="1" t="str">
        <f>IF(AND(OR(Data!$B$4="Overig",ISNUMBER(FIND("Emissie",'KE-berekening'!$C$13))),I140&lt;&gt;"",OR(T139&lt;&gt;T140,U139&lt;&gt;U140,V139&lt;&gt;V140,W139&lt;&gt;W140,X139&lt;&gt;X140,Y139&lt;&gt;Y140,Z139&lt;&gt;Z140,AA139&lt;&gt;AA140,AB139&lt;&gt;AB140,AC139&lt;&gt;AC140,C139="Nee")),"Ja","")</f>
        <v/>
      </c>
      <c r="D140" s="1">
        <f t="shared" si="9"/>
        <v>0</v>
      </c>
      <c r="E140" s="1">
        <f>IF(H140=Data!$B$4,ABS(E139)+1,-ABS(E139))</f>
        <v>-8</v>
      </c>
      <c r="F140" s="1">
        <f t="shared" si="7"/>
        <v>-8</v>
      </c>
      <c r="G140" s="1">
        <f t="shared" si="8"/>
        <v>137</v>
      </c>
    </row>
    <row r="141" spans="2:7" x14ac:dyDescent="0.15">
      <c r="B141" s="1">
        <f>IF(ISNONTEXT(VLOOKUP(H141,H$4:H140,1,FALSE)),ABS(B140)+1,-ABS(B140))</f>
        <v>84</v>
      </c>
      <c r="C141" s="1" t="str">
        <f>IF(AND(OR(Data!$B$4="Overig",ISNUMBER(FIND("Emissie",'KE-berekening'!$C$13))),I141&lt;&gt;"",OR(T140&lt;&gt;T141,U140&lt;&gt;U141,V140&lt;&gt;V141,W140&lt;&gt;W141,X140&lt;&gt;X141,Y140&lt;&gt;Y141,Z140&lt;&gt;Z141,AA140&lt;&gt;AA141,AB140&lt;&gt;AB141,AC140&lt;&gt;AC141,C140="Nee")),"Ja","")</f>
        <v/>
      </c>
      <c r="D141" s="1">
        <f t="shared" si="9"/>
        <v>0</v>
      </c>
      <c r="E141" s="1">
        <f>IF(H141=Data!$B$4,ABS(E140)+1,-ABS(E140))</f>
        <v>-8</v>
      </c>
      <c r="F141" s="1">
        <f t="shared" si="7"/>
        <v>-8</v>
      </c>
      <c r="G141" s="1">
        <f t="shared" si="8"/>
        <v>138</v>
      </c>
    </row>
    <row r="142" spans="2:7" x14ac:dyDescent="0.15">
      <c r="B142" s="1">
        <f>IF(ISNONTEXT(VLOOKUP(H142,H$4:H141,1,FALSE)),ABS(B141)+1,-ABS(B141))</f>
        <v>85</v>
      </c>
      <c r="C142" s="1" t="str">
        <f>IF(AND(OR(Data!$B$4="Overig",ISNUMBER(FIND("Emissie",'KE-berekening'!$C$13))),I142&lt;&gt;"",OR(T141&lt;&gt;T142,U141&lt;&gt;U142,V141&lt;&gt;V142,W141&lt;&gt;W142,X141&lt;&gt;X142,Y141&lt;&gt;Y142,Z141&lt;&gt;Z142,AA141&lt;&gt;AA142,AB141&lt;&gt;AB142,AC141&lt;&gt;AC142,C141="Nee")),"Ja","")</f>
        <v/>
      </c>
      <c r="D142" s="1">
        <f t="shared" si="9"/>
        <v>0</v>
      </c>
      <c r="E142" s="1">
        <f>IF(H142=Data!$B$4,ABS(E141)+1,-ABS(E141))</f>
        <v>-8</v>
      </c>
      <c r="F142" s="1">
        <f t="shared" si="7"/>
        <v>-8</v>
      </c>
      <c r="G142" s="1">
        <f t="shared" si="8"/>
        <v>139</v>
      </c>
    </row>
    <row r="143" spans="2:7" x14ac:dyDescent="0.15">
      <c r="B143" s="1">
        <f>IF(ISNONTEXT(VLOOKUP(H143,H$4:H142,1,FALSE)),ABS(B142)+1,-ABS(B142))</f>
        <v>86</v>
      </c>
      <c r="C143" s="1" t="str">
        <f>IF(AND(OR(Data!$B$4="Overig",ISNUMBER(FIND("Emissie",'KE-berekening'!$C$13))),I143&lt;&gt;"",OR(T142&lt;&gt;T143,U142&lt;&gt;U143,V142&lt;&gt;V143,W142&lt;&gt;W143,X142&lt;&gt;X143,Y142&lt;&gt;Y143,Z142&lt;&gt;Z143,AA142&lt;&gt;AA143,AB142&lt;&gt;AB143,AC142&lt;&gt;AC143,C142="Nee")),"Ja","")</f>
        <v/>
      </c>
      <c r="D143" s="1">
        <f t="shared" si="9"/>
        <v>0</v>
      </c>
      <c r="E143" s="1">
        <f>IF(H143=Data!$B$4,ABS(E142)+1,-ABS(E142))</f>
        <v>-8</v>
      </c>
      <c r="F143" s="1">
        <f t="shared" si="7"/>
        <v>-8</v>
      </c>
      <c r="G143" s="1">
        <f t="shared" si="8"/>
        <v>140</v>
      </c>
    </row>
    <row r="144" spans="2:7" x14ac:dyDescent="0.15">
      <c r="B144" s="1">
        <f>IF(ISNONTEXT(VLOOKUP(H144,H$4:H143,1,FALSE)),ABS(B143)+1,-ABS(B143))</f>
        <v>87</v>
      </c>
      <c r="C144" s="1" t="str">
        <f>IF(AND(OR(Data!$B$4="Overig",ISNUMBER(FIND("Emissie",'KE-berekening'!$C$13))),I144&lt;&gt;"",OR(T143&lt;&gt;T144,U143&lt;&gt;U144,V143&lt;&gt;V144,W143&lt;&gt;W144,X143&lt;&gt;X144,Y143&lt;&gt;Y144,Z143&lt;&gt;Z144,AA143&lt;&gt;AA144,AB143&lt;&gt;AB144,AC143&lt;&gt;AC144,C143="Nee")),"Ja","")</f>
        <v/>
      </c>
      <c r="D144" s="1">
        <f t="shared" si="9"/>
        <v>0</v>
      </c>
      <c r="E144" s="1">
        <f>IF(H144=Data!$B$4,ABS(E143)+1,-ABS(E143))</f>
        <v>-8</v>
      </c>
      <c r="F144" s="1">
        <f t="shared" si="7"/>
        <v>-8</v>
      </c>
      <c r="G144" s="1">
        <f t="shared" si="8"/>
        <v>141</v>
      </c>
    </row>
    <row r="145" spans="2:8" x14ac:dyDescent="0.15">
      <c r="B145" s="1">
        <f>IF(ISNONTEXT(VLOOKUP(H145,H$4:H144,1,FALSE)),ABS(B144)+1,-ABS(B144))</f>
        <v>88</v>
      </c>
      <c r="C145" s="1" t="str">
        <f>IF(AND(OR(Data!$B$4="Overig",ISNUMBER(FIND("Emissie",'KE-berekening'!$C$13))),I145&lt;&gt;"",OR(T144&lt;&gt;T145,U144&lt;&gt;U145,V144&lt;&gt;V145,W144&lt;&gt;W145,X144&lt;&gt;X145,Y144&lt;&gt;Y145,Z144&lt;&gt;Z145,AA144&lt;&gt;AA145,AB144&lt;&gt;AB145,AC144&lt;&gt;AC145,C144="Nee")),"Ja","")</f>
        <v/>
      </c>
      <c r="D145" s="1">
        <f t="shared" si="9"/>
        <v>0</v>
      </c>
      <c r="E145" s="1">
        <f>IF(H145=Data!$B$4,ABS(E144)+1,-ABS(E144))</f>
        <v>-8</v>
      </c>
      <c r="F145" s="1">
        <f t="shared" si="7"/>
        <v>-8</v>
      </c>
      <c r="G145" s="1">
        <f t="shared" si="8"/>
        <v>142</v>
      </c>
    </row>
    <row r="146" spans="2:8" x14ac:dyDescent="0.15">
      <c r="B146" s="1">
        <f>IF(ISNONTEXT(VLOOKUP(H146,H$4:H145,1,FALSE)),ABS(B145)+1,-ABS(B145))</f>
        <v>89</v>
      </c>
      <c r="C146" s="1" t="str">
        <f>IF(AND(OR(Data!$B$4="Overig",ISNUMBER(FIND("Emissie",'KE-berekening'!$C$13))),I146&lt;&gt;"",OR(T145&lt;&gt;T146,U145&lt;&gt;U146,V145&lt;&gt;V146,W145&lt;&gt;W146,X145&lt;&gt;X146,Y145&lt;&gt;Y146,Z145&lt;&gt;Z146,AA145&lt;&gt;AA146,AB145&lt;&gt;AB146,AC145&lt;&gt;AC146,C145="Nee")),"Ja","")</f>
        <v/>
      </c>
      <c r="D146" s="1">
        <f t="shared" si="9"/>
        <v>0</v>
      </c>
      <c r="E146" s="1">
        <f>IF(H146=Data!$B$4,ABS(E145)+1,-ABS(E145))</f>
        <v>-8</v>
      </c>
      <c r="F146" s="1">
        <f t="shared" si="7"/>
        <v>-8</v>
      </c>
      <c r="G146" s="1">
        <f t="shared" si="8"/>
        <v>143</v>
      </c>
    </row>
    <row r="147" spans="2:8" x14ac:dyDescent="0.15">
      <c r="B147" s="1">
        <f>IF(ISNONTEXT(VLOOKUP(H147,H$4:H146,1,FALSE)),ABS(B146)+1,-ABS(B146))</f>
        <v>90</v>
      </c>
      <c r="C147" s="1" t="str">
        <f>IF(AND(OR(Data!$B$4="Overig",ISNUMBER(FIND("Emissie",'KE-berekening'!$C$13))),I147&lt;&gt;"",OR(T146&lt;&gt;T147,U146&lt;&gt;U147,V146&lt;&gt;V147,W146&lt;&gt;W147,X146&lt;&gt;X147,Y146&lt;&gt;Y147,Z146&lt;&gt;Z147,AA146&lt;&gt;AA147,AB146&lt;&gt;AB147,AC146&lt;&gt;AC147,C146="Nee")),"Ja","")</f>
        <v/>
      </c>
      <c r="D147" s="1">
        <f t="shared" si="9"/>
        <v>0</v>
      </c>
      <c r="E147" s="1">
        <f>IF(H147=Data!$B$4,ABS(E146)+1,-ABS(E146))</f>
        <v>-8</v>
      </c>
      <c r="F147" s="1">
        <f t="shared" si="7"/>
        <v>-8</v>
      </c>
      <c r="G147" s="1">
        <f t="shared" si="8"/>
        <v>144</v>
      </c>
    </row>
    <row r="148" spans="2:8" x14ac:dyDescent="0.15">
      <c r="B148" s="1">
        <f>IF(ISNONTEXT(VLOOKUP(H148,H$4:H147,1,FALSE)),ABS(B147)+1,-ABS(B147))</f>
        <v>91</v>
      </c>
      <c r="C148" s="1" t="str">
        <f>IF(AND(OR(Data!$B$4="Overig",ISNUMBER(FIND("Emissie",'KE-berekening'!$C$13))),I148&lt;&gt;"",OR(T147&lt;&gt;T148,U147&lt;&gt;U148,V147&lt;&gt;V148,W147&lt;&gt;W148,X147&lt;&gt;X148,Y147&lt;&gt;Y148,Z147&lt;&gt;Z148,AA147&lt;&gt;AA148,AB147&lt;&gt;AB148,AC147&lt;&gt;AC148,C147="Nee")),"Ja","")</f>
        <v/>
      </c>
      <c r="D148" s="1">
        <f t="shared" si="9"/>
        <v>0</v>
      </c>
      <c r="E148" s="1">
        <f>IF(H148=Data!$B$4,ABS(E147)+1,-ABS(E147))</f>
        <v>-8</v>
      </c>
      <c r="F148" s="1">
        <f t="shared" si="7"/>
        <v>-8</v>
      </c>
      <c r="G148" s="1">
        <f t="shared" si="8"/>
        <v>145</v>
      </c>
    </row>
    <row r="149" spans="2:8" x14ac:dyDescent="0.15">
      <c r="B149" s="1">
        <f>IF(ISNONTEXT(VLOOKUP(H149,H$4:H148,1,FALSE)),ABS(B148)+1,-ABS(B148))</f>
        <v>92</v>
      </c>
      <c r="C149" s="1" t="str">
        <f>IF(AND(OR(Data!$B$4="Overig",ISNUMBER(FIND("Emissie",'KE-berekening'!$C$13))),I149&lt;&gt;"",OR(T148&lt;&gt;T149,U148&lt;&gt;U149,V148&lt;&gt;V149,W148&lt;&gt;W149,X148&lt;&gt;X149,Y148&lt;&gt;Y149,Z148&lt;&gt;Z149,AA148&lt;&gt;AA149,AB148&lt;&gt;AB149,AC148&lt;&gt;AC149,C148="Nee")),"Ja","")</f>
        <v/>
      </c>
      <c r="D149" s="1">
        <f t="shared" si="9"/>
        <v>0</v>
      </c>
      <c r="E149" s="1">
        <f>IF(H149=Data!$B$4,ABS(E148)+1,-ABS(E148))</f>
        <v>-8</v>
      </c>
      <c r="F149" s="1">
        <f t="shared" si="7"/>
        <v>-8</v>
      </c>
      <c r="G149" s="1">
        <f t="shared" si="8"/>
        <v>146</v>
      </c>
    </row>
    <row r="150" spans="2:8" x14ac:dyDescent="0.15">
      <c r="B150" s="1">
        <f>IF(ISNONTEXT(VLOOKUP(H150,H$4:H149,1,FALSE)),ABS(B149)+1,-ABS(B149))</f>
        <v>93</v>
      </c>
      <c r="C150" s="1" t="str">
        <f>IF(AND(OR(Data!$B$4="Overig",ISNUMBER(FIND("Emissie",'KE-berekening'!$C$13))),I150&lt;&gt;"",OR(T149&lt;&gt;T150,U149&lt;&gt;U150,V149&lt;&gt;V150,W149&lt;&gt;W150,X149&lt;&gt;X150,Y149&lt;&gt;Y150,Z149&lt;&gt;Z150,AA149&lt;&gt;AA150,AB149&lt;&gt;AB150,AC149&lt;&gt;AC150,C149="Nee")),"Ja","")</f>
        <v/>
      </c>
      <c r="D150" s="1">
        <f t="shared" si="9"/>
        <v>0</v>
      </c>
      <c r="E150" s="1">
        <f>IF(H150=Data!$B$4,ABS(E149)+1,-ABS(E149))</f>
        <v>-8</v>
      </c>
      <c r="F150" s="1">
        <f t="shared" si="7"/>
        <v>-8</v>
      </c>
      <c r="G150" s="1">
        <f t="shared" si="8"/>
        <v>147</v>
      </c>
    </row>
    <row r="151" spans="2:8" x14ac:dyDescent="0.15">
      <c r="B151" s="1">
        <f>IF(ISNONTEXT(VLOOKUP(H151,H$4:H150,1,FALSE)),ABS(B150)+1,-ABS(B150))</f>
        <v>94</v>
      </c>
      <c r="C151" s="1" t="str">
        <f>IF(AND(OR(Data!$B$4="Overig",ISNUMBER(FIND("Emissie",'KE-berekening'!$C$13))),I151&lt;&gt;"",OR(T150&lt;&gt;T151,U150&lt;&gt;U151,V150&lt;&gt;V151,W150&lt;&gt;W151,X150&lt;&gt;X151,Y150&lt;&gt;Y151,Z150&lt;&gt;Z151,AA150&lt;&gt;AA151,AB150&lt;&gt;AB151,AC150&lt;&gt;AC151,C150="Nee")),"Ja","")</f>
        <v/>
      </c>
      <c r="D151" s="1">
        <f t="shared" si="9"/>
        <v>0</v>
      </c>
      <c r="E151" s="1">
        <f>IF(H151=Data!$B$4,ABS(E150)+1,-ABS(E150))</f>
        <v>-8</v>
      </c>
      <c r="F151" s="1">
        <f t="shared" si="7"/>
        <v>-8</v>
      </c>
      <c r="G151" s="1">
        <f t="shared" si="8"/>
        <v>148</v>
      </c>
    </row>
    <row r="152" spans="2:8" x14ac:dyDescent="0.15">
      <c r="B152" s="1">
        <f>IF(ISNONTEXT(VLOOKUP(H152,H$4:H151,1,FALSE)),ABS(B151)+1,-ABS(B151))</f>
        <v>95</v>
      </c>
      <c r="C152" s="1" t="str">
        <f>IF(AND(OR(Data!$B$4="Overig",ISNUMBER(FIND("Emissie",'KE-berekening'!$C$13))),I152&lt;&gt;"",OR(T151&lt;&gt;T152,U151&lt;&gt;U152,V151&lt;&gt;V152,W151&lt;&gt;W152,X151&lt;&gt;X152,Y151&lt;&gt;Y152,Z151&lt;&gt;Z152,AA151&lt;&gt;AA152,AB151&lt;&gt;AB152,AC151&lt;&gt;AC152,C151="Nee")),"Ja","")</f>
        <v/>
      </c>
      <c r="D152" s="1">
        <f t="shared" si="9"/>
        <v>0</v>
      </c>
      <c r="E152" s="1">
        <f>IF(H152=Data!$B$4,ABS(E151)+1,-ABS(E151))</f>
        <v>-8</v>
      </c>
      <c r="F152" s="1">
        <f t="shared" si="7"/>
        <v>-8</v>
      </c>
      <c r="G152" s="1">
        <f t="shared" si="8"/>
        <v>149</v>
      </c>
    </row>
    <row r="153" spans="2:8" x14ac:dyDescent="0.15">
      <c r="B153" s="1">
        <f>IF(ISNONTEXT(VLOOKUP(H153,H$4:H152,1,FALSE)),ABS(B152)+1,-ABS(B152))</f>
        <v>96</v>
      </c>
      <c r="C153" s="1" t="str">
        <f>IF(AND(OR(Data!$B$4="Overig",ISNUMBER(FIND("Emissie",'KE-berekening'!$C$13))),I153&lt;&gt;"",OR(T152&lt;&gt;T153,U152&lt;&gt;U153,V152&lt;&gt;V153,W152&lt;&gt;W153,X152&lt;&gt;X153,Y152&lt;&gt;Y153,Z152&lt;&gt;Z153,AA152&lt;&gt;AA153,AB152&lt;&gt;AB153,AC152&lt;&gt;AC153,C152="Nee")),"Ja","")</f>
        <v/>
      </c>
      <c r="D153" s="1">
        <f t="shared" si="9"/>
        <v>0</v>
      </c>
      <c r="E153" s="1">
        <f>IF(H153=Data!$B$4,ABS(E152)+1,-ABS(E152))</f>
        <v>-8</v>
      </c>
      <c r="F153" s="1">
        <f t="shared" si="7"/>
        <v>-8</v>
      </c>
      <c r="G153" s="1">
        <f t="shared" si="8"/>
        <v>150</v>
      </c>
      <c r="H153" s="17">
        <f t="shared" ref="H153" si="10">H152</f>
        <v>0</v>
      </c>
    </row>
  </sheetData>
  <sortState ref="H4:X83">
    <sortCondition ref="I4:I83"/>
  </sortState>
  <mergeCells count="11">
    <mergeCell ref="AD1:AE1"/>
    <mergeCell ref="C1:D1"/>
    <mergeCell ref="T1:U1"/>
    <mergeCell ref="AB1:AC1"/>
    <mergeCell ref="M1:N1"/>
    <mergeCell ref="X1:Y1"/>
    <mergeCell ref="V1:W1"/>
    <mergeCell ref="Q1:S1"/>
    <mergeCell ref="Z1:AA1"/>
    <mergeCell ref="K1:L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6" sqref="A26"/>
    </sheetView>
  </sheetViews>
  <sheetFormatPr defaultRowHeight="11.25" x14ac:dyDescent="0.15"/>
  <cols>
    <col min="1" max="1" width="16.75" bestFit="1" customWidth="1"/>
  </cols>
  <sheetData>
    <row r="1" spans="1:2" ht="15" x14ac:dyDescent="0.25">
      <c r="A1" t="str">
        <f>MID(B1,99,LEN(B1)-99)</f>
        <v>adsorptiefilter</v>
      </c>
      <c r="B1" s="49" t="s">
        <v>112</v>
      </c>
    </row>
    <row r="2" spans="1:2" ht="15" x14ac:dyDescent="0.25">
      <c r="A2" t="str">
        <f t="shared" ref="A2:A16" si="0">MID(B2,99,LEN(B2)-99)</f>
        <v>bezinkkamer</v>
      </c>
      <c r="B2" s="49" t="s">
        <v>113</v>
      </c>
    </row>
    <row r="3" spans="1:2" ht="15" x14ac:dyDescent="0.25">
      <c r="A3" t="str">
        <f t="shared" si="0"/>
        <v>biofilter</v>
      </c>
      <c r="B3" s="49" t="s">
        <v>114</v>
      </c>
    </row>
    <row r="4" spans="1:2" ht="15" x14ac:dyDescent="0.25">
      <c r="A4" t="str">
        <f t="shared" si="0"/>
        <v>biologische-wasser</v>
      </c>
      <c r="B4" s="49" t="s">
        <v>115</v>
      </c>
    </row>
    <row r="5" spans="1:2" ht="15" x14ac:dyDescent="0.25">
      <c r="A5" t="str">
        <f t="shared" si="0"/>
        <v>biotricklingfilter</v>
      </c>
      <c r="B5" s="49" t="s">
        <v>116</v>
      </c>
    </row>
    <row r="6" spans="1:2" ht="15" x14ac:dyDescent="0.25">
      <c r="A6" t="str">
        <f t="shared" si="0"/>
        <v>condensor</v>
      </c>
      <c r="B6" s="49" t="s">
        <v>117</v>
      </c>
    </row>
    <row r="7" spans="1:2" ht="15" x14ac:dyDescent="0.25">
      <c r="A7" t="str">
        <f t="shared" si="0"/>
        <v>cycloon</v>
      </c>
      <c r="B7" s="49" t="s">
        <v>118</v>
      </c>
    </row>
    <row r="8" spans="1:2" ht="15" x14ac:dyDescent="0.25">
      <c r="A8" t="str">
        <f t="shared" si="0"/>
        <v>elektrostatisch-filter</v>
      </c>
      <c r="B8" s="49" t="s">
        <v>119</v>
      </c>
    </row>
    <row r="9" spans="1:2" ht="15" x14ac:dyDescent="0.25">
      <c r="A9" t="s">
        <v>150</v>
      </c>
      <c r="B9" s="49" t="s">
        <v>120</v>
      </c>
    </row>
    <row r="10" spans="1:2" ht="15" x14ac:dyDescent="0.25">
      <c r="A10" t="str">
        <f t="shared" si="0"/>
        <v>gaswasser</v>
      </c>
      <c r="B10" s="49" t="s">
        <v>121</v>
      </c>
    </row>
    <row r="11" spans="1:2" ht="15" x14ac:dyDescent="0.25">
      <c r="A11" t="str">
        <f t="shared" si="0"/>
        <v>ionisator</v>
      </c>
      <c r="B11" s="49" t="s">
        <v>122</v>
      </c>
    </row>
    <row r="12" spans="1:2" ht="15" x14ac:dyDescent="0.25">
      <c r="A12" t="str">
        <f t="shared" si="0"/>
        <v>mistfilter</v>
      </c>
      <c r="B12" s="49" t="s">
        <v>123</v>
      </c>
    </row>
    <row r="13" spans="1:2" ht="15" x14ac:dyDescent="0.25">
      <c r="A13" t="str">
        <f t="shared" si="0"/>
        <v>naverbrander</v>
      </c>
      <c r="B13" s="49" t="s">
        <v>124</v>
      </c>
    </row>
    <row r="14" spans="1:2" ht="15" x14ac:dyDescent="0.25">
      <c r="A14" t="str">
        <f t="shared" si="0"/>
        <v>scr-sncr</v>
      </c>
      <c r="B14" s="49" t="s">
        <v>125</v>
      </c>
    </row>
    <row r="15" spans="1:2" ht="15" x14ac:dyDescent="0.25">
      <c r="A15" t="str">
        <f t="shared" si="0"/>
        <v>stoffilter</v>
      </c>
      <c r="B15" s="49" t="s">
        <v>126</v>
      </c>
    </row>
    <row r="16" spans="1:2" ht="15" x14ac:dyDescent="0.25">
      <c r="A16" t="str">
        <f t="shared" si="0"/>
        <v>stofwasser</v>
      </c>
      <c r="B16" s="49" t="s">
        <v>127</v>
      </c>
    </row>
    <row r="19" spans="2:2" ht="15" x14ac:dyDescent="0.25">
      <c r="B19" s="49" t="s">
        <v>128</v>
      </c>
    </row>
    <row r="25" spans="2:2" x14ac:dyDescent="0.15">
      <c r="B25" t="s">
        <v>120</v>
      </c>
    </row>
    <row r="27" spans="2:2" x14ac:dyDescent="0.15">
      <c r="B27" t="s">
        <v>120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" r:id="rId14"/>
    <hyperlink ref="B2" r:id="rId15"/>
    <hyperlink ref="B3" r:id="rId16"/>
    <hyperlink ref="B19" r:id="rId1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8"/>
  <sheetViews>
    <sheetView tabSelected="1" zoomScale="96" zoomScaleNormal="96" workbookViewId="0">
      <selection activeCell="E3" sqref="E3"/>
    </sheetView>
  </sheetViews>
  <sheetFormatPr defaultColWidth="0" defaultRowHeight="11.25" zeroHeight="1" x14ac:dyDescent="0.15"/>
  <cols>
    <col min="1" max="1" width="0.75" customWidth="1"/>
    <col min="2" max="2" width="22" bestFit="1" customWidth="1"/>
    <col min="3" max="3" width="46.25" bestFit="1" customWidth="1"/>
    <col min="4" max="4" width="5.625" customWidth="1"/>
    <col min="5" max="5" width="17" customWidth="1"/>
    <col min="6" max="6" width="15.625" customWidth="1"/>
    <col min="7" max="7" width="23.25" bestFit="1" customWidth="1"/>
    <col min="8" max="8" width="61.375" style="130" customWidth="1"/>
    <col min="9" max="9" width="0.75" customWidth="1"/>
    <col min="10" max="16384" width="9" hidden="1"/>
  </cols>
  <sheetData>
    <row r="1" spans="1:10" ht="4.5" customHeight="1" thickBot="1" x14ac:dyDescent="0.2">
      <c r="A1" s="24"/>
      <c r="B1" s="24"/>
      <c r="C1" s="24"/>
      <c r="D1" s="24"/>
      <c r="E1" s="24"/>
      <c r="F1" s="24"/>
      <c r="G1" s="24"/>
      <c r="H1" s="129"/>
      <c r="I1" s="24"/>
    </row>
    <row r="2" spans="1:10" ht="63.75" customHeight="1" x14ac:dyDescent="0.15">
      <c r="A2" s="24"/>
      <c r="B2" s="133" t="s">
        <v>191</v>
      </c>
      <c r="C2" s="170" t="s">
        <v>192</v>
      </c>
      <c r="D2" s="171"/>
      <c r="E2" s="171"/>
      <c r="F2" s="171"/>
      <c r="G2" s="134" t="str">
        <f>HYPERLINK(Links!B19,CONCATENATE("Ga naar de",CHAR(10),"factsheets"))</f>
        <v>Ga naar de
factsheets</v>
      </c>
      <c r="H2" s="146" t="s">
        <v>172</v>
      </c>
      <c r="I2" s="24"/>
    </row>
    <row r="3" spans="1:10" ht="15" customHeight="1" x14ac:dyDescent="0.15">
      <c r="A3" s="24"/>
      <c r="B3" s="37" t="s">
        <v>64</v>
      </c>
      <c r="C3" s="9" t="s">
        <v>56</v>
      </c>
      <c r="D3" s="110"/>
      <c r="E3" s="7"/>
      <c r="F3" s="9" t="s">
        <v>57</v>
      </c>
      <c r="G3" s="9"/>
      <c r="H3" s="141"/>
      <c r="I3" s="24"/>
    </row>
    <row r="4" spans="1:10" ht="15" customHeight="1" x14ac:dyDescent="0.15">
      <c r="A4" s="24"/>
      <c r="B4" s="38"/>
      <c r="C4" s="10" t="s">
        <v>58</v>
      </c>
      <c r="D4" s="111"/>
      <c r="E4" s="8"/>
      <c r="F4" s="10" t="s">
        <v>59</v>
      </c>
      <c r="G4" s="10"/>
      <c r="H4" s="153"/>
      <c r="I4" s="24"/>
    </row>
    <row r="5" spans="1:10" ht="15.75" customHeight="1" x14ac:dyDescent="0.15">
      <c r="A5" s="24"/>
      <c r="B5" s="37" t="s">
        <v>61</v>
      </c>
      <c r="C5" s="9" t="s">
        <v>1</v>
      </c>
      <c r="D5" s="110"/>
      <c r="E5" s="6"/>
      <c r="F5" s="9"/>
      <c r="G5" s="104"/>
      <c r="H5" s="172" t="s">
        <v>179</v>
      </c>
      <c r="I5" s="24"/>
    </row>
    <row r="6" spans="1:10" ht="15.75" customHeight="1" x14ac:dyDescent="0.15">
      <c r="A6" s="24"/>
      <c r="B6" s="37"/>
      <c r="C6" s="9" t="str">
        <f>IF(Data!B4=Data!B31,"Specificatie &lt;andere stof(fen)&gt;","")</f>
        <v/>
      </c>
      <c r="D6" s="110"/>
      <c r="E6" s="147" t="s">
        <v>178</v>
      </c>
      <c r="F6" s="9"/>
      <c r="G6" s="74"/>
      <c r="H6" s="173"/>
      <c r="I6" s="24"/>
    </row>
    <row r="7" spans="1:10" ht="15" customHeight="1" x14ac:dyDescent="0.15">
      <c r="A7" s="24"/>
      <c r="B7" s="37"/>
      <c r="C7" s="9" t="s">
        <v>173</v>
      </c>
      <c r="D7" s="110"/>
      <c r="E7" s="7"/>
      <c r="F7" s="9" t="str">
        <f>Factsheets!S3</f>
        <v>mg/Nm3</v>
      </c>
      <c r="G7" s="45"/>
      <c r="H7" s="151"/>
      <c r="I7" s="24"/>
    </row>
    <row r="8" spans="1:10" ht="15" customHeight="1" x14ac:dyDescent="0.15">
      <c r="A8" s="24"/>
      <c r="B8" s="37"/>
      <c r="C8" s="9" t="s">
        <v>65</v>
      </c>
      <c r="D8" s="110"/>
      <c r="E8" s="47">
        <f>$E$3*$E$4*E7/1000000/IF(ISNUMBER(FIND("ug",F7)),1000,IF(ISNUMBER(FIND("ng",F7)),1000000,IF(ISNUMBER(FIND("mg",F7)),1,1/1000000)))</f>
        <v>0</v>
      </c>
      <c r="F8" s="9" t="str">
        <f>IF(ISNUMBER(FIND("g",F7)),"kg/jaar","OUe/jaar")</f>
        <v>kg/jaar</v>
      </c>
      <c r="G8" s="45"/>
      <c r="H8" s="164"/>
      <c r="I8" s="24"/>
    </row>
    <row r="9" spans="1:10" ht="15" customHeight="1" x14ac:dyDescent="0.15">
      <c r="A9" s="24"/>
      <c r="B9" s="37"/>
      <c r="C9" s="9" t="s">
        <v>174</v>
      </c>
      <c r="D9" s="110"/>
      <c r="E9" s="7"/>
      <c r="F9" s="9" t="str">
        <f>F7</f>
        <v>mg/Nm3</v>
      </c>
      <c r="G9" s="45"/>
      <c r="H9" s="158" t="s">
        <v>181</v>
      </c>
      <c r="I9" s="24"/>
    </row>
    <row r="10" spans="1:10" ht="15" customHeight="1" x14ac:dyDescent="0.25">
      <c r="A10" s="24"/>
      <c r="B10" s="37"/>
      <c r="C10" s="9" t="s">
        <v>72</v>
      </c>
      <c r="D10" s="110"/>
      <c r="E10" s="47">
        <f>$E$3*$E$4*E9/1000000/IF(ISNUMBER(FIND("ug",F9)),1000,IF(ISNUMBER(FIND("ng",F9)),1000000,IF(ISNUMBER(FIND("mg",F9)),1,1/1000000)))</f>
        <v>0</v>
      </c>
      <c r="F10" s="9" t="str">
        <f>F8</f>
        <v>kg/jaar</v>
      </c>
      <c r="G10" s="45"/>
      <c r="H10" s="159" t="str">
        <f>HYPERLINK("https://iplo.nl/calcomemis","• Gebruik voor omrekening naar de actuele O2-concentratie Calcomemis")</f>
        <v>• Gebruik voor omrekening naar de actuele O2-concentratie Calcomemis</v>
      </c>
      <c r="I10" s="24"/>
    </row>
    <row r="11" spans="1:10" ht="15" customHeight="1" x14ac:dyDescent="0.15">
      <c r="A11" s="24"/>
      <c r="B11" s="37"/>
      <c r="C11" s="9" t="s">
        <v>74</v>
      </c>
      <c r="D11" s="110"/>
      <c r="E11" s="46" t="str">
        <f>IF(E7=0,"",(E7-E9)/E7)</f>
        <v/>
      </c>
      <c r="F11" s="9"/>
      <c r="G11" s="9"/>
      <c r="H11" s="142"/>
      <c r="I11" s="24"/>
    </row>
    <row r="12" spans="1:10" ht="15" customHeight="1" x14ac:dyDescent="0.15">
      <c r="A12" s="24"/>
      <c r="B12" s="37"/>
      <c r="C12" s="9" t="s">
        <v>62</v>
      </c>
      <c r="D12" s="110"/>
      <c r="E12" s="48">
        <f>E8-E10</f>
        <v>0</v>
      </c>
      <c r="F12" s="9" t="str">
        <f>F8</f>
        <v>kg/jaar</v>
      </c>
      <c r="G12" s="9"/>
      <c r="H12" s="141"/>
      <c r="I12" s="24"/>
    </row>
    <row r="13" spans="1:10" ht="15" customHeight="1" x14ac:dyDescent="0.15">
      <c r="A13" s="24"/>
      <c r="B13" s="38"/>
      <c r="C13" s="8" t="s">
        <v>180</v>
      </c>
      <c r="D13" s="111"/>
      <c r="E13" s="10"/>
      <c r="F13" s="10"/>
      <c r="G13" s="10"/>
      <c r="H13" s="138" t="str">
        <f>HYPERLINK(Factsheets!AI3,CONCATENATE("Ga naar factsheet (",Factsheets!AH3,")"))</f>
        <v>Ga naar factsheet (cycloon)</v>
      </c>
      <c r="I13" s="132"/>
      <c r="J13" s="131"/>
    </row>
    <row r="14" spans="1:10" ht="15" customHeight="1" x14ac:dyDescent="0.15">
      <c r="A14" s="24"/>
      <c r="B14" s="39"/>
      <c r="C14" s="20"/>
      <c r="D14" s="113"/>
      <c r="E14" s="21" t="s">
        <v>3</v>
      </c>
      <c r="F14" s="21" t="s">
        <v>4</v>
      </c>
      <c r="G14" s="20"/>
      <c r="H14" s="160"/>
      <c r="I14" s="24"/>
    </row>
    <row r="15" spans="1:10" ht="15" customHeight="1" x14ac:dyDescent="0.15">
      <c r="A15" s="24"/>
      <c r="B15" s="37" t="s">
        <v>153</v>
      </c>
      <c r="C15" s="18" t="str">
        <f>IF(E7="","","Inlaatconcentratie")</f>
        <v/>
      </c>
      <c r="D15" s="148">
        <f>IF(E7&lt;ABS(Factsheets!O3),0,IF(OR(E7&lt;ABS(Factsheets!P3),Factsheets!P3=0),1,0))</f>
        <v>0</v>
      </c>
      <c r="E15" s="59" t="str">
        <f>IF(OR(E7="",Factsheets!O3=0),"",CONCATENATE(IF(Factsheets!O3&lt;0,"&gt;",""),ABS(Factsheets!O3)))</f>
        <v/>
      </c>
      <c r="F15" s="59" t="str">
        <f>IF(OR(E7="",Factsheets!P3=0),"",CONCATENATE(IF(Factsheets!P3&lt;0,"&lt;",""),ABS(Factsheets!P3)))</f>
        <v/>
      </c>
      <c r="G15" s="18" t="str">
        <f>IF(OR(Factsheets!S3="",Factsheets!S3=0,AND(E15="",F15="")),"",Factsheets!S3)</f>
        <v/>
      </c>
      <c r="H15" s="137"/>
      <c r="I15" s="24"/>
    </row>
    <row r="16" spans="1:10" ht="15" customHeight="1" x14ac:dyDescent="0.15">
      <c r="A16" s="24"/>
      <c r="B16" s="37"/>
      <c r="C16" s="18" t="str">
        <f>IF(E3="","","Debiet")</f>
        <v/>
      </c>
      <c r="D16" s="148">
        <f>IF(E3&lt;ABS(Factsheets!K3),0,IF(OR(E3&lt;ABS(Factsheets!L3),Factsheets!L3=0),1,0))</f>
        <v>0</v>
      </c>
      <c r="E16" s="19" t="str">
        <f>IF(E3="","",IF(Factsheets!K3=0,"",CONCATENATE(IF(Factsheets!K3&lt;0,"&gt;",""),ABS(Factsheets!K3))))</f>
        <v/>
      </c>
      <c r="F16" s="19" t="str">
        <f>IF(E3="","",IF(Factsheets!L3=0,"",CONCATENATE(IF(Factsheets!L3&lt;0,"&lt;",""),ABS(Factsheets!L3))))</f>
        <v/>
      </c>
      <c r="G16" s="18" t="str">
        <f>IF(AND(E16="",F16=""),"","Nm3/uur")</f>
        <v/>
      </c>
      <c r="H16" s="141"/>
      <c r="I16" s="24"/>
    </row>
    <row r="17" spans="1:9" ht="15" customHeight="1" x14ac:dyDescent="0.15">
      <c r="A17" s="24"/>
      <c r="B17" s="37"/>
      <c r="C17" s="18" t="str">
        <f>IF(E11="","","Haalbaar verwijderingsrendement")</f>
        <v/>
      </c>
      <c r="D17" s="148">
        <f>IF(E11&lt;ABS(Factsheets!M3),0,IF(OR(E11&lt;ABS(Factsheets!N3),Factsheets!N3=0),1,0))</f>
        <v>0</v>
      </c>
      <c r="E17" s="60" t="str">
        <f>IF(OR(E11="",Factsheets!M3=0),"",CONCATENATE(IF(Factsheets!M3&lt;0,"&gt;",""),100*ABS(Factsheets!M3)))</f>
        <v/>
      </c>
      <c r="F17" s="60" t="str">
        <f>IF(OR(E11="",Factsheets!N3=0),"",CONCATENATE(IF(Factsheets!N3&lt;0,"&lt;",""),100*ABS(Factsheets!N3)))</f>
        <v/>
      </c>
      <c r="G17" s="18" t="str">
        <f>IF(OR(E11="",AND(E17="",F17="")),"","%")</f>
        <v/>
      </c>
      <c r="H17" s="141"/>
      <c r="I17" s="24"/>
    </row>
    <row r="18" spans="1:9" ht="15" customHeight="1" x14ac:dyDescent="0.15">
      <c r="A18" s="24"/>
      <c r="B18" s="38"/>
      <c r="C18" s="61" t="str">
        <f>IF(E9="","","Concentratie restemissie")</f>
        <v/>
      </c>
      <c r="D18" s="149">
        <f>IF(E9&lt;ABS(Factsheets!Q3),0,IF(OR(E9&lt;ABS(Factsheets!R3),Factsheets!R3=0),1,0))</f>
        <v>0</v>
      </c>
      <c r="E18" s="62" t="str">
        <f>IF(E9="","",IF(Factsheets!Q3=0,"",CONCATENATE(IF(Factsheets!Q3&lt;0,"&gt;",""),ABS(Factsheets!Q3))))</f>
        <v/>
      </c>
      <c r="F18" s="62" t="str">
        <f>IF(E9="","",IF(Factsheets!R3=0,"",CONCATENATE(IF(Factsheets!R3&lt;0,"&lt;",""),ABS(Factsheets!R3))))</f>
        <v/>
      </c>
      <c r="G18" s="61" t="str">
        <f>IF(OR(Factsheets!S3="",Factsheets!S3=0,AND(E18="",F18="")),"",Factsheets!S3)</f>
        <v/>
      </c>
      <c r="H18" s="139"/>
      <c r="I18" s="24"/>
    </row>
    <row r="19" spans="1:9" ht="15" customHeight="1" x14ac:dyDescent="0.15">
      <c r="A19" s="24"/>
      <c r="B19" s="39"/>
      <c r="C19" s="20"/>
      <c r="D19" s="113"/>
      <c r="E19" s="21" t="s">
        <v>3</v>
      </c>
      <c r="F19" s="21" t="s">
        <v>4</v>
      </c>
      <c r="G19" s="20"/>
      <c r="H19" s="160"/>
      <c r="I19" s="24"/>
    </row>
    <row r="20" spans="1:9" ht="15" customHeight="1" x14ac:dyDescent="0.15">
      <c r="A20" s="24"/>
      <c r="B20" s="37" t="s">
        <v>190</v>
      </c>
      <c r="C20" s="18" t="s">
        <v>79</v>
      </c>
      <c r="D20" s="114"/>
      <c r="E20" s="22">
        <f>Factsheets!T3</f>
        <v>500</v>
      </c>
      <c r="F20" s="22">
        <f>Factsheets!U3</f>
        <v>1500</v>
      </c>
      <c r="G20" s="18" t="str">
        <f>IF(E20=0,"","per 1000 Nm3/uur")</f>
        <v>per 1000 Nm3/uur</v>
      </c>
      <c r="H20" s="137"/>
      <c r="I20" s="24"/>
    </row>
    <row r="21" spans="1:9" ht="15" customHeight="1" x14ac:dyDescent="0.15">
      <c r="A21" s="24"/>
      <c r="B21" s="37"/>
      <c r="C21" s="18" t="s">
        <v>105</v>
      </c>
      <c r="D21" s="114"/>
      <c r="E21" s="23">
        <f>Factsheets!X3</f>
        <v>0</v>
      </c>
      <c r="F21" s="23">
        <f>Factsheets!Y3</f>
        <v>0</v>
      </c>
      <c r="G21" s="18" t="str">
        <f>IF(E21=0,"","per 1000 Nm3/uur per jaar")</f>
        <v/>
      </c>
      <c r="H21" s="137"/>
      <c r="I21" s="24"/>
    </row>
    <row r="22" spans="1:9" ht="15" customHeight="1" x14ac:dyDescent="0.15">
      <c r="A22" s="24"/>
      <c r="B22" s="37"/>
      <c r="C22" s="18" t="s">
        <v>106</v>
      </c>
      <c r="D22" s="114"/>
      <c r="E22" s="33">
        <f>Factsheets!Z3</f>
        <v>0</v>
      </c>
      <c r="F22" s="33">
        <f>Factsheets!AA3</f>
        <v>0</v>
      </c>
      <c r="G22" s="18" t="str">
        <f>IF(E22=0,"","per 1000 Nm3 per jaar")</f>
        <v/>
      </c>
      <c r="H22" s="137"/>
      <c r="I22" s="24"/>
    </row>
    <row r="23" spans="1:9" ht="15" customHeight="1" x14ac:dyDescent="0.15">
      <c r="A23" s="24"/>
      <c r="B23" s="37"/>
      <c r="C23" s="18" t="s">
        <v>80</v>
      </c>
      <c r="D23" s="114"/>
      <c r="E23" s="23">
        <f>Factsheets!AB3</f>
        <v>0</v>
      </c>
      <c r="F23" s="23">
        <f>Factsheets!AC3</f>
        <v>0</v>
      </c>
      <c r="G23" s="18" t="str">
        <f>IF(E23=0,"","per ton reductie per jaar")</f>
        <v/>
      </c>
      <c r="H23" s="137"/>
      <c r="I23" s="24"/>
    </row>
    <row r="24" spans="1:9" ht="15" customHeight="1" x14ac:dyDescent="0.15">
      <c r="A24" s="24"/>
      <c r="B24" s="37"/>
      <c r="C24" s="18" t="s">
        <v>182</v>
      </c>
      <c r="D24" s="114"/>
      <c r="E24" s="23">
        <f>Factsheets!V3</f>
        <v>0</v>
      </c>
      <c r="F24" s="23">
        <f>Factsheets!W3</f>
        <v>0</v>
      </c>
      <c r="G24" s="18" t="str">
        <f>IF(E24=0,"","per jaar")</f>
        <v/>
      </c>
      <c r="H24" s="137"/>
      <c r="I24" s="24"/>
    </row>
    <row r="25" spans="1:9" ht="30" customHeight="1" x14ac:dyDescent="0.15">
      <c r="A25" s="24"/>
      <c r="B25" s="38"/>
      <c r="C25" s="26" t="s">
        <v>183</v>
      </c>
      <c r="D25" s="112"/>
      <c r="E25" s="169" t="str">
        <f>IF(Factsheets!J3="","",Factsheets!J3)</f>
        <v/>
      </c>
      <c r="F25" s="169"/>
      <c r="G25" s="169"/>
      <c r="H25" s="140"/>
      <c r="I25" s="27"/>
    </row>
    <row r="26" spans="1:9" ht="15" customHeight="1" x14ac:dyDescent="0.15">
      <c r="A26" s="24"/>
      <c r="B26" s="39"/>
      <c r="C26" s="20"/>
      <c r="D26" s="113"/>
      <c r="E26" s="21" t="s">
        <v>3</v>
      </c>
      <c r="F26" s="21" t="s">
        <v>4</v>
      </c>
      <c r="G26" s="20"/>
      <c r="H26" s="160"/>
      <c r="I26" s="24"/>
    </row>
    <row r="27" spans="1:9" ht="15" customHeight="1" x14ac:dyDescent="0.15">
      <c r="A27" s="24"/>
      <c r="B27" s="37" t="s">
        <v>79</v>
      </c>
      <c r="C27" s="40" t="s">
        <v>78</v>
      </c>
      <c r="D27" s="115"/>
      <c r="E27" s="41">
        <f>IF(Factsheets!$T$3="","",E20*$E$3/1000)</f>
        <v>0</v>
      </c>
      <c r="F27" s="41">
        <f>IF(Factsheets!$T$3="","",F20*$E$3/1000)</f>
        <v>0</v>
      </c>
      <c r="G27" s="103"/>
      <c r="H27" s="141"/>
      <c r="I27" s="24"/>
    </row>
    <row r="28" spans="1:9" ht="15" customHeight="1" x14ac:dyDescent="0.15">
      <c r="A28" s="24"/>
      <c r="B28" s="37"/>
      <c r="C28" s="9" t="s">
        <v>83</v>
      </c>
      <c r="D28" s="116">
        <v>0.2</v>
      </c>
      <c r="E28" s="11">
        <f>IF(Factsheets!$T$3="","",E20*$E$3/1000*$D$28)</f>
        <v>0</v>
      </c>
      <c r="F28" s="11">
        <f>IF(Factsheets!$T$3="","",F20*$E$3/1000*$D$28)</f>
        <v>0</v>
      </c>
      <c r="G28" s="9"/>
      <c r="H28" s="135"/>
      <c r="I28" s="24"/>
    </row>
    <row r="29" spans="1:9" ht="15" customHeight="1" x14ac:dyDescent="0.15">
      <c r="A29" s="24"/>
      <c r="B29" s="37"/>
      <c r="C29" s="9" t="s">
        <v>82</v>
      </c>
      <c r="D29" s="117">
        <f>1-D28</f>
        <v>0.8</v>
      </c>
      <c r="E29" s="12">
        <f>IF(Factsheets!$T$3="","",E28/D28*D29)</f>
        <v>0</v>
      </c>
      <c r="F29" s="12">
        <f>IF(Factsheets!$T$3="","",F28/D28*D29)</f>
        <v>0</v>
      </c>
      <c r="G29" s="9"/>
      <c r="H29" s="135"/>
      <c r="I29" s="24"/>
    </row>
    <row r="30" spans="1:9" ht="15" customHeight="1" x14ac:dyDescent="0.15">
      <c r="A30" s="24"/>
      <c r="B30" s="37"/>
      <c r="C30" s="50" t="s">
        <v>63</v>
      </c>
      <c r="D30" s="118">
        <v>0.05</v>
      </c>
      <c r="E30" s="51"/>
      <c r="F30" s="51"/>
      <c r="G30" s="50"/>
      <c r="H30" s="135"/>
      <c r="I30" s="24"/>
    </row>
    <row r="31" spans="1:9" ht="15" customHeight="1" x14ac:dyDescent="0.15">
      <c r="A31" s="24"/>
      <c r="B31" s="37"/>
      <c r="C31" s="9" t="s">
        <v>68</v>
      </c>
      <c r="D31" s="119">
        <f>(1+ABS(CUMIPMT(D30,25,1,1,25,0)))/25</f>
        <v>7.0952457299229624E-2</v>
      </c>
      <c r="E31" s="12">
        <f>IF(Factsheets!$T$3="","",E28*$D31)</f>
        <v>0</v>
      </c>
      <c r="F31" s="12">
        <f>IF(Factsheets!$T$3="","",F28*$D31)</f>
        <v>0</v>
      </c>
      <c r="G31" s="9" t="s">
        <v>69</v>
      </c>
      <c r="H31" s="142"/>
      <c r="I31" s="24"/>
    </row>
    <row r="32" spans="1:9" ht="15" customHeight="1" x14ac:dyDescent="0.15">
      <c r="A32" s="24"/>
      <c r="B32" s="37"/>
      <c r="C32" s="9" t="s">
        <v>67</v>
      </c>
      <c r="D32" s="119">
        <f>(1+ABS(CUMIPMT(D30,10,1,1,10,0)))/10</f>
        <v>0.12950457496545667</v>
      </c>
      <c r="E32" s="12">
        <f>IF(Factsheets!$T$3="","",E29*$D32)</f>
        <v>0</v>
      </c>
      <c r="F32" s="12">
        <f>IF(Factsheets!$T$3="","",F29*$D32)</f>
        <v>0</v>
      </c>
      <c r="G32" s="9" t="s">
        <v>69</v>
      </c>
      <c r="H32" s="135"/>
      <c r="I32" s="24"/>
    </row>
    <row r="33" spans="1:9" ht="15" customHeight="1" x14ac:dyDescent="0.15">
      <c r="A33" s="24"/>
      <c r="B33" s="38"/>
      <c r="C33" s="30" t="s">
        <v>188</v>
      </c>
      <c r="D33" s="120"/>
      <c r="E33" s="31">
        <f>IF(Factsheets!$T$3="","",E32+E31)</f>
        <v>0</v>
      </c>
      <c r="F33" s="31">
        <f>IF(Factsheets!$T$3="","",F32+F31)</f>
        <v>0</v>
      </c>
      <c r="G33" s="30" t="s">
        <v>69</v>
      </c>
      <c r="H33" s="136"/>
      <c r="I33" s="24"/>
    </row>
    <row r="34" spans="1:9" ht="15" customHeight="1" x14ac:dyDescent="0.15">
      <c r="A34" s="24"/>
      <c r="B34" s="37" t="s">
        <v>81</v>
      </c>
      <c r="C34" s="9" t="str">
        <f>C21</f>
        <v>Uursdebiet afhankelijke operationele kosten</v>
      </c>
      <c r="D34" s="110"/>
      <c r="E34" s="12">
        <f>IF(Factsheets!$T$3="","",E21*$E$3/1000)</f>
        <v>0</v>
      </c>
      <c r="F34" s="12">
        <f>IF(Factsheets!$T$3="","",F21*$E$3/1000)</f>
        <v>0</v>
      </c>
      <c r="G34" s="9" t="str">
        <f>G24</f>
        <v/>
      </c>
      <c r="H34" s="135"/>
      <c r="I34" s="24"/>
    </row>
    <row r="35" spans="1:9" ht="15" customHeight="1" x14ac:dyDescent="0.15">
      <c r="A35" s="24"/>
      <c r="B35" s="37"/>
      <c r="C35" s="9" t="str">
        <f t="shared" ref="C35:C36" si="0">C22</f>
        <v>Jaardebiet afhankelijke operationele kosten</v>
      </c>
      <c r="D35" s="110"/>
      <c r="E35" s="12">
        <f>IF(Factsheets!$T$3="","",E22*$E$3/1000*$E$4)</f>
        <v>0</v>
      </c>
      <c r="F35" s="12">
        <f>IF(Factsheets!$T$3="","",F22*$E$3/1000*$E$4)</f>
        <v>0</v>
      </c>
      <c r="G35" s="9"/>
      <c r="H35" s="135"/>
      <c r="I35" s="24"/>
    </row>
    <row r="36" spans="1:9" ht="15" customHeight="1" x14ac:dyDescent="0.15">
      <c r="A36" s="24"/>
      <c r="B36" s="37"/>
      <c r="C36" s="9" t="str">
        <f t="shared" si="0"/>
        <v>Emissiereductie afhankelijke operationele kosten</v>
      </c>
      <c r="D36" s="110"/>
      <c r="E36" s="12">
        <f>IF(Factsheets!$T$3="","",E23*$E$12/1000)</f>
        <v>0</v>
      </c>
      <c r="F36" s="12">
        <f>IF(Factsheets!$T$3="","",F23*$E$12/1000)</f>
        <v>0</v>
      </c>
      <c r="G36" s="9" t="str">
        <f>G34</f>
        <v/>
      </c>
      <c r="H36" s="135"/>
      <c r="I36" s="24"/>
    </row>
    <row r="37" spans="1:9" ht="15" customHeight="1" x14ac:dyDescent="0.15">
      <c r="A37" s="24"/>
      <c r="B37" s="150"/>
      <c r="C37" s="9" t="s">
        <v>182</v>
      </c>
      <c r="D37" s="121"/>
      <c r="E37" s="25">
        <f>E24</f>
        <v>0</v>
      </c>
      <c r="F37" s="25">
        <f>F24</f>
        <v>0</v>
      </c>
      <c r="G37" s="24"/>
      <c r="H37" s="143"/>
      <c r="I37" s="24"/>
    </row>
    <row r="38" spans="1:9" ht="15" customHeight="1" x14ac:dyDescent="0.15">
      <c r="A38" s="24"/>
      <c r="B38" s="38"/>
      <c r="C38" s="30" t="s">
        <v>189</v>
      </c>
      <c r="D38" s="120"/>
      <c r="E38" s="31">
        <f>IF(Factsheets!$T$3="","",SUM(E34:E37))</f>
        <v>0</v>
      </c>
      <c r="F38" s="31">
        <f>IF(Factsheets!$T$3="","",SUM(F34:F37))</f>
        <v>0</v>
      </c>
      <c r="G38" s="30" t="s">
        <v>69</v>
      </c>
      <c r="H38" s="136"/>
      <c r="I38" s="24"/>
    </row>
    <row r="39" spans="1:9" ht="15" customHeight="1" x14ac:dyDescent="0.15">
      <c r="A39" s="24"/>
      <c r="B39" s="36" t="s">
        <v>66</v>
      </c>
      <c r="C39" s="34" t="s">
        <v>70</v>
      </c>
      <c r="D39" s="122"/>
      <c r="E39" s="35">
        <f>IF(Factsheets!$T$3="","",E38+E33)</f>
        <v>0</v>
      </c>
      <c r="F39" s="35">
        <f>IF(Factsheets!$T$3="","",F38+F33)</f>
        <v>0</v>
      </c>
      <c r="G39" s="34" t="s">
        <v>69</v>
      </c>
      <c r="H39" s="161"/>
      <c r="I39" s="24"/>
    </row>
    <row r="40" spans="1:9" ht="15" customHeight="1" thickBot="1" x14ac:dyDescent="0.2">
      <c r="A40" s="24"/>
      <c r="B40" s="174"/>
      <c r="C40" s="175" t="s">
        <v>71</v>
      </c>
      <c r="D40" s="176"/>
      <c r="E40" s="177" t="str">
        <f>IF(OR(Factsheets!$T$3="",E12=0),"",IF($F$7=$G$10,E39/(100*$E$11),E39/$E$12))</f>
        <v/>
      </c>
      <c r="F40" s="177" t="str">
        <f>IF(OR(Factsheets!$T$3="",E12=0),"",IF($F$7=$G$10,F39/(100*$E$11),F39/$E$12))</f>
        <v/>
      </c>
      <c r="G40" s="175" t="str">
        <f>IF(E12=0,"",IF($F$7=$G$10,"per % emissiereductie","per kg emissiereductie"))</f>
        <v/>
      </c>
      <c r="H40" s="178" t="str">
        <f>IF(OR(Data!E4=0,E12=0),"",CONCATENATE("Afwegingsgebied kosteneffectiviteit: ",Data!E4))</f>
        <v/>
      </c>
      <c r="I40" s="24"/>
    </row>
    <row r="41" spans="1:9" ht="15" hidden="1" customHeight="1" x14ac:dyDescent="0.15">
      <c r="A41" s="24"/>
      <c r="B41" s="105" t="s">
        <v>155</v>
      </c>
      <c r="C41" s="106" t="str">
        <f>CONCATENATE("Milieuprijs (CE midden) van ",IF(AND(C6&lt;&gt;"",E6&lt;&gt;""),E6,Data!B4))</f>
        <v>Milieuprijs (CE midden) van Droog stof</v>
      </c>
      <c r="D41" s="123"/>
      <c r="E41" s="108" t="str">
        <f>IF(Data!C4=0,"onbekend",Data!C4)</f>
        <v>onbekend</v>
      </c>
      <c r="F41" s="109" t="str">
        <f>IF(Data!C4=0,"","per kg")</f>
        <v/>
      </c>
      <c r="G41" s="107"/>
      <c r="H41" s="157" t="str">
        <f>HYPERLINK("https://ce.nl/method/milieuprijzen/","Ga naar het CE handboek milieuprijzen en de milieuprijzentool")</f>
        <v>Ga naar het CE handboek milieuprijzen en de milieuprijzentool</v>
      </c>
      <c r="I41" s="24"/>
    </row>
    <row r="42" spans="1:9" ht="15" hidden="1" customHeight="1" x14ac:dyDescent="0.15">
      <c r="A42" s="24"/>
      <c r="B42" s="90"/>
      <c r="C42" s="18" t="str">
        <f>IF(Data!C4&lt;&gt;0,"",CONCATENATE("Met ",IF(AND(C6&lt;&gt;"",E6&lt;&gt;""),E6,Data!B4)," vergelijkbare stof"))</f>
        <v>Met Droog stof vergelijkbare stof</v>
      </c>
      <c r="D42" s="114"/>
      <c r="E42" s="86" t="s">
        <v>98</v>
      </c>
      <c r="F42" s="72"/>
      <c r="G42" s="70"/>
      <c r="H42" s="137"/>
      <c r="I42" s="24"/>
    </row>
    <row r="43" spans="1:9" ht="15" hidden="1" customHeight="1" x14ac:dyDescent="0.15">
      <c r="A43" s="24"/>
      <c r="B43" s="90"/>
      <c r="C43" s="18" t="str">
        <f>IF(Data!C4&lt;&gt;0,"",CONCATENATE("Milieuprijs (CE midden)",IF(E42="","",CONCATENATE(" van ",E42))))</f>
        <v>Milieuprijs (CE midden) van PM10</v>
      </c>
      <c r="D43" s="114"/>
      <c r="E43" s="86">
        <v>69.3</v>
      </c>
      <c r="F43" s="72" t="str">
        <f>IF(Data!C4&lt;&gt;0,"","per kg")</f>
        <v>per kg</v>
      </c>
      <c r="G43" s="70"/>
      <c r="H43" s="137"/>
      <c r="I43" s="24"/>
    </row>
    <row r="44" spans="1:9" ht="15" hidden="1" customHeight="1" x14ac:dyDescent="0.15">
      <c r="A44" s="24"/>
      <c r="B44" s="90"/>
      <c r="C44" s="76" t="s">
        <v>154</v>
      </c>
      <c r="D44" s="124"/>
      <c r="E44" s="78">
        <f>'KE-berekening'!E12*IF(Data!C4&lt;&gt;0,'KE-berekening'!E41,'KE-berekening'!E43)</f>
        <v>0</v>
      </c>
      <c r="F44" s="79" t="s">
        <v>69</v>
      </c>
      <c r="G44" s="77"/>
      <c r="H44" s="156" t="s">
        <v>176</v>
      </c>
      <c r="I44" s="24"/>
    </row>
    <row r="45" spans="1:9" ht="15" hidden="1" customHeight="1" x14ac:dyDescent="0.15">
      <c r="A45" s="24"/>
      <c r="B45" s="90"/>
      <c r="C45" s="18" t="s">
        <v>168</v>
      </c>
      <c r="D45" s="114"/>
      <c r="E45" s="85"/>
      <c r="F45" s="72" t="str">
        <f>IF(E45="","",CONCATENATE("(neem ",E45," ook mee in KE-beoordeling)"))</f>
        <v/>
      </c>
      <c r="G45" s="70"/>
      <c r="H45" s="155" t="s">
        <v>171</v>
      </c>
      <c r="I45" s="24"/>
    </row>
    <row r="46" spans="1:9" ht="15" hidden="1" customHeight="1" x14ac:dyDescent="0.15">
      <c r="A46" s="24"/>
      <c r="B46" s="90"/>
      <c r="C46" s="18" t="str">
        <f>IF(E45="","","Ongereinigde concentratie")</f>
        <v/>
      </c>
      <c r="D46" s="114"/>
      <c r="E46" s="87">
        <v>0.5</v>
      </c>
      <c r="F46" s="72" t="str">
        <f>IF(C46="","","mg/Nm3")</f>
        <v/>
      </c>
      <c r="G46" s="70"/>
      <c r="H46" s="154"/>
      <c r="I46" s="24"/>
    </row>
    <row r="47" spans="1:9" ht="15" hidden="1" customHeight="1" x14ac:dyDescent="0.15">
      <c r="A47" s="24"/>
      <c r="B47" s="90"/>
      <c r="C47" s="18" t="str">
        <f>IF(E45="","","Gereinigde concentratie")</f>
        <v/>
      </c>
      <c r="D47" s="114"/>
      <c r="E47" s="87">
        <v>0.02</v>
      </c>
      <c r="F47" s="72" t="str">
        <f>IF(C47="","","mg/Nm3")</f>
        <v/>
      </c>
      <c r="G47" s="70"/>
      <c r="H47" s="137"/>
      <c r="I47" s="24"/>
    </row>
    <row r="48" spans="1:9" ht="15" hidden="1" customHeight="1" x14ac:dyDescent="0.15">
      <c r="A48" s="24"/>
      <c r="B48" s="90"/>
      <c r="C48" s="18" t="str">
        <f>IF(E45="","",CONCATENATE("Milieukosten (CE midden) van ",E45))</f>
        <v/>
      </c>
      <c r="D48" s="114"/>
      <c r="E48" s="73">
        <v>15325</v>
      </c>
      <c r="F48" s="72" t="str">
        <f>IF(E45="","","per kg")</f>
        <v/>
      </c>
      <c r="G48" s="70"/>
      <c r="H48" s="154"/>
      <c r="I48" s="24"/>
    </row>
    <row r="49" spans="1:9" ht="15" hidden="1" customHeight="1" x14ac:dyDescent="0.15">
      <c r="A49" s="24"/>
      <c r="B49" s="91"/>
      <c r="C49" s="61" t="str">
        <f>IF(E45="","","Milieuwinst")</f>
        <v/>
      </c>
      <c r="D49" s="125"/>
      <c r="E49" s="81" t="str">
        <f>IF(AND(E45&lt;&gt;"",ISNUMBER(E48)),E3*E4*(E46-E47)/1000000*E48,"")</f>
        <v/>
      </c>
      <c r="F49" s="82" t="str">
        <f>IF(E49="","","per jaar")</f>
        <v/>
      </c>
      <c r="G49" s="80"/>
      <c r="H49" s="139"/>
      <c r="I49" s="24"/>
    </row>
    <row r="50" spans="1:9" ht="15" hidden="1" customHeight="1" x14ac:dyDescent="0.15">
      <c r="A50" s="24"/>
      <c r="B50" s="92" t="s">
        <v>160</v>
      </c>
      <c r="C50" s="18" t="str">
        <f>IF(AND(Factsheets!AD3=0,Factsheets!AE3=0),"","Elektriciteitsverbruik")</f>
        <v>Elektriciteitsverbruik</v>
      </c>
      <c r="D50" s="126"/>
      <c r="E50" s="84"/>
      <c r="F50" s="18" t="str">
        <f>IF(C50="","",CONCATENATE("kWh/1000 Nm3 (factsheet: ",Factsheets!AD3,"-",Factsheets!AE3,")"))</f>
        <v>kWh/1000 Nm3 (factsheet: 0,25-1,5)</v>
      </c>
      <c r="G50" s="18"/>
      <c r="H50" s="155" t="s">
        <v>175</v>
      </c>
      <c r="I50" s="24"/>
    </row>
    <row r="51" spans="1:9" ht="15" hidden="1" customHeight="1" x14ac:dyDescent="0.15">
      <c r="A51" s="24"/>
      <c r="B51" s="92"/>
      <c r="C51" s="18"/>
      <c r="D51" s="126"/>
      <c r="E51" s="74">
        <f>IF(C50="","",E50*E4*E3/1000)</f>
        <v>0</v>
      </c>
      <c r="F51" s="72" t="str">
        <f>IF(E51="","","kWh/jaar")</f>
        <v>kWh/jaar</v>
      </c>
      <c r="G51" s="18"/>
      <c r="H51" s="137"/>
      <c r="I51" s="24"/>
    </row>
    <row r="52" spans="1:9" ht="15" hidden="1" customHeight="1" x14ac:dyDescent="0.15">
      <c r="A52" s="24"/>
      <c r="B52" s="90"/>
      <c r="C52" s="18" t="str">
        <f>IF(C50="","","CO2-emissie obv actuele elektriciteitsmix (groen/grijs)")</f>
        <v>CO2-emissie obv actuele elektriciteitsmix (groen/grijs)</v>
      </c>
      <c r="D52" s="126"/>
      <c r="E52" s="74">
        <f>IF(C52="","",Data!H2)</f>
        <v>0.28999999999999998</v>
      </c>
      <c r="F52" s="72" t="str">
        <f>IF(E52="","",Data!I2)</f>
        <v>kg CO2/kWh (= €0,038/kWh)</v>
      </c>
      <c r="G52" s="18"/>
      <c r="H52" s="155" t="str">
        <f>IF(C52="","","• CO2-kosten obv de milieuprijs (CE midden) van €0,13/kg CO2")</f>
        <v>• CO2-kosten obv de milieuprijs (CE midden) van €0,13/kg CO2</v>
      </c>
      <c r="I52" s="24"/>
    </row>
    <row r="53" spans="1:9" ht="15" hidden="1" customHeight="1" x14ac:dyDescent="0.15">
      <c r="A53" s="24"/>
      <c r="B53" s="90"/>
      <c r="C53" s="18" t="str">
        <f>IF(C50="","","NOx-emissie obv actuele elektriciteitsmix (groen/grijs)")</f>
        <v>NOx-emissie obv actuele elektriciteitsmix (groen/grijs)</v>
      </c>
      <c r="D53" s="126"/>
      <c r="E53" s="74">
        <f>IF(C53="","",Data!H3)</f>
        <v>8.2600000000000007E-2</v>
      </c>
      <c r="F53" s="74" t="str">
        <f>IF(E53="","",Data!I3)</f>
        <v>g NOx/kWh (= €0,002/kWh)</v>
      </c>
      <c r="G53" s="18"/>
      <c r="H53" s="155" t="str">
        <f>IF(C53="","","• NOx-kosten obv de milieuprijs (CE midden) van €29,9/kg NOx")</f>
        <v>• NOx-kosten obv de milieuprijs (CE midden) van €29,9/kg NOx</v>
      </c>
      <c r="I53" s="24"/>
    </row>
    <row r="54" spans="1:9" ht="15" hidden="1" customHeight="1" x14ac:dyDescent="0.15">
      <c r="A54" s="24"/>
      <c r="B54" s="90"/>
      <c r="C54" s="76" t="s">
        <v>166</v>
      </c>
      <c r="D54" s="124"/>
      <c r="E54" s="83">
        <f>IF(C50="","nvt",E51*Data!H4)</f>
        <v>0</v>
      </c>
      <c r="F54" s="79" t="str">
        <f>IF(E54="nvt","","per jaar")</f>
        <v>per jaar</v>
      </c>
      <c r="G54" s="76"/>
      <c r="H54" s="137"/>
      <c r="I54" s="24"/>
    </row>
    <row r="55" spans="1:9" ht="15" hidden="1" customHeight="1" x14ac:dyDescent="0.15">
      <c r="A55" s="24"/>
      <c r="B55" s="90"/>
      <c r="C55" s="18" t="str">
        <f>IF(Factsheets!AF3="","",CONCATENATE("Concentratie van ",Factsheets!AF3," in gereinigd afgas"))</f>
        <v/>
      </c>
      <c r="D55" s="114"/>
      <c r="E55" s="84">
        <v>5</v>
      </c>
      <c r="F55" s="72" t="str">
        <f>IF(C55="","","mg/Nm3")</f>
        <v/>
      </c>
      <c r="G55" s="70"/>
      <c r="H55" s="152"/>
      <c r="I55" s="24"/>
    </row>
    <row r="56" spans="1:9" ht="15" hidden="1" customHeight="1" x14ac:dyDescent="0.15">
      <c r="A56" s="24"/>
      <c r="B56" s="90"/>
      <c r="C56" s="18" t="str">
        <f>IF(OR(C55="",E55=""),"",CONCATENATE(Factsheets!AF3,"-emissie"))</f>
        <v/>
      </c>
      <c r="D56" s="114"/>
      <c r="E56" s="74" t="str">
        <f>IF(C56="","",E55*E3*E4/1000000)</f>
        <v/>
      </c>
      <c r="F56" s="72" t="str">
        <f>IF(C56="","","kg/jaar")</f>
        <v/>
      </c>
      <c r="G56" s="70"/>
      <c r="H56" s="137"/>
      <c r="I56" s="24"/>
    </row>
    <row r="57" spans="1:9" ht="15" hidden="1" customHeight="1" x14ac:dyDescent="0.15">
      <c r="A57" s="24"/>
      <c r="B57" s="90"/>
      <c r="C57" s="18" t="str">
        <f>IF(E56="","",CONCATENATE("Milieuprijs (CE midden) van ",Factsheets!AF3))</f>
        <v/>
      </c>
      <c r="D57" s="114"/>
      <c r="E57" s="72" t="str">
        <f>IF(E56="","",VLOOKUP(Factsheets!AF3,Data!B5:C30,2,FALSE))</f>
        <v/>
      </c>
      <c r="F57" s="72" t="str">
        <f>IF(E57="","","per kg")</f>
        <v/>
      </c>
      <c r="G57" s="70"/>
      <c r="H57" s="137"/>
      <c r="I57" s="24"/>
    </row>
    <row r="58" spans="1:9" ht="15" hidden="1" customHeight="1" x14ac:dyDescent="0.15">
      <c r="A58" s="24"/>
      <c r="B58" s="90"/>
      <c r="C58" s="76" t="str">
        <f>IF(C55="","",CONCATENATE("Milieuschade door ",Factsheets!AF3,"-emissie"))</f>
        <v/>
      </c>
      <c r="D58" s="124"/>
      <c r="E58" s="78" t="str">
        <f>IF(OR(C55="",E55=""),"",E57*E56)</f>
        <v/>
      </c>
      <c r="F58" s="79" t="str">
        <f>IF(E58="","","per jaar")</f>
        <v/>
      </c>
      <c r="G58" s="77"/>
      <c r="H58" s="144"/>
      <c r="I58" s="24"/>
    </row>
    <row r="59" spans="1:9" ht="15" hidden="1" customHeight="1" x14ac:dyDescent="0.15">
      <c r="A59" s="24"/>
      <c r="B59" s="90"/>
      <c r="C59" s="18" t="str">
        <f>IF(Factsheets!AG3="ja","Extra CO2-emissie tgv inzet brandstof","")</f>
        <v/>
      </c>
      <c r="D59" s="114"/>
      <c r="E59" s="72"/>
      <c r="F59" s="72"/>
      <c r="G59" s="70"/>
      <c r="H59" s="137"/>
      <c r="I59" s="24"/>
    </row>
    <row r="60" spans="1:9" ht="15" hidden="1" customHeight="1" x14ac:dyDescent="0.15">
      <c r="A60" s="24"/>
      <c r="B60" s="90"/>
      <c r="C60" s="18" t="str">
        <f>IF(C59="","","Aardgasverbruik (o.b.v. Groningen kwaliteit)")</f>
        <v/>
      </c>
      <c r="D60" s="114"/>
      <c r="E60" s="88">
        <v>24000</v>
      </c>
      <c r="F60" s="72" t="str">
        <f>IF(C60="","","Nm3/jaar")</f>
        <v/>
      </c>
      <c r="G60" s="70"/>
      <c r="H60" s="141"/>
      <c r="I60" s="24"/>
    </row>
    <row r="61" spans="1:9" ht="15" hidden="1" customHeight="1" x14ac:dyDescent="0.15">
      <c r="A61" s="24"/>
      <c r="B61" s="90"/>
      <c r="C61" s="18" t="str">
        <f>IF(OR(ISNUMBER(E60),C59=""),"","Verschil gereinigde en ongereinigde CO2-concentratie")</f>
        <v/>
      </c>
      <c r="D61" s="114"/>
      <c r="E61" s="88"/>
      <c r="F61" s="72" t="str">
        <f>IF(C61="","","vol% CO2")</f>
        <v/>
      </c>
      <c r="G61" s="70"/>
      <c r="H61" s="137"/>
      <c r="I61" s="24"/>
    </row>
    <row r="62" spans="1:9" ht="15" hidden="1" customHeight="1" x14ac:dyDescent="0.15">
      <c r="A62" s="24"/>
      <c r="B62" s="90"/>
      <c r="C62" s="18" t="str">
        <f>IF(C59="","",IF(E62=0,"","CO2-emissie"))</f>
        <v/>
      </c>
      <c r="D62" s="114"/>
      <c r="E62" s="89" t="str">
        <f>IF(C59="","",IF(ISNUMBER(E60),E60*1.77,E61/100*E3*E4/22.4*44))</f>
        <v/>
      </c>
      <c r="F62" s="72" t="str">
        <f>IF(C62="","","kg/jaar")</f>
        <v/>
      </c>
      <c r="G62" s="70"/>
      <c r="H62" s="137"/>
      <c r="I62" s="24"/>
    </row>
    <row r="63" spans="1:9" ht="15" hidden="1" customHeight="1" x14ac:dyDescent="0.15">
      <c r="A63" s="24"/>
      <c r="B63" s="91"/>
      <c r="C63" s="61" t="str">
        <f>IF(C59="","",CONCATENATE("Milieuschade door CO2-emissie"))</f>
        <v/>
      </c>
      <c r="D63" s="125"/>
      <c r="E63" s="81" t="str">
        <f>IF(C59="","",IF(E62=0,"",E62*Data!C2))</f>
        <v/>
      </c>
      <c r="F63" s="82" t="str">
        <f>IF(E63="","","per jaar")</f>
        <v/>
      </c>
      <c r="G63" s="80"/>
      <c r="H63" s="139"/>
      <c r="I63" s="24"/>
    </row>
    <row r="64" spans="1:9" ht="15" hidden="1" customHeight="1" x14ac:dyDescent="0.15">
      <c r="A64" s="24"/>
      <c r="B64" s="93" t="s">
        <v>154</v>
      </c>
      <c r="C64" s="94" t="s">
        <v>154</v>
      </c>
      <c r="D64" s="127"/>
      <c r="E64" s="95">
        <f>IF(ISNUMBER(E44),E44,0)+IF(ISNUMBER(E49),E49,0)</f>
        <v>0</v>
      </c>
      <c r="F64" s="96" t="s">
        <v>69</v>
      </c>
      <c r="G64" s="94"/>
      <c r="H64" s="162"/>
      <c r="I64" s="24"/>
    </row>
    <row r="65" spans="1:9" ht="15" hidden="1" customHeight="1" x14ac:dyDescent="0.15">
      <c r="A65" s="24"/>
      <c r="B65" s="93"/>
      <c r="C65" s="94" t="s">
        <v>169</v>
      </c>
      <c r="D65" s="127"/>
      <c r="E65" s="101">
        <f>IF(ISNUMBER(E54),E54,0)+IF(ISNUMBER(E58),E58,0)+IF(ISNUMBER(E63),E63,0)</f>
        <v>0</v>
      </c>
      <c r="F65" s="102" t="s">
        <v>69</v>
      </c>
      <c r="G65" s="94"/>
      <c r="H65" s="162"/>
      <c r="I65" s="24"/>
    </row>
    <row r="66" spans="1:9" ht="15" hidden="1" customHeight="1" thickBot="1" x14ac:dyDescent="0.2">
      <c r="A66" s="24"/>
      <c r="B66" s="97"/>
      <c r="C66" s="98" t="s">
        <v>170</v>
      </c>
      <c r="D66" s="128"/>
      <c r="E66" s="99">
        <f>E64-E65</f>
        <v>0</v>
      </c>
      <c r="F66" s="100" t="s">
        <v>69</v>
      </c>
      <c r="G66" s="98"/>
      <c r="H66" s="163"/>
      <c r="I66" s="24"/>
    </row>
    <row r="67" spans="1:9" ht="4.5" customHeight="1" x14ac:dyDescent="0.15">
      <c r="A67" s="24"/>
      <c r="B67" s="18"/>
      <c r="C67" s="70"/>
      <c r="D67" s="70"/>
      <c r="E67" s="71"/>
      <c r="F67" s="71"/>
      <c r="G67" s="70"/>
      <c r="H67" s="18"/>
      <c r="I67" s="24"/>
    </row>
    <row r="68" spans="1:9" ht="15" hidden="1" customHeight="1" x14ac:dyDescent="0.15">
      <c r="A68" s="24"/>
      <c r="B68" s="18"/>
      <c r="C68" s="70"/>
      <c r="D68" s="70"/>
      <c r="E68" s="71"/>
      <c r="F68" s="71"/>
      <c r="G68" s="70"/>
      <c r="H68" s="18"/>
      <c r="I68" s="24"/>
    </row>
    <row r="69" spans="1:9" ht="15" hidden="1" customHeight="1" x14ac:dyDescent="0.15">
      <c r="A69" s="24"/>
      <c r="B69" s="18"/>
      <c r="C69" s="70"/>
      <c r="D69" s="70"/>
      <c r="E69" s="71"/>
      <c r="F69" s="71"/>
      <c r="G69" s="70"/>
      <c r="H69" s="18"/>
      <c r="I69" s="24"/>
    </row>
    <row r="70" spans="1:9" ht="15" hidden="1" customHeight="1" x14ac:dyDescent="0.15">
      <c r="A70" s="24"/>
      <c r="B70" s="18"/>
      <c r="C70" s="70"/>
      <c r="D70" s="70"/>
      <c r="E70" s="71"/>
      <c r="F70" s="71"/>
      <c r="G70" s="70"/>
      <c r="H70" s="18"/>
      <c r="I70" s="24"/>
    </row>
    <row r="71" spans="1:9" ht="15" hidden="1" customHeight="1" x14ac:dyDescent="0.15">
      <c r="A71" s="24"/>
      <c r="B71" s="18"/>
      <c r="C71" s="70"/>
      <c r="D71" s="70"/>
      <c r="E71" s="71"/>
      <c r="F71" s="71"/>
      <c r="G71" s="70"/>
      <c r="H71" s="18"/>
      <c r="I71" s="24"/>
    </row>
    <row r="72" spans="1:9" ht="15" hidden="1" customHeight="1" x14ac:dyDescent="0.15">
      <c r="A72" s="24"/>
      <c r="B72" s="18"/>
      <c r="C72" s="70"/>
      <c r="D72" s="70"/>
      <c r="E72" s="71"/>
      <c r="F72" s="71"/>
      <c r="G72" s="70"/>
      <c r="H72" s="18"/>
      <c r="I72" s="24"/>
    </row>
    <row r="73" spans="1:9" ht="15" hidden="1" customHeight="1" x14ac:dyDescent="0.15">
      <c r="A73" s="24"/>
      <c r="B73" s="18"/>
      <c r="C73" s="70"/>
      <c r="D73" s="70"/>
      <c r="E73" s="71"/>
      <c r="F73" s="71"/>
      <c r="G73" s="70"/>
      <c r="H73" s="18"/>
      <c r="I73" s="24"/>
    </row>
    <row r="74" spans="1:9" ht="15" hidden="1" customHeight="1" x14ac:dyDescent="0.15">
      <c r="A74" s="24"/>
      <c r="B74" s="18"/>
      <c r="C74" s="70"/>
      <c r="D74" s="70"/>
      <c r="E74" s="71"/>
      <c r="F74" s="71"/>
      <c r="G74" s="70"/>
      <c r="H74" s="18"/>
      <c r="I74" s="24"/>
    </row>
    <row r="75" spans="1:9" ht="15" hidden="1" customHeight="1" x14ac:dyDescent="0.15">
      <c r="A75" s="24"/>
      <c r="B75" s="18"/>
      <c r="C75" s="70"/>
      <c r="D75" s="70"/>
      <c r="E75" s="71"/>
      <c r="F75" s="71"/>
      <c r="G75" s="70"/>
      <c r="H75" s="18"/>
      <c r="I75" s="24"/>
    </row>
    <row r="76" spans="1:9" ht="15" hidden="1" customHeight="1" x14ac:dyDescent="0.15">
      <c r="A76" s="24"/>
      <c r="B76" s="18"/>
      <c r="C76" s="70"/>
      <c r="D76" s="70"/>
      <c r="E76" s="71"/>
      <c r="F76" s="71"/>
      <c r="G76" s="70"/>
      <c r="H76" s="18"/>
      <c r="I76" s="24"/>
    </row>
    <row r="77" spans="1:9" ht="15" hidden="1" customHeight="1" x14ac:dyDescent="0.15">
      <c r="A77" s="24"/>
      <c r="B77" s="18"/>
      <c r="C77" s="70"/>
      <c r="D77" s="70"/>
      <c r="E77" s="71"/>
      <c r="F77" s="71"/>
      <c r="G77" s="70"/>
      <c r="H77" s="18"/>
      <c r="I77" s="24"/>
    </row>
    <row r="78" spans="1:9" ht="9" hidden="1" customHeight="1" x14ac:dyDescent="0.15">
      <c r="A78" s="24"/>
      <c r="B78" s="18"/>
      <c r="C78" s="70"/>
      <c r="D78" s="70"/>
      <c r="E78" s="71"/>
      <c r="F78" s="71"/>
      <c r="G78" s="70"/>
      <c r="H78" s="18"/>
      <c r="I78" s="24"/>
    </row>
    <row r="79" spans="1:9" ht="9" hidden="1" customHeight="1" x14ac:dyDescent="0.15">
      <c r="A79" s="24"/>
      <c r="B79" s="28"/>
      <c r="C79" s="24"/>
      <c r="D79" s="24"/>
      <c r="E79" s="24"/>
      <c r="F79" s="24"/>
      <c r="G79" s="24"/>
      <c r="H79" s="129"/>
      <c r="I79" s="24"/>
    </row>
    <row r="80" spans="1:9" ht="9" hidden="1" customHeight="1" x14ac:dyDescent="0.15"/>
    <row r="81" ht="9" hidden="1" customHeight="1" x14ac:dyDescent="0.15"/>
    <row r="82" ht="9" hidden="1" customHeight="1" x14ac:dyDescent="0.15"/>
    <row r="83" ht="9" hidden="1" customHeight="1" x14ac:dyDescent="0.15"/>
    <row r="84" ht="9" hidden="1" customHeight="1" x14ac:dyDescent="0.15"/>
    <row r="85" ht="9" hidden="1" customHeight="1" x14ac:dyDescent="0.15"/>
    <row r="86" ht="9" hidden="1" customHeight="1" x14ac:dyDescent="0.15"/>
    <row r="87" ht="9" hidden="1" customHeight="1" x14ac:dyDescent="0.15"/>
    <row r="88" ht="9" hidden="1" customHeight="1" x14ac:dyDescent="0.15"/>
    <row r="89" ht="9" hidden="1" customHeight="1" x14ac:dyDescent="0.15"/>
    <row r="90" ht="9" hidden="1" customHeight="1" x14ac:dyDescent="0.15"/>
    <row r="91" ht="9" hidden="1" customHeight="1" x14ac:dyDescent="0.15"/>
    <row r="92" ht="9" hidden="1" customHeight="1" x14ac:dyDescent="0.15"/>
    <row r="93" ht="9" hidden="1" customHeight="1" x14ac:dyDescent="0.15"/>
    <row r="94" ht="9" hidden="1" customHeight="1" x14ac:dyDescent="0.15"/>
    <row r="95" ht="9" hidden="1" customHeight="1" x14ac:dyDescent="0.15"/>
    <row r="96" ht="9" hidden="1" customHeight="1" x14ac:dyDescent="0.15"/>
    <row r="97" ht="9" hidden="1" customHeight="1" x14ac:dyDescent="0.15"/>
    <row r="98" ht="9" hidden="1" customHeight="1" x14ac:dyDescent="0.15"/>
    <row r="99" ht="9" hidden="1" customHeight="1" x14ac:dyDescent="0.15"/>
    <row r="100" ht="9" hidden="1" customHeight="1" x14ac:dyDescent="0.15"/>
    <row r="101" ht="9" hidden="1" customHeight="1" x14ac:dyDescent="0.15"/>
    <row r="102" ht="9" hidden="1" customHeight="1" x14ac:dyDescent="0.15"/>
    <row r="103" ht="9" hidden="1" customHeight="1" x14ac:dyDescent="0.15"/>
    <row r="104" ht="9" hidden="1" customHeight="1" x14ac:dyDescent="0.15"/>
    <row r="105" ht="9" hidden="1" customHeight="1" x14ac:dyDescent="0.15"/>
    <row r="106" ht="9" hidden="1" customHeight="1" x14ac:dyDescent="0.15"/>
    <row r="107" ht="9" hidden="1" customHeight="1" x14ac:dyDescent="0.15"/>
    <row r="108" ht="9" hidden="1" customHeight="1" x14ac:dyDescent="0.15"/>
    <row r="109" ht="9" hidden="1" customHeight="1" x14ac:dyDescent="0.15"/>
    <row r="110" ht="9" hidden="1" customHeight="1" x14ac:dyDescent="0.15"/>
    <row r="111" ht="9" hidden="1" customHeight="1" x14ac:dyDescent="0.15"/>
    <row r="112" ht="9" hidden="1" customHeight="1" x14ac:dyDescent="0.15"/>
    <row r="113" ht="9" hidden="1" customHeight="1" x14ac:dyDescent="0.15"/>
    <row r="114" ht="9" hidden="1" customHeight="1" x14ac:dyDescent="0.15"/>
    <row r="115" ht="9" hidden="1" customHeight="1" x14ac:dyDescent="0.15"/>
    <row r="116" ht="9" hidden="1" customHeight="1" x14ac:dyDescent="0.15"/>
    <row r="117" ht="9" hidden="1" customHeight="1" x14ac:dyDescent="0.15"/>
    <row r="118" ht="9" hidden="1" customHeight="1" x14ac:dyDescent="0.15"/>
    <row r="119" ht="9" hidden="1" customHeight="1" x14ac:dyDescent="0.15"/>
    <row r="120" ht="9" hidden="1" customHeight="1" x14ac:dyDescent="0.15"/>
    <row r="121" ht="9" hidden="1" customHeight="1" x14ac:dyDescent="0.15"/>
    <row r="122" ht="9" hidden="1" customHeight="1" x14ac:dyDescent="0.15"/>
    <row r="123" ht="9" hidden="1" customHeight="1" x14ac:dyDescent="0.15"/>
    <row r="124" ht="9" hidden="1" customHeight="1" x14ac:dyDescent="0.15"/>
    <row r="125" ht="9" hidden="1" customHeight="1" x14ac:dyDescent="0.15"/>
    <row r="126" ht="9" hidden="1" customHeight="1" x14ac:dyDescent="0.15"/>
    <row r="127" ht="9" hidden="1" customHeight="1" x14ac:dyDescent="0.15"/>
    <row r="128" ht="9" hidden="1" customHeight="1" x14ac:dyDescent="0.15"/>
    <row r="129" ht="9" hidden="1" customHeight="1" x14ac:dyDescent="0.15"/>
    <row r="130" ht="9" hidden="1" customHeight="1" x14ac:dyDescent="0.15"/>
    <row r="131" ht="9" hidden="1" customHeight="1" x14ac:dyDescent="0.15"/>
    <row r="132" ht="9" hidden="1" customHeight="1" x14ac:dyDescent="0.15"/>
    <row r="133" ht="9" hidden="1" customHeight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</sheetData>
  <sheetProtection algorithmName="SHA-512" hashValue="vfzf/nxRD0q4+DdnnoFD6copfuZtmgE+iLL25Lxk+rlZo2vlSIkyz7VQ9Wd6S5Ctwhdql6j2o5HEE8AwgeQoHQ==" saltValue="FAsYIrrnpLFKOlhVOwZbEQ==" spinCount="100000" sheet="1" objects="1" scenarios="1"/>
  <mergeCells count="3">
    <mergeCell ref="E25:G25"/>
    <mergeCell ref="C2:F2"/>
    <mergeCell ref="H5:H6"/>
  </mergeCells>
  <conditionalFormatting sqref="G5:H5 G6">
    <cfRule type="expression" dxfId="19" priority="31">
      <formula>0</formula>
    </cfRule>
  </conditionalFormatting>
  <conditionalFormatting sqref="C17 E17:H17">
    <cfRule type="expression" dxfId="18" priority="30">
      <formula>$D$17=0</formula>
    </cfRule>
  </conditionalFormatting>
  <conditionalFormatting sqref="C18 E18:H18">
    <cfRule type="expression" dxfId="17" priority="29">
      <formula>$D$18=0</formula>
    </cfRule>
  </conditionalFormatting>
  <conditionalFormatting sqref="E20:F24">
    <cfRule type="cellIs" dxfId="16" priority="27" operator="between">
      <formula>0</formula>
      <formula>0</formula>
    </cfRule>
  </conditionalFormatting>
  <conditionalFormatting sqref="C40:H40">
    <cfRule type="expression" dxfId="15" priority="25">
      <formula>$F$7="OUe/Nm3"</formula>
    </cfRule>
  </conditionalFormatting>
  <conditionalFormatting sqref="C15 E15:H15">
    <cfRule type="expression" dxfId="14" priority="24">
      <formula>$D$15=0</formula>
    </cfRule>
  </conditionalFormatting>
  <conditionalFormatting sqref="C16 E16:H16">
    <cfRule type="expression" dxfId="13" priority="23">
      <formula>$D$16=0</formula>
    </cfRule>
  </conditionalFormatting>
  <conditionalFormatting sqref="E50">
    <cfRule type="expression" dxfId="12" priority="20">
      <formula>$C$50&lt;&gt;""</formula>
    </cfRule>
  </conditionalFormatting>
  <conditionalFormatting sqref="E55">
    <cfRule type="expression" dxfId="11" priority="16">
      <formula>$C$55&lt;&gt;""</formula>
    </cfRule>
  </conditionalFormatting>
  <conditionalFormatting sqref="E48">
    <cfRule type="expression" dxfId="10" priority="14">
      <formula>$E$45&lt;&gt;""</formula>
    </cfRule>
  </conditionalFormatting>
  <conditionalFormatting sqref="E46">
    <cfRule type="expression" dxfId="9" priority="11">
      <formula>$E$45&lt;&gt;""</formula>
    </cfRule>
  </conditionalFormatting>
  <conditionalFormatting sqref="E47">
    <cfRule type="expression" dxfId="8" priority="10">
      <formula>$E$45&lt;&gt;""</formula>
    </cfRule>
  </conditionalFormatting>
  <conditionalFormatting sqref="E61">
    <cfRule type="expression" dxfId="7" priority="6">
      <formula>$C$61=""</formula>
    </cfRule>
  </conditionalFormatting>
  <conditionalFormatting sqref="E62">
    <cfRule type="expression" dxfId="6" priority="5">
      <formula>$E$62=0</formula>
    </cfRule>
  </conditionalFormatting>
  <conditionalFormatting sqref="E60">
    <cfRule type="expression" dxfId="5" priority="4">
      <formula>$C$60=""</formula>
    </cfRule>
  </conditionalFormatting>
  <conditionalFormatting sqref="H7">
    <cfRule type="expression" dxfId="4" priority="3">
      <formula>0</formula>
    </cfRule>
  </conditionalFormatting>
  <conditionalFormatting sqref="E6">
    <cfRule type="expression" dxfId="3" priority="2">
      <formula>$C$6=""</formula>
    </cfRule>
  </conditionalFormatting>
  <dataValidations count="2">
    <dataValidation type="list" allowBlank="1" showInputMessage="1" showErrorMessage="1" sqref="C13">
      <formula1>"Component specifieke reductietechniek, Emissiereductietechniek"</formula1>
    </dataValidation>
    <dataValidation type="whole" allowBlank="1" showInputMessage="1" showErrorMessage="1" sqref="E4">
      <formula1>1</formula1>
      <formula2>8760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19050</xdr:rowOff>
                  </from>
                  <to>
                    <xdr:col>6</xdr:col>
                    <xdr:colOff>1752600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6</xdr:col>
                    <xdr:colOff>1743075</xdr:colOff>
                    <xdr:row>12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224574BE-AF10-4A18-BC1B-1E2E75BB426A}">
            <xm:f>Data!$C$4=0</xm:f>
            <x14:dxf>
              <font>
                <color theme="1"/>
              </font>
              <fill>
                <patternFill>
                  <bgColor rgb="FFFFFF00"/>
                </patternFill>
              </fill>
            </x14:dxf>
          </x14:cfRule>
          <xm:sqref>E42:E43</xm:sqref>
        </x14:conditionalFormatting>
        <x14:conditionalFormatting xmlns:xm="http://schemas.microsoft.com/office/excel/2006/main">
          <x14:cfRule type="expression" priority="17" id="{D443B53B-777D-4E0C-8CBD-A4E79689BAEF}">
            <xm:f>OR($E$50&lt;Factsheets!$AD$3,$E$50&gt;Factsheets!$AE$3)</xm:f>
            <x14:dxf>
              <font>
                <color rgb="FFFF0000"/>
              </font>
            </x14:dxf>
          </x14:cfRule>
          <xm:sqref>C50:F50</xm:sqref>
        </x14:conditionalFormatting>
        <x14:conditionalFormatting xmlns:xm="http://schemas.microsoft.com/office/excel/2006/main">
          <x14:cfRule type="expression" priority="1" id="{2258AFB5-1A04-4226-92CF-E9E801F9880A}">
            <xm:f>OR($E$50&lt;Factsheets!$AD$3,$E$50&gt;Factsheets!$AE$3)</xm:f>
            <x14:dxf>
              <font>
                <color rgb="FFFF0000"/>
              </font>
            </x14:dxf>
          </x14:cfRule>
          <xm:sqref>F50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E16" sqref="E16"/>
    </sheetView>
  </sheetViews>
  <sheetFormatPr defaultRowHeight="11.25" x14ac:dyDescent="0.15"/>
  <cols>
    <col min="2" max="2" width="38" bestFit="1" customWidth="1"/>
    <col min="3" max="3" width="13.375" bestFit="1" customWidth="1"/>
    <col min="4" max="5" width="38" customWidth="1"/>
    <col min="6" max="6" width="9.5" bestFit="1" customWidth="1"/>
    <col min="8" max="8" width="9.75" bestFit="1" customWidth="1"/>
    <col min="9" max="9" width="10.75" bestFit="1" customWidth="1"/>
  </cols>
  <sheetData>
    <row r="1" spans="1:9" x14ac:dyDescent="0.15">
      <c r="B1" t="s">
        <v>1</v>
      </c>
      <c r="C1" t="s">
        <v>156</v>
      </c>
      <c r="D1" t="s">
        <v>111</v>
      </c>
      <c r="E1" t="s">
        <v>184</v>
      </c>
      <c r="F1" t="s">
        <v>0</v>
      </c>
      <c r="H1" t="s">
        <v>165</v>
      </c>
    </row>
    <row r="2" spans="1:9" x14ac:dyDescent="0.15">
      <c r="B2" t="s">
        <v>157</v>
      </c>
      <c r="C2">
        <v>0.13</v>
      </c>
      <c r="H2">
        <v>0.28999999999999998</v>
      </c>
      <c r="I2" t="str">
        <f>CONCATENATE("kg CO2/kWh (= €",ROUND(H2*C2,3),"/kWh)")</f>
        <v>kg CO2/kWh (= €0,038/kWh)</v>
      </c>
    </row>
    <row r="3" spans="1:9" x14ac:dyDescent="0.15">
      <c r="A3" t="s">
        <v>159</v>
      </c>
      <c r="B3">
        <v>8</v>
      </c>
      <c r="F3">
        <v>1</v>
      </c>
      <c r="H3">
        <f>0.0826</f>
        <v>8.2600000000000007E-2</v>
      </c>
      <c r="I3" t="str">
        <f>CONCATENATE("g NOx/kWh (= €",ROUND(H3*C26/1000,3),"/kWh)")</f>
        <v>g NOx/kWh (= €0,002/kWh)</v>
      </c>
    </row>
    <row r="4" spans="1:9" x14ac:dyDescent="0.15">
      <c r="A4" t="s">
        <v>158</v>
      </c>
      <c r="B4" t="str">
        <f>INDEX(B$5:B$52,B3)</f>
        <v>Droog stof</v>
      </c>
      <c r="C4">
        <f>INDEX(C$5:C$52,B3)</f>
        <v>0</v>
      </c>
      <c r="D4" t="str">
        <f>IF(ISNUMBER(FIND(INDEX(D5:D31,B3),'KE-berekening'!F7)),"OK","NOK")</f>
        <v>OK</v>
      </c>
      <c r="E4" s="17" t="str">
        <f>INDEX(E$5:E$52,B3)</f>
        <v>€8-€15 per kg</v>
      </c>
      <c r="F4" t="str">
        <f>INDEX(F$5:F$52,F3)</f>
        <v>Cycloon</v>
      </c>
      <c r="H4" s="75">
        <f>H2*C2+H3*C26/1000</f>
        <v>4.0169739999999995E-2</v>
      </c>
      <c r="I4" t="s">
        <v>164</v>
      </c>
    </row>
    <row r="5" spans="1:9" x14ac:dyDescent="0.15">
      <c r="A5">
        <v>1</v>
      </c>
      <c r="B5" t="s">
        <v>39</v>
      </c>
      <c r="D5" t="s">
        <v>110</v>
      </c>
      <c r="F5" t="str">
        <f>IF(ISNA(VLOOKUP($A5,Factsheets!F$4:I$153,4,FALSE)),"↑ omhoog",VLOOKUP($A5,Factsheets!F$4:I$153,4,FALSE))</f>
        <v>Cycloon</v>
      </c>
    </row>
    <row r="6" spans="1:9" ht="12" x14ac:dyDescent="0.2">
      <c r="A6">
        <f t="shared" ref="A6:A52" si="0">A5+1</f>
        <v>2</v>
      </c>
      <c r="B6" t="s">
        <v>40</v>
      </c>
      <c r="D6" t="s">
        <v>110</v>
      </c>
      <c r="F6" t="str">
        <f>IF(ISNA(VLOOKUP($A6,Factsheets!F$4:I$153,4,FALSE)),"↑ omhoog",VLOOKUP($A6,Factsheets!F$4:I$153,4,FALSE))</f>
        <v>Elektrostatisch filter</v>
      </c>
      <c r="G6" s="145"/>
    </row>
    <row r="7" spans="1:9" x14ac:dyDescent="0.15">
      <c r="A7">
        <f t="shared" si="0"/>
        <v>3</v>
      </c>
      <c r="B7" t="s">
        <v>41</v>
      </c>
      <c r="C7">
        <v>49.3</v>
      </c>
      <c r="D7" t="s">
        <v>110</v>
      </c>
      <c r="F7" t="str">
        <f>IF(ISNA(VLOOKUP($A7,Factsheets!F$4:I$153,4,FALSE)),"↑ omhoog",VLOOKUP($A7,Factsheets!F$4:I$153,4,FALSE))</f>
        <v>Nat elektrostatisch filter</v>
      </c>
    </row>
    <row r="8" spans="1:9" x14ac:dyDescent="0.15">
      <c r="A8">
        <f t="shared" si="0"/>
        <v>4</v>
      </c>
      <c r="B8" t="s">
        <v>42</v>
      </c>
      <c r="D8" t="s">
        <v>110</v>
      </c>
      <c r="F8" t="str">
        <f>IF(ISNA(VLOOKUP($A8,Factsheets!F$4:I$153,4,FALSE)),"↑ omhoog",VLOOKUP($A8,Factsheets!F$4:I$153,4,FALSE))</f>
        <v>Sproeitoren</v>
      </c>
    </row>
    <row r="9" spans="1:9" x14ac:dyDescent="0.15">
      <c r="A9">
        <f t="shared" si="0"/>
        <v>5</v>
      </c>
      <c r="B9" t="s">
        <v>43</v>
      </c>
      <c r="D9" t="s">
        <v>110</v>
      </c>
      <c r="F9" t="str">
        <f>IF(ISNA(VLOOKUP($A9,Factsheets!F$4:I$153,4,FALSE)),"↑ omhoog",VLOOKUP($A9,Factsheets!F$4:I$153,4,FALSE))</f>
        <v>Stoffilter (doek)</v>
      </c>
    </row>
    <row r="10" spans="1:9" x14ac:dyDescent="0.15">
      <c r="A10">
        <f t="shared" si="0"/>
        <v>6</v>
      </c>
      <c r="B10" t="s">
        <v>96</v>
      </c>
      <c r="D10" t="s">
        <v>110</v>
      </c>
      <c r="F10" t="str">
        <f>IF(ISNA(VLOOKUP($A10,Factsheets!F$4:I$153,4,FALSE)),"↑ omhoog",VLOOKUP($A10,Factsheets!F$4:I$153,4,FALSE))</f>
        <v>Stoffilter (keramisch en metaalgaas tweetraps)</v>
      </c>
    </row>
    <row r="11" spans="1:9" x14ac:dyDescent="0.15">
      <c r="A11">
        <f t="shared" si="0"/>
        <v>7</v>
      </c>
      <c r="B11" t="s">
        <v>87</v>
      </c>
      <c r="C11">
        <v>50367398</v>
      </c>
      <c r="D11" t="s">
        <v>89</v>
      </c>
      <c r="F11" t="str">
        <f>IF(ISNA(VLOOKUP($A11,Factsheets!F$4:I$153,4,FALSE)),"↑ omhoog",VLOOKUP($A11,Factsheets!F$4:I$153,4,FALSE))</f>
        <v>Stofwasser</v>
      </c>
    </row>
    <row r="12" spans="1:9" x14ac:dyDescent="0.15">
      <c r="A12">
        <f t="shared" si="0"/>
        <v>8</v>
      </c>
      <c r="B12" t="s">
        <v>18</v>
      </c>
      <c r="D12" t="s">
        <v>110</v>
      </c>
      <c r="E12" t="s">
        <v>187</v>
      </c>
      <c r="F12" t="str">
        <f>IF(ISNA(VLOOKUP($A12,Factsheets!F$4:I$153,4,FALSE)),"↑ omhoog",VLOOKUP($A12,Factsheets!F$4:I$153,4,FALSE))</f>
        <v>Venturi wasser</v>
      </c>
    </row>
    <row r="13" spans="1:9" x14ac:dyDescent="0.15">
      <c r="A13">
        <f t="shared" si="0"/>
        <v>9</v>
      </c>
      <c r="B13" t="s">
        <v>44</v>
      </c>
      <c r="D13" t="s">
        <v>110</v>
      </c>
      <c r="F13" t="str">
        <f>IF(ISNA(VLOOKUP($A13,Factsheets!F$4:I$153,4,FALSE)),"↑ omhoog",VLOOKUP($A13,Factsheets!F$4:I$153,4,FALSE))</f>
        <v>↑ omhoog</v>
      </c>
    </row>
    <row r="14" spans="1:9" x14ac:dyDescent="0.15">
      <c r="A14">
        <f t="shared" si="0"/>
        <v>10</v>
      </c>
      <c r="B14" t="s">
        <v>45</v>
      </c>
      <c r="C14">
        <v>22.2</v>
      </c>
      <c r="D14" t="s">
        <v>110</v>
      </c>
      <c r="F14" t="str">
        <f>IF(ISNA(VLOOKUP($A14,Factsheets!F$4:I$153,4,FALSE)),"↑ omhoog",VLOOKUP($A14,Factsheets!F$4:I$153,4,FALSE))</f>
        <v>↑ omhoog</v>
      </c>
    </row>
    <row r="15" spans="1:9" x14ac:dyDescent="0.15">
      <c r="A15">
        <f t="shared" si="0"/>
        <v>11</v>
      </c>
      <c r="B15" t="s">
        <v>47</v>
      </c>
      <c r="D15" t="s">
        <v>110</v>
      </c>
      <c r="F15" t="str">
        <f>IF(ISNA(VLOOKUP($A15,Factsheets!F$4:I$153,4,FALSE)),"↑ omhoog",VLOOKUP($A15,Factsheets!F$4:I$153,4,FALSE))</f>
        <v>↑ omhoog</v>
      </c>
    </row>
    <row r="16" spans="1:9" x14ac:dyDescent="0.15">
      <c r="A16">
        <f t="shared" si="0"/>
        <v>12</v>
      </c>
      <c r="B16" t="s">
        <v>48</v>
      </c>
      <c r="C16">
        <v>0.52</v>
      </c>
      <c r="D16" t="s">
        <v>110</v>
      </c>
      <c r="F16" t="str">
        <f>IF(ISNA(VLOOKUP($A16,Factsheets!F$4:I$153,4,FALSE)),"↑ omhoog",VLOOKUP($A16,Factsheets!F$4:I$153,4,FALSE))</f>
        <v>↑ omhoog</v>
      </c>
    </row>
    <row r="17" spans="1:6" x14ac:dyDescent="0.15">
      <c r="A17">
        <f t="shared" si="0"/>
        <v>13</v>
      </c>
      <c r="B17" t="s">
        <v>46</v>
      </c>
      <c r="D17" t="s">
        <v>110</v>
      </c>
      <c r="F17" t="str">
        <f>IF(ISNA(VLOOKUP($A17,Factsheets!F$4:I$153,4,FALSE)),"↑ omhoog",VLOOKUP($A17,Factsheets!F$4:I$153,4,FALSE))</f>
        <v>↑ omhoog</v>
      </c>
    </row>
    <row r="18" spans="1:6" x14ac:dyDescent="0.15">
      <c r="A18">
        <f t="shared" si="0"/>
        <v>14</v>
      </c>
      <c r="B18" t="s">
        <v>49</v>
      </c>
      <c r="D18" t="s">
        <v>109</v>
      </c>
      <c r="F18" t="str">
        <f>IF(ISNA(VLOOKUP($A18,Factsheets!F$4:I$153,4,FALSE)),"↑ omhoog",VLOOKUP($A18,Factsheets!F$4:I$153,4,FALSE))</f>
        <v>↑ omhoog</v>
      </c>
    </row>
    <row r="19" spans="1:6" x14ac:dyDescent="0.15">
      <c r="A19">
        <f t="shared" si="0"/>
        <v>15</v>
      </c>
      <c r="B19" t="s">
        <v>51</v>
      </c>
      <c r="D19" t="s">
        <v>110</v>
      </c>
      <c r="F19" t="str">
        <f>IF(ISNA(VLOOKUP($A19,Factsheets!F$4:I$153,4,FALSE)),"↑ omhoog",VLOOKUP($A19,Factsheets!F$4:I$153,4,FALSE))</f>
        <v>↑ omhoog</v>
      </c>
    </row>
    <row r="20" spans="1:6" x14ac:dyDescent="0.15">
      <c r="A20">
        <f t="shared" si="0"/>
        <v>16</v>
      </c>
      <c r="B20" t="s">
        <v>26</v>
      </c>
      <c r="D20" t="s">
        <v>110</v>
      </c>
      <c r="F20" t="str">
        <f>IF(ISNA(VLOOKUP($A20,Factsheets!F$4:I$153,4,FALSE)),"↑ omhoog",VLOOKUP($A20,Factsheets!F$4:I$153,4,FALSE))</f>
        <v>↑ omhoog</v>
      </c>
    </row>
    <row r="21" spans="1:6" x14ac:dyDescent="0.15">
      <c r="A21">
        <f t="shared" si="0"/>
        <v>17</v>
      </c>
      <c r="B21" t="s">
        <v>27</v>
      </c>
      <c r="D21" t="s">
        <v>110</v>
      </c>
      <c r="F21" t="str">
        <f>IF(ISNA(VLOOKUP($A21,Factsheets!F$4:I$153,4,FALSE)),"↑ omhoog",VLOOKUP($A21,Factsheets!F$4:I$153,4,FALSE))</f>
        <v>↑ omhoog</v>
      </c>
    </row>
    <row r="22" spans="1:6" x14ac:dyDescent="0.15">
      <c r="A22">
        <f t="shared" si="0"/>
        <v>18</v>
      </c>
      <c r="B22" t="s">
        <v>28</v>
      </c>
      <c r="C22">
        <v>15325</v>
      </c>
      <c r="D22" t="s">
        <v>110</v>
      </c>
      <c r="F22" t="str">
        <f>IF(ISNA(VLOOKUP($A22,Factsheets!F$4:I$153,4,FALSE)),"↑ omhoog",VLOOKUP($A22,Factsheets!F$4:I$153,4,FALSE))</f>
        <v>↑ omhoog</v>
      </c>
    </row>
    <row r="23" spans="1:6" x14ac:dyDescent="0.15">
      <c r="A23">
        <f t="shared" si="0"/>
        <v>19</v>
      </c>
      <c r="B23" t="s">
        <v>95</v>
      </c>
      <c r="D23" t="s">
        <v>110</v>
      </c>
      <c r="F23" t="str">
        <f>IF(ISNA(VLOOKUP($A23,Factsheets!F$4:I$153,4,FALSE)),"↑ omhoog",VLOOKUP($A23,Factsheets!F$4:I$153,4,FALSE))</f>
        <v>↑ omhoog</v>
      </c>
    </row>
    <row r="24" spans="1:6" x14ac:dyDescent="0.15">
      <c r="A24">
        <f t="shared" si="0"/>
        <v>20</v>
      </c>
      <c r="B24" t="s">
        <v>50</v>
      </c>
      <c r="D24" t="s">
        <v>110</v>
      </c>
      <c r="F24" t="str">
        <f>IF(ISNA(VLOOKUP($A24,Factsheets!F$4:I$153,4,FALSE)),"↑ omhoog",VLOOKUP($A24,Factsheets!F$4:I$153,4,FALSE))</f>
        <v>↑ omhoog</v>
      </c>
    </row>
    <row r="25" spans="1:6" x14ac:dyDescent="0.15">
      <c r="A25">
        <f t="shared" si="0"/>
        <v>21</v>
      </c>
      <c r="B25" t="s">
        <v>19</v>
      </c>
      <c r="D25" t="s">
        <v>110</v>
      </c>
      <c r="E25" t="s">
        <v>187</v>
      </c>
      <c r="F25" t="str">
        <f>IF(ISNA(VLOOKUP($A25,Factsheets!F$4:I$153,4,FALSE)),"↑ omhoog",VLOOKUP($A25,Factsheets!F$4:I$153,4,FALSE))</f>
        <v>↑ omhoog</v>
      </c>
    </row>
    <row r="26" spans="1:6" x14ac:dyDescent="0.15">
      <c r="A26">
        <f t="shared" si="0"/>
        <v>22</v>
      </c>
      <c r="B26" t="s">
        <v>7</v>
      </c>
      <c r="C26">
        <v>29.9</v>
      </c>
      <c r="D26" t="s">
        <v>110</v>
      </c>
      <c r="E26" t="s">
        <v>185</v>
      </c>
      <c r="F26" t="str">
        <f>IF(ISNA(VLOOKUP($A26,Factsheets!F$4:I$153,4,FALSE)),"↑ omhoog",VLOOKUP($A26,Factsheets!F$4:I$153,4,FALSE))</f>
        <v>↑ omhoog</v>
      </c>
    </row>
    <row r="27" spans="1:6" x14ac:dyDescent="0.15">
      <c r="A27">
        <f t="shared" si="0"/>
        <v>23</v>
      </c>
      <c r="B27" t="s">
        <v>98</v>
      </c>
      <c r="C27">
        <v>69.3</v>
      </c>
      <c r="D27" t="s">
        <v>110</v>
      </c>
      <c r="E27" t="s">
        <v>187</v>
      </c>
      <c r="F27" t="str">
        <f>IF(ISNA(VLOOKUP($A27,Factsheets!F$4:I$153,4,FALSE)),"↑ omhoog",VLOOKUP($A27,Factsheets!F$4:I$153,4,FALSE))</f>
        <v>↑ omhoog</v>
      </c>
    </row>
    <row r="28" spans="1:6" x14ac:dyDescent="0.15">
      <c r="A28">
        <f t="shared" si="0"/>
        <v>24</v>
      </c>
      <c r="B28" t="s">
        <v>23</v>
      </c>
      <c r="C28">
        <v>57.5</v>
      </c>
      <c r="D28" t="s">
        <v>110</v>
      </c>
      <c r="E28" t="s">
        <v>186</v>
      </c>
      <c r="F28" t="str">
        <f>IF(ISNA(VLOOKUP($A28,Factsheets!F$4:I$153,4,FALSE)),"↑ omhoog",VLOOKUP($A28,Factsheets!F$4:I$153,4,FALSE))</f>
        <v>↑ omhoog</v>
      </c>
    </row>
    <row r="29" spans="1:6" x14ac:dyDescent="0.15">
      <c r="A29">
        <f t="shared" si="0"/>
        <v>25</v>
      </c>
      <c r="B29" t="s">
        <v>25</v>
      </c>
      <c r="D29" t="s">
        <v>110</v>
      </c>
      <c r="F29" t="str">
        <f>IF(ISNA(VLOOKUP($A29,Factsheets!F$4:I$153,4,FALSE)),"↑ omhoog",VLOOKUP($A29,Factsheets!F$4:I$153,4,FALSE))</f>
        <v>↑ omhoog</v>
      </c>
    </row>
    <row r="30" spans="1:6" x14ac:dyDescent="0.15">
      <c r="A30">
        <f t="shared" si="0"/>
        <v>26</v>
      </c>
      <c r="B30" t="s">
        <v>52</v>
      </c>
      <c r="D30" t="s">
        <v>110</v>
      </c>
      <c r="E30" t="s">
        <v>187</v>
      </c>
      <c r="F30" t="str">
        <f>IF(ISNA(VLOOKUP($A30,Factsheets!F$4:I$153,4,FALSE)),"↑ omhoog",VLOOKUP($A30,Factsheets!F$4:I$153,4,FALSE))</f>
        <v>↑ omhoog</v>
      </c>
    </row>
    <row r="31" spans="1:6" x14ac:dyDescent="0.15">
      <c r="A31">
        <f t="shared" si="0"/>
        <v>27</v>
      </c>
      <c r="B31" s="42" t="s">
        <v>177</v>
      </c>
      <c r="C31" s="42"/>
      <c r="D31" s="42" t="s">
        <v>110</v>
      </c>
      <c r="E31" s="42"/>
      <c r="F31" t="str">
        <f>IF(ISNA(VLOOKUP($A31,Factsheets!F$4:I$153,4,FALSE)),"↑ omhoog",VLOOKUP($A31,Factsheets!F$4:I$153,4,FALSE))</f>
        <v>↑ omhoog</v>
      </c>
    </row>
    <row r="32" spans="1:6" x14ac:dyDescent="0.15">
      <c r="A32">
        <f t="shared" si="0"/>
        <v>28</v>
      </c>
      <c r="B32" s="29">
        <f>IF(ISNUMBER(VLOOKUP($A32,Factsheets!B$4:H$153,6,FALSE)),VLOOKUP($A32,Factsheets!B$4:H$153,6,FALSE),"")</f>
        <v>82</v>
      </c>
      <c r="C32" s="29"/>
      <c r="D32" s="29"/>
      <c r="E32" s="29"/>
      <c r="F32" t="str">
        <f>IF(ISNA(VLOOKUP($A32,Factsheets!F$4:I$153,4,FALSE)),"↑ omhoog",VLOOKUP($A32,Factsheets!F$4:I$153,4,FALSE))</f>
        <v>↑ omhoog</v>
      </c>
    </row>
    <row r="33" spans="1:6" x14ac:dyDescent="0.15">
      <c r="A33">
        <f t="shared" si="0"/>
        <v>29</v>
      </c>
      <c r="B33" s="29">
        <f>IF(ISNUMBER(VLOOKUP($A33,Factsheets!B$4:H$153,6,FALSE)),VLOOKUP($A33,Factsheets!B$4:H$153,6,FALSE),"")</f>
        <v>83</v>
      </c>
      <c r="C33" s="29"/>
      <c r="D33" s="29"/>
      <c r="E33" s="29"/>
      <c r="F33" t="str">
        <f>IF(ISNA(VLOOKUP($A33,Factsheets!F$4:I$153,4,FALSE)),"↑ omhoog",VLOOKUP($A33,Factsheets!F$4:I$153,4,FALSE))</f>
        <v>↑ omhoog</v>
      </c>
    </row>
    <row r="34" spans="1:6" x14ac:dyDescent="0.15">
      <c r="A34">
        <f t="shared" si="0"/>
        <v>30</v>
      </c>
      <c r="B34" s="29">
        <f>IF(ISNUMBER(VLOOKUP($A34,Factsheets!B$4:H$153,6,FALSE)),VLOOKUP($A34,Factsheets!B$4:H$153,6,FALSE),"")</f>
        <v>84</v>
      </c>
      <c r="C34" s="29"/>
      <c r="D34" s="29"/>
      <c r="E34" s="29"/>
      <c r="F34" t="str">
        <f>IF(ISNA(VLOOKUP($A34,Factsheets!F$4:I$153,4,FALSE)),"↑ omhoog",VLOOKUP($A34,Factsheets!F$4:I$153,4,FALSE))</f>
        <v>↑ omhoog</v>
      </c>
    </row>
    <row r="35" spans="1:6" x14ac:dyDescent="0.15">
      <c r="A35">
        <f t="shared" si="0"/>
        <v>31</v>
      </c>
      <c r="B35" s="29">
        <f>IF(ISNUMBER(VLOOKUP($A35,Factsheets!B$4:H$153,6,FALSE)),VLOOKUP($A35,Factsheets!B$4:H$153,6,FALSE),"")</f>
        <v>85</v>
      </c>
      <c r="C35" s="29"/>
      <c r="D35" s="29"/>
      <c r="E35" s="29"/>
      <c r="F35" t="str">
        <f>IF(ISNA(VLOOKUP($A35,Factsheets!F$4:I$153,4,FALSE)),"↑ omhoog",VLOOKUP($A35,Factsheets!F$4:I$153,4,FALSE))</f>
        <v>↑ omhoog</v>
      </c>
    </row>
    <row r="36" spans="1:6" x14ac:dyDescent="0.15">
      <c r="A36">
        <f t="shared" si="0"/>
        <v>32</v>
      </c>
      <c r="B36" s="29">
        <f>IF(ISNUMBER(VLOOKUP($A36,Factsheets!B$4:H$153,6,FALSE)),VLOOKUP($A36,Factsheets!B$4:H$153,6,FALSE),"")</f>
        <v>86</v>
      </c>
      <c r="C36" s="29"/>
      <c r="D36" s="29"/>
      <c r="E36" s="29"/>
      <c r="F36" t="str">
        <f>IF(ISNA(VLOOKUP($A36,Factsheets!F$4:I$153,4,FALSE)),"↑ omhoog",VLOOKUP($A36,Factsheets!F$4:I$153,4,FALSE))</f>
        <v>↑ omhoog</v>
      </c>
    </row>
    <row r="37" spans="1:6" x14ac:dyDescent="0.15">
      <c r="A37">
        <f t="shared" si="0"/>
        <v>33</v>
      </c>
      <c r="B37" s="29">
        <f>IF(ISNUMBER(VLOOKUP($A37,Factsheets!B$4:H$153,6,FALSE)),VLOOKUP($A37,Factsheets!B$4:H$153,6,FALSE),"")</f>
        <v>87</v>
      </c>
      <c r="C37" s="29"/>
      <c r="D37" s="29"/>
      <c r="E37" s="29"/>
      <c r="F37" t="str">
        <f>IF(ISNA(VLOOKUP($A37,Factsheets!F$4:I$153,4,FALSE)),"↑ omhoog",VLOOKUP($A37,Factsheets!F$4:I$153,4,FALSE))</f>
        <v>↑ omhoog</v>
      </c>
    </row>
    <row r="38" spans="1:6" x14ac:dyDescent="0.15">
      <c r="A38">
        <f t="shared" si="0"/>
        <v>34</v>
      </c>
      <c r="B38" s="29">
        <f>IF(ISNUMBER(VLOOKUP($A38,Factsheets!B$4:H$153,6,FALSE)),VLOOKUP($A38,Factsheets!B$4:H$153,6,FALSE),"")</f>
        <v>88</v>
      </c>
      <c r="C38" s="29"/>
      <c r="D38" s="29"/>
      <c r="E38" s="29"/>
      <c r="F38" t="str">
        <f>IF(ISNA(VLOOKUP($A38,Factsheets!F$4:I$153,4,FALSE)),"↑ omhoog",VLOOKUP($A38,Factsheets!F$4:I$153,4,FALSE))</f>
        <v>↑ omhoog</v>
      </c>
    </row>
    <row r="39" spans="1:6" x14ac:dyDescent="0.15">
      <c r="A39">
        <f t="shared" si="0"/>
        <v>35</v>
      </c>
      <c r="B39" s="29">
        <f>IF(ISNUMBER(VLOOKUP($A39,Factsheets!B$4:H$153,6,FALSE)),VLOOKUP($A39,Factsheets!B$4:H$153,6,FALSE),"")</f>
        <v>89</v>
      </c>
      <c r="C39" s="29"/>
      <c r="D39" s="29"/>
      <c r="E39" s="29"/>
      <c r="F39" t="str">
        <f>IF(ISNA(VLOOKUP($A39,Factsheets!F$4:I$153,4,FALSE)),"↑ omhoog",VLOOKUP($A39,Factsheets!F$4:I$153,4,FALSE))</f>
        <v>↑ omhoog</v>
      </c>
    </row>
    <row r="40" spans="1:6" x14ac:dyDescent="0.15">
      <c r="A40">
        <f t="shared" si="0"/>
        <v>36</v>
      </c>
      <c r="B40" s="29">
        <f>IF(ISNUMBER(VLOOKUP($A40,Factsheets!B$4:H$153,6,FALSE)),VLOOKUP($A40,Factsheets!B$4:H$153,6,FALSE),"")</f>
        <v>90</v>
      </c>
      <c r="C40" s="29"/>
      <c r="D40" s="29"/>
      <c r="E40" s="29"/>
      <c r="F40" t="str">
        <f>IF(ISNA(VLOOKUP($A40,Factsheets!F$4:I$153,4,FALSE)),"↑ omhoog",VLOOKUP($A40,Factsheets!F$4:I$153,4,FALSE))</f>
        <v>↑ omhoog</v>
      </c>
    </row>
    <row r="41" spans="1:6" x14ac:dyDescent="0.15">
      <c r="A41">
        <f t="shared" si="0"/>
        <v>37</v>
      </c>
      <c r="B41" s="29">
        <f>IF(ISNUMBER(VLOOKUP($A41,Factsheets!B$4:H$153,6,FALSE)),VLOOKUP($A41,Factsheets!B$4:H$153,6,FALSE),"")</f>
        <v>91</v>
      </c>
      <c r="C41" s="29"/>
      <c r="D41" s="29"/>
      <c r="E41" s="29"/>
      <c r="F41" t="str">
        <f>IF(ISNA(VLOOKUP($A41,Factsheets!F$4:I$153,4,FALSE)),"↑ omhoog",VLOOKUP($A41,Factsheets!F$4:I$153,4,FALSE))</f>
        <v>↑ omhoog</v>
      </c>
    </row>
    <row r="42" spans="1:6" x14ac:dyDescent="0.15">
      <c r="A42">
        <f t="shared" si="0"/>
        <v>38</v>
      </c>
      <c r="B42" s="29">
        <f>IF(ISNUMBER(VLOOKUP($A42,Factsheets!B$4:H$153,6,FALSE)),VLOOKUP($A42,Factsheets!B$4:H$153,6,FALSE),"")</f>
        <v>92</v>
      </c>
      <c r="C42" s="29"/>
      <c r="D42" s="29"/>
      <c r="E42" s="29"/>
      <c r="F42" t="str">
        <f>IF(ISNA(VLOOKUP($A42,Factsheets!F$4:I$153,4,FALSE)),"↑ omhoog",VLOOKUP($A42,Factsheets!F$4:I$153,4,FALSE))</f>
        <v>↑ omhoog</v>
      </c>
    </row>
    <row r="43" spans="1:6" x14ac:dyDescent="0.15">
      <c r="A43">
        <f t="shared" si="0"/>
        <v>39</v>
      </c>
      <c r="B43" s="29">
        <f>IF(ISNUMBER(VLOOKUP($A43,Factsheets!B$4:H$153,6,FALSE)),VLOOKUP($A43,Factsheets!B$4:H$153,6,FALSE),"")</f>
        <v>93</v>
      </c>
      <c r="C43" s="29"/>
      <c r="D43" s="29"/>
      <c r="E43" s="29"/>
      <c r="F43" t="str">
        <f>IF(ISNA(VLOOKUP($A43,Factsheets!F$4:I$153,4,FALSE)),"↑ omhoog",VLOOKUP($A43,Factsheets!F$4:I$153,4,FALSE))</f>
        <v>↑ omhoog</v>
      </c>
    </row>
    <row r="44" spans="1:6" x14ac:dyDescent="0.15">
      <c r="A44">
        <f t="shared" si="0"/>
        <v>40</v>
      </c>
      <c r="B44" s="29">
        <f>IF(ISNUMBER(VLOOKUP($A44,Factsheets!B$4:H$153,6,FALSE)),VLOOKUP($A44,Factsheets!B$4:H$153,6,FALSE),"")</f>
        <v>94</v>
      </c>
      <c r="C44" s="29"/>
      <c r="D44" s="29"/>
      <c r="E44" s="29"/>
      <c r="F44" t="str">
        <f>IF(ISNA(VLOOKUP($A44,Factsheets!F$4:I$153,4,FALSE)),"↑ omhoog",VLOOKUP($A44,Factsheets!F$4:I$153,4,FALSE))</f>
        <v>↑ omhoog</v>
      </c>
    </row>
    <row r="45" spans="1:6" x14ac:dyDescent="0.15">
      <c r="A45">
        <f t="shared" si="0"/>
        <v>41</v>
      </c>
      <c r="B45" s="29">
        <f>IF(ISNUMBER(VLOOKUP($A45,Factsheets!B$4:H$153,6,FALSE)),VLOOKUP($A45,Factsheets!B$4:H$153,6,FALSE),"")</f>
        <v>95</v>
      </c>
      <c r="C45" s="29"/>
      <c r="D45" s="29"/>
      <c r="E45" s="29"/>
      <c r="F45" t="str">
        <f>IF(ISNA(VLOOKUP($A45,Factsheets!F$4:I$153,4,FALSE)),"↑ omhoog",VLOOKUP($A45,Factsheets!F$4:I$153,4,FALSE))</f>
        <v>↑ omhoog</v>
      </c>
    </row>
    <row r="46" spans="1:6" x14ac:dyDescent="0.15">
      <c r="A46">
        <f t="shared" si="0"/>
        <v>42</v>
      </c>
      <c r="B46" s="29">
        <f>IF(ISNUMBER(VLOOKUP($A46,Factsheets!B$4:H$153,6,FALSE)),VLOOKUP($A46,Factsheets!B$4:H$153,6,FALSE),"")</f>
        <v>96</v>
      </c>
      <c r="C46" s="29"/>
      <c r="D46" s="29"/>
      <c r="E46" s="29"/>
      <c r="F46" t="str">
        <f>IF(ISNA(VLOOKUP($A46,Factsheets!F$4:I$153,4,FALSE)),"↑ omhoog",VLOOKUP($A46,Factsheets!F$4:I$153,4,FALSE))</f>
        <v>↑ omhoog</v>
      </c>
    </row>
    <row r="47" spans="1:6" x14ac:dyDescent="0.15">
      <c r="A47">
        <f t="shared" si="0"/>
        <v>43</v>
      </c>
      <c r="B47" s="29">
        <f>IF(ISNUMBER(VLOOKUP($A47,Factsheets!B$4:H$153,6,FALSE)),VLOOKUP($A47,Factsheets!B$4:H$153,6,FALSE),"")</f>
        <v>97</v>
      </c>
      <c r="C47" s="29"/>
      <c r="D47" s="29"/>
      <c r="E47" s="29"/>
      <c r="F47" t="str">
        <f>IF(ISNA(VLOOKUP($A47,Factsheets!F$4:I$153,4,FALSE)),"↑ omhoog",VLOOKUP($A47,Factsheets!F$4:I$153,4,FALSE))</f>
        <v>↑ omhoog</v>
      </c>
    </row>
    <row r="48" spans="1:6" x14ac:dyDescent="0.15">
      <c r="A48">
        <f t="shared" si="0"/>
        <v>44</v>
      </c>
      <c r="B48" s="29">
        <f>IF(ISNUMBER(VLOOKUP($A48,Factsheets!B$4:H$153,6,FALSE)),VLOOKUP($A48,Factsheets!B$4:H$153,6,FALSE),"")</f>
        <v>98</v>
      </c>
      <c r="C48" s="29"/>
      <c r="D48" s="29"/>
      <c r="E48" s="29"/>
      <c r="F48" t="str">
        <f>IF(ISNA(VLOOKUP($A48,Factsheets!F$4:I$153,4,FALSE)),"↑ omhoog",VLOOKUP($A48,Factsheets!F$4:I$153,4,FALSE))</f>
        <v>↑ omhoog</v>
      </c>
    </row>
    <row r="49" spans="1:6" x14ac:dyDescent="0.15">
      <c r="A49">
        <f t="shared" si="0"/>
        <v>45</v>
      </c>
      <c r="B49" s="29">
        <f>IF(ISNUMBER(VLOOKUP($A49,Factsheets!B$4:H$153,6,FALSE)),VLOOKUP($A49,Factsheets!B$4:H$153,6,FALSE),"")</f>
        <v>99</v>
      </c>
      <c r="C49" s="29"/>
      <c r="D49" s="29"/>
      <c r="E49" s="29"/>
      <c r="F49" t="str">
        <f>IF(ISNA(VLOOKUP($A49,Factsheets!F$4:I$153,4,FALSE)),"↑ omhoog",VLOOKUP($A49,Factsheets!F$4:I$153,4,FALSE))</f>
        <v>↑ omhoog</v>
      </c>
    </row>
    <row r="50" spans="1:6" x14ac:dyDescent="0.15">
      <c r="A50">
        <f t="shared" si="0"/>
        <v>46</v>
      </c>
      <c r="B50" s="29">
        <f>IF(ISNUMBER(VLOOKUP($A50,Factsheets!B$4:H$153,6,FALSE)),VLOOKUP($A50,Factsheets!B$4:H$153,6,FALSE),"")</f>
        <v>100</v>
      </c>
      <c r="C50" s="29"/>
      <c r="D50" s="29"/>
      <c r="E50" s="29"/>
      <c r="F50" t="str">
        <f>IF(ISNA(VLOOKUP($A50,Factsheets!F$4:I$153,4,FALSE)),"↑ omhoog",VLOOKUP($A50,Factsheets!F$4:I$153,4,FALSE))</f>
        <v>↑ omhoog</v>
      </c>
    </row>
    <row r="51" spans="1:6" x14ac:dyDescent="0.15">
      <c r="A51">
        <f t="shared" si="0"/>
        <v>47</v>
      </c>
      <c r="B51" s="29">
        <f>IF(ISNUMBER(VLOOKUP($A51,Factsheets!B$4:H$153,6,FALSE)),VLOOKUP($A51,Factsheets!B$4:H$153,6,FALSE),"")</f>
        <v>101</v>
      </c>
      <c r="C51" s="29"/>
      <c r="D51" s="29"/>
      <c r="E51" s="29"/>
      <c r="F51" t="str">
        <f>IF(ISNA(VLOOKUP($A51,Factsheets!F$4:I$153,4,FALSE)),"↑ omhoog",VLOOKUP($A51,Factsheets!F$4:I$153,4,FALSE))</f>
        <v>↑ omhoog</v>
      </c>
    </row>
    <row r="52" spans="1:6" x14ac:dyDescent="0.15">
      <c r="A52">
        <f t="shared" si="0"/>
        <v>48</v>
      </c>
      <c r="B52" s="29">
        <f>IF(ISNUMBER(VLOOKUP($A52,Factsheets!B$4:H$153,6,FALSE)),VLOOKUP($A52,Factsheets!B$4:H$153,6,FALSE),"")</f>
        <v>102</v>
      </c>
      <c r="C52" s="29"/>
      <c r="D52" s="29"/>
      <c r="E52" s="29"/>
      <c r="F52" t="str">
        <f>IF(ISNA(VLOOKUP($A52,Factsheets!F$4:I$153,4,FALSE)),"↑ omhoog",VLOOKUP($A52,Factsheets!F$4:I$153,4,FALSE))</f>
        <v>↑ omhoog</v>
      </c>
    </row>
  </sheetData>
  <sortState ref="L4:L31">
    <sortCondition ref="L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Factsheets</vt:lpstr>
      <vt:lpstr>Links</vt:lpstr>
      <vt:lpstr>KE-berekening</vt:lpstr>
      <vt:lpstr>Data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Burgers, Wim (WVL)</dc:creator>
  <cp:lastModifiedBy>Burgers, Wim (WVL)</cp:lastModifiedBy>
  <dcterms:created xsi:type="dcterms:W3CDTF">2022-08-24T07:22:55Z</dcterms:created>
  <dcterms:modified xsi:type="dcterms:W3CDTF">2023-06-19T09:24:28Z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Kopie van tool KE nieuwe factsheets incl milieuwinst voor Taha.xlsx</vt:lpwstr>
  </property>
</Properties>
</file>