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wvl\LO_IM\Algemeen\OpdrachtenKR\Geluid\END\5 Vijfde ronde\Website\gezondheidseffecten correctie\"/>
    </mc:Choice>
  </mc:AlternateContent>
  <xr:revisionPtr revIDLastSave="0" documentId="13_ncr:1_{FB9BD909-BDCC-4878-9A74-BB8194472F82}" xr6:coauthVersionLast="47" xr6:coauthVersionMax="47" xr10:uidLastSave="{00000000-0000-0000-0000-000000000000}"/>
  <bookViews>
    <workbookView xWindow="-120" yWindow="-120" windowWidth="38640" windowHeight="21120" tabRatio="679" activeTab="1" xr2:uid="{34ECDF10-A76E-49E9-80BF-062259A53317}"/>
  </bookViews>
  <sheets>
    <sheet name="Samenvatting_resultaten" sheetId="12" r:id="rId1"/>
    <sheet name="Invullen_5dBklasse" sheetId="11" r:id="rId2"/>
    <sheet name="Wegverkeer hinder" sheetId="1" r:id="rId3"/>
    <sheet name="Wegverkeer slaapverstoring" sheetId="3" r:id="rId4"/>
    <sheet name="Wegverkeer IHZ" sheetId="4" r:id="rId5"/>
    <sheet name="Railverkeer hinder" sheetId="6" r:id="rId6"/>
    <sheet name="Railverkeer slaapverstoring" sheetId="7" r:id="rId7"/>
    <sheet name="Hinder vliegverkeer" sheetId="8" r:id="rId8"/>
    <sheet name="Slaapverstoring vliegverkeer" sheetId="9" r:id="rId9"/>
    <sheet name="Bevolkingsgegevens" sheetId="2" r:id="rId10"/>
    <sheet name="coronaire hartziekten" sheetId="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1" l="1"/>
  <c r="K31" i="11"/>
  <c r="K32" i="11"/>
  <c r="K33" i="11"/>
  <c r="K34" i="11"/>
  <c r="K35" i="11"/>
  <c r="J31" i="11"/>
  <c r="J32" i="11"/>
  <c r="J33" i="11"/>
  <c r="C13" i="12" s="1"/>
  <c r="J34" i="11"/>
  <c r="J35" i="11"/>
  <c r="J30" i="11"/>
  <c r="L30" i="11"/>
  <c r="L31" i="11"/>
  <c r="E13" i="12" s="1"/>
  <c r="L32" i="11"/>
  <c r="L33" i="11"/>
  <c r="L34" i="11"/>
  <c r="L35" i="11"/>
  <c r="D13" i="12"/>
  <c r="E12" i="12"/>
  <c r="D12" i="12"/>
  <c r="C12" i="12"/>
  <c r="C11" i="12"/>
  <c r="D11" i="12" s="1"/>
  <c r="E11" i="12" s="1"/>
  <c r="E5" i="6" l="1"/>
  <c r="E6" i="6"/>
  <c r="E7" i="6"/>
  <c r="E8" i="6"/>
  <c r="E9" i="6"/>
  <c r="E10" i="6"/>
  <c r="E11" i="6"/>
  <c r="E12" i="6"/>
  <c r="E13" i="6"/>
  <c r="E14" i="6"/>
  <c r="N5" i="6" l="1"/>
  <c r="C15" i="4"/>
  <c r="D20" i="5"/>
  <c r="E8" i="7"/>
  <c r="E9" i="7"/>
  <c r="E10" i="7"/>
  <c r="E11" i="7"/>
  <c r="E12" i="7"/>
  <c r="E13" i="7"/>
  <c r="E8" i="3"/>
  <c r="E9" i="3"/>
  <c r="E10" i="3"/>
  <c r="E11" i="3"/>
  <c r="E12" i="3"/>
  <c r="E13" i="3"/>
  <c r="L26" i="11"/>
  <c r="L27" i="11"/>
  <c r="E7" i="9" s="1"/>
  <c r="L28" i="11"/>
  <c r="E8" i="9" s="1"/>
  <c r="L29" i="11"/>
  <c r="E9" i="9" s="1"/>
  <c r="E11" i="9"/>
  <c r="E12" i="9"/>
  <c r="E10" i="9"/>
  <c r="K29" i="11"/>
  <c r="E7" i="7" s="1"/>
  <c r="K28" i="11"/>
  <c r="E6" i="7" s="1"/>
  <c r="J28" i="11"/>
  <c r="E6" i="3" s="1"/>
  <c r="J29" i="11"/>
  <c r="E7" i="3" s="1"/>
  <c r="E34" i="11"/>
  <c r="E14" i="8" s="1"/>
  <c r="E33" i="11"/>
  <c r="E13" i="8" s="1"/>
  <c r="E32" i="11"/>
  <c r="E12" i="8" s="1"/>
  <c r="E31" i="11"/>
  <c r="E11" i="8" s="1"/>
  <c r="E30" i="11"/>
  <c r="E10" i="8" s="1"/>
  <c r="E29" i="11"/>
  <c r="E28" i="11" s="1"/>
  <c r="E8" i="8" s="1"/>
  <c r="D34" i="11"/>
  <c r="D33" i="11"/>
  <c r="D32" i="11"/>
  <c r="D31" i="11"/>
  <c r="D30" i="11"/>
  <c r="D29" i="11"/>
  <c r="C30" i="11"/>
  <c r="E10" i="1" s="1"/>
  <c r="C31" i="11"/>
  <c r="C32" i="11"/>
  <c r="E12" i="1" s="1"/>
  <c r="C33" i="11"/>
  <c r="E13" i="1" s="1"/>
  <c r="C34" i="11"/>
  <c r="E14" i="1" s="1"/>
  <c r="C29" i="11"/>
  <c r="E9" i="1" s="1"/>
  <c r="O5" i="3" l="1"/>
  <c r="E6" i="4"/>
  <c r="E9" i="4"/>
  <c r="E11" i="4"/>
  <c r="E8" i="4"/>
  <c r="J25" i="11"/>
  <c r="E5" i="3" s="1"/>
  <c r="E10" i="4"/>
  <c r="E7" i="4"/>
  <c r="K25" i="11"/>
  <c r="D28" i="11"/>
  <c r="E27" i="11"/>
  <c r="E7" i="8" s="1"/>
  <c r="E9" i="8"/>
  <c r="C27" i="11"/>
  <c r="E7" i="1" s="1"/>
  <c r="D27" i="11"/>
  <c r="L25" i="11"/>
  <c r="E5" i="9" s="1"/>
  <c r="F5" i="9" s="1"/>
  <c r="E6" i="9"/>
  <c r="E11" i="1"/>
  <c r="O5" i="1" s="1"/>
  <c r="C26" i="11"/>
  <c r="D26" i="11"/>
  <c r="D25" i="11" s="1"/>
  <c r="E26" i="11"/>
  <c r="C28" i="11"/>
  <c r="E8" i="1" s="1"/>
  <c r="C25" i="11" l="1"/>
  <c r="E6" i="8"/>
  <c r="E25" i="11"/>
  <c r="E5" i="8" s="1"/>
  <c r="E5" i="4"/>
  <c r="E5" i="7"/>
  <c r="E5" i="1"/>
  <c r="E6" i="1"/>
  <c r="N4" i="9" l="1"/>
  <c r="G10" i="9"/>
  <c r="G9" i="9"/>
  <c r="G8" i="9"/>
  <c r="G7" i="9"/>
  <c r="F12" i="9"/>
  <c r="F11" i="9"/>
  <c r="F10" i="9"/>
  <c r="H10" i="9" s="1"/>
  <c r="F9" i="9"/>
  <c r="H9" i="9" s="1"/>
  <c r="F8" i="9"/>
  <c r="F7" i="9"/>
  <c r="H7" i="9" s="1"/>
  <c r="F6" i="9"/>
  <c r="E13" i="9"/>
  <c r="N5" i="9" s="1"/>
  <c r="G12" i="9"/>
  <c r="G11" i="9"/>
  <c r="G6" i="9"/>
  <c r="G14" i="8"/>
  <c r="G13" i="8"/>
  <c r="G12" i="8"/>
  <c r="G11" i="8"/>
  <c r="G10" i="8"/>
  <c r="G9" i="8"/>
  <c r="G8" i="8"/>
  <c r="G7" i="8"/>
  <c r="G6" i="8"/>
  <c r="F14" i="8"/>
  <c r="H14" i="8" s="1"/>
  <c r="F13" i="8"/>
  <c r="H13" i="8" s="1"/>
  <c r="F12" i="8"/>
  <c r="H12" i="8" s="1"/>
  <c r="F11" i="8"/>
  <c r="H11" i="8" s="1"/>
  <c r="F10" i="8"/>
  <c r="F9" i="8"/>
  <c r="H9" i="8" s="1"/>
  <c r="F8" i="8"/>
  <c r="H8" i="8" s="1"/>
  <c r="F6" i="8"/>
  <c r="N5" i="8"/>
  <c r="F5" i="8"/>
  <c r="H6" i="9" l="1"/>
  <c r="H11" i="9"/>
  <c r="H12" i="9"/>
  <c r="H10" i="8"/>
  <c r="N8" i="8" s="1"/>
  <c r="E4" i="12" s="1"/>
  <c r="H8" i="9"/>
  <c r="F13" i="9"/>
  <c r="F7" i="8"/>
  <c r="H7" i="8" s="1"/>
  <c r="H6" i="8"/>
  <c r="E15" i="8"/>
  <c r="N6" i="8" s="1"/>
  <c r="N7" i="9" l="1"/>
  <c r="E8" i="12" s="1"/>
  <c r="H13" i="9"/>
  <c r="N6" i="9" s="1"/>
  <c r="E9" i="12" s="1"/>
  <c r="F15" i="8"/>
  <c r="H15" i="8"/>
  <c r="N7" i="8" s="1"/>
  <c r="E5" i="12" s="1"/>
  <c r="G13" i="7" l="1"/>
  <c r="G12" i="7"/>
  <c r="G11" i="7"/>
  <c r="G10" i="7"/>
  <c r="G9" i="7"/>
  <c r="G8" i="7"/>
  <c r="G7" i="7"/>
  <c r="G6" i="7"/>
  <c r="H13" i="7"/>
  <c r="F12" i="7"/>
  <c r="F11" i="7"/>
  <c r="F10" i="7"/>
  <c r="H10" i="7" s="1"/>
  <c r="F9" i="7"/>
  <c r="F8" i="7"/>
  <c r="F7" i="7"/>
  <c r="F6" i="7"/>
  <c r="F5" i="7"/>
  <c r="N4" i="7"/>
  <c r="G14" i="6"/>
  <c r="G13" i="6"/>
  <c r="G12" i="6"/>
  <c r="G9" i="6"/>
  <c r="G7" i="6"/>
  <c r="G6" i="6"/>
  <c r="F14" i="6"/>
  <c r="H14" i="6" s="1"/>
  <c r="F11" i="4"/>
  <c r="F14" i="1"/>
  <c r="G14" i="1"/>
  <c r="F13" i="6"/>
  <c r="F12" i="6"/>
  <c r="F11" i="6"/>
  <c r="F10" i="6"/>
  <c r="F9" i="6"/>
  <c r="G8" i="6"/>
  <c r="F7" i="6"/>
  <c r="G13" i="3"/>
  <c r="H13" i="3" s="1"/>
  <c r="F14" i="7" l="1"/>
  <c r="H8" i="7"/>
  <c r="H12" i="7"/>
  <c r="H9" i="7"/>
  <c r="H6" i="7"/>
  <c r="H11" i="7"/>
  <c r="H7" i="7"/>
  <c r="E14" i="7"/>
  <c r="N5" i="7" s="1"/>
  <c r="G10" i="6"/>
  <c r="H10" i="6" s="1"/>
  <c r="G11" i="6"/>
  <c r="H11" i="6" s="1"/>
  <c r="H12" i="6"/>
  <c r="H9" i="6"/>
  <c r="F6" i="6"/>
  <c r="H6" i="6" s="1"/>
  <c r="H13" i="6"/>
  <c r="H14" i="1"/>
  <c r="H7" i="6"/>
  <c r="F5" i="6"/>
  <c r="F8" i="6"/>
  <c r="H8" i="6" s="1"/>
  <c r="N8" i="6" l="1"/>
  <c r="D4" i="12" s="1"/>
  <c r="H14" i="7"/>
  <c r="N6" i="7" s="1"/>
  <c r="D9" i="12" s="1"/>
  <c r="N7" i="7"/>
  <c r="D8" i="12" s="1"/>
  <c r="H15" i="6"/>
  <c r="N7" i="6" s="1"/>
  <c r="D5" i="12" s="1"/>
  <c r="F15" i="6"/>
  <c r="E15" i="6"/>
  <c r="N6" i="6" s="1"/>
  <c r="G12" i="3" l="1"/>
  <c r="G11" i="3"/>
  <c r="G9" i="3"/>
  <c r="G6" i="3"/>
  <c r="F12" i="3"/>
  <c r="F11" i="3"/>
  <c r="F10" i="3"/>
  <c r="F9" i="3"/>
  <c r="F8" i="3"/>
  <c r="F6" i="3"/>
  <c r="H6" i="3" s="1"/>
  <c r="G10" i="3"/>
  <c r="G8" i="3"/>
  <c r="G7" i="3"/>
  <c r="H11" i="3" l="1"/>
  <c r="H9" i="3"/>
  <c r="H12" i="3"/>
  <c r="H8" i="3"/>
  <c r="H10" i="3"/>
  <c r="F7" i="3"/>
  <c r="H7" i="3" s="1"/>
  <c r="F10" i="4"/>
  <c r="F5" i="4"/>
  <c r="F9" i="4"/>
  <c r="F8" i="4"/>
  <c r="F7" i="4"/>
  <c r="F6" i="4"/>
  <c r="M6" i="4"/>
  <c r="G6" i="1"/>
  <c r="G13" i="1"/>
  <c r="F13" i="1"/>
  <c r="F12" i="1"/>
  <c r="F11" i="1"/>
  <c r="F10" i="1"/>
  <c r="F9" i="1"/>
  <c r="G12" i="1"/>
  <c r="G11" i="1"/>
  <c r="G10" i="1"/>
  <c r="G9" i="1"/>
  <c r="G8" i="1"/>
  <c r="G7" i="1"/>
  <c r="M23" i="5"/>
  <c r="N12" i="5"/>
  <c r="H12" i="5"/>
  <c r="H11" i="5"/>
  <c r="H10" i="5"/>
  <c r="H9" i="5"/>
  <c r="O8" i="3" l="1"/>
  <c r="C8" i="12" s="1"/>
  <c r="F8" i="1"/>
  <c r="H8" i="1" s="1"/>
  <c r="E14" i="3"/>
  <c r="O6" i="3" s="1"/>
  <c r="F5" i="3"/>
  <c r="F14" i="3" s="1"/>
  <c r="H12" i="1"/>
  <c r="H13" i="1"/>
  <c r="H10" i="1"/>
  <c r="H9" i="1"/>
  <c r="H11" i="1"/>
  <c r="F7" i="1"/>
  <c r="H7" i="1" s="1"/>
  <c r="F5" i="1"/>
  <c r="O8" i="1" l="1"/>
  <c r="C4" i="12" s="1"/>
  <c r="E12" i="4"/>
  <c r="M5" i="4" s="1"/>
  <c r="F6" i="1"/>
  <c r="H6" i="1" s="1"/>
  <c r="E15" i="1"/>
  <c r="O6" i="1" s="1"/>
  <c r="F15" i="1" l="1"/>
  <c r="H14" i="3"/>
  <c r="O7" i="3" s="1"/>
  <c r="C9" i="12" s="1"/>
  <c r="G11" i="4"/>
  <c r="H15" i="1"/>
  <c r="O7" i="1" s="1"/>
  <c r="C5" i="12" s="1"/>
  <c r="G8" i="4"/>
  <c r="G10" i="4"/>
  <c r="G7" i="4"/>
  <c r="G6" i="4"/>
  <c r="G9" i="4"/>
  <c r="G5" i="4"/>
  <c r="C14" i="4" l="1"/>
  <c r="C16" i="4" s="1"/>
  <c r="C6" i="12" s="1"/>
  <c r="L7" i="2"/>
  <c r="F112" i="2"/>
  <c r="L6"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L5" i="2"/>
  <c r="E112" i="2"/>
  <c r="D112" i="2"/>
  <c r="M7" i="4" l="1"/>
</calcChain>
</file>

<file path=xl/sharedStrings.xml><?xml version="1.0" encoding="utf-8"?>
<sst xmlns="http://schemas.openxmlformats.org/spreadsheetml/2006/main" count="313" uniqueCount="202">
  <si>
    <t>Ondergrens (&gt;=)</t>
  </si>
  <si>
    <t>Bovengrens (&lt;)</t>
  </si>
  <si>
    <t>Gemiddelde blootstelling</t>
  </si>
  <si>
    <t>Aantal mensen</t>
  </si>
  <si>
    <t xml:space="preserve"> </t>
  </si>
  <si>
    <t>Aantal personen op 1 januari</t>
  </si>
  <si>
    <t>Leeftijd</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</si>
  <si>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</si>
  <si>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</si>
  <si>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</si>
  <si>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</si>
  <si>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</si>
  <si>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</si>
  <si>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</si>
  <si>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</si>
  <si>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</si>
  <si>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</si>
  <si>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</si>
  <si>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</si>
  <si>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</si>
  <si>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</si>
  <si>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</si>
  <si>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</si>
  <si>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</si>
  <si>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</si>
  <si>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</si>
  <si>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</si>
  <si>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</si>
  <si>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</si>
  <si>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</si>
  <si>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</si>
  <si>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</si>
  <si>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</si>
  <si>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</si>
  <si>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</si>
  <si>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</si>
  <si>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</si>
  <si>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</si>
  <si>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</si>
  <si>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</si>
  <si>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</si>
  <si>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</si>
  <si>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</si>
  <si>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</si>
  <si>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</si>
  <si>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</si>
  <si>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</si>
  <si>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</si>
  <si>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</si>
  <si>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</si>
  <si>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</si>
  <si>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</si>
  <si>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</si>
  <si>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</si>
  <si>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</si>
  <si>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</si>
  <si>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</si>
  <si>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</si>
  <si>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</si>
  <si>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</si>
  <si>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</si>
  <si>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</si>
  <si>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</si>
  <si>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</si>
  <si>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</si>
  <si>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</si>
  <si>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</si>
  <si>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</si>
  <si>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</si>
  <si>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</si>
  <si>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</si>
  <si>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</si>
  <si>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</si>
  <si>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</si>
  <si>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</si>
  <si>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</si>
  <si>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</si>
  <si>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</si>
  <si>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</si>
  <si>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</si>
  <si>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</si>
  <si>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</si>
  <si>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</si>
  <si>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</si>
  <si>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</si>
  <si>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</si>
  <si>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</si>
  <si>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</si>
  <si>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</si>
  <si>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</si>
  <si>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</si>
  <si>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</si>
  <si>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</si>
  <si>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t>
  </si>
  <si>
    <t>87 jaar</t>
  </si>
  <si>
    <t>88 jaar</t>
  </si>
  <si>
    <t>89 jaar</t>
  </si>
  <si>
    <t>90 jaar</t>
  </si>
  <si>
    <t>91 jaar</t>
  </si>
  <si>
    <t>92 jaar</t>
  </si>
  <si>
    <t>93 jaar</t>
  </si>
  <si>
    <t>94 jaar</t>
  </si>
  <si>
    <t>95 jaar</t>
  </si>
  <si>
    <t>96 jaar</t>
  </si>
  <si>
    <t>97 jaar</t>
  </si>
  <si>
    <t>98 jaar</t>
  </si>
  <si>
    <t>99 jaar</t>
  </si>
  <si>
    <t>100 jaar</t>
  </si>
  <si>
    <t>101 jaar</t>
  </si>
  <si>
    <t>102 jaar</t>
  </si>
  <si>
    <t>103 jaar</t>
  </si>
  <si>
    <t>104 jaar</t>
  </si>
  <si>
    <t>105 jaar of ouder</t>
  </si>
  <si>
    <t>Totaal</t>
  </si>
  <si>
    <t>Aantal personen van 18 jaar en ouder in 2021</t>
  </si>
  <si>
    <t>Totaal in 2021</t>
  </si>
  <si>
    <t>Fractie mensen van 18 jr en ouder</t>
  </si>
  <si>
    <t>Kans op ernstige hinder (per 100)</t>
  </si>
  <si>
    <t>Aantal mensen van 18 jaar en ouder</t>
  </si>
  <si>
    <t>Gezondheidseffect</t>
  </si>
  <si>
    <t>Blootstellingsklasse (Lden)</t>
  </si>
  <si>
    <t>Aantal ernstig gehinderde personen</t>
  </si>
  <si>
    <t>Indicator</t>
  </si>
  <si>
    <t>Blootstellingsklasse (Lnight)</t>
  </si>
  <si>
    <t>Kans op ernstige slaapverstoring (per 100)</t>
  </si>
  <si>
    <t>Aantal ernstig slaapverstoorde personen</t>
  </si>
  <si>
    <t>RR per klasse</t>
  </si>
  <si>
    <t>n/N*(RR-1) per klasse</t>
  </si>
  <si>
    <t>Nieuwe gevallen in 2021</t>
  </si>
  <si>
    <t>Aandoening</t>
  </si>
  <si>
    <t>Angina Pectoris (K74)</t>
  </si>
  <si>
    <t>Acuut myocardinfarct (AMI; K75)</t>
  </si>
  <si>
    <t>Andere/chronische ischemische hartziekte (K76)</t>
  </si>
  <si>
    <t>Aantallen per 1000 personen</t>
  </si>
  <si>
    <t>Mannen</t>
  </si>
  <si>
    <t>Vrouwen</t>
  </si>
  <si>
    <t>Absolute aantallen</t>
  </si>
  <si>
    <t>Bron: vzinfo.nl, Nivel Zorgregistraties eerste lijn (huisartsenregistraties)</t>
  </si>
  <si>
    <t>Bron: OECD Health database, hospital discharges by diagnostic categories in The Netherlands in 2021</t>
  </si>
  <si>
    <t>Angina pectoris</t>
  </si>
  <si>
    <t>Absolute number</t>
  </si>
  <si>
    <t>Afkomstig van de Landelijke Basisregistratie Ziekenhuiszorg en Landelijke Medische registratie van Nederlandse Ziekenhuisgegevens (DHD)</t>
  </si>
  <si>
    <t>Acute myocardial infarction</t>
  </si>
  <si>
    <t>Other ischaemic heart diseases</t>
  </si>
  <si>
    <t>per 100 000 population</t>
  </si>
  <si>
    <t>European Heart Network, European Cardiovascular Disease statistics , 2021</t>
  </si>
  <si>
    <t>Age-standardized incidence of ischeamic heart disease in the Netherlands</t>
  </si>
  <si>
    <t>267 per 100.000</t>
  </si>
  <si>
    <t>Source: Timmis et al European society of cardiology: cardiovascular disease statistics 2021; European Heart Journal, 43(8):717-799</t>
  </si>
  <si>
    <t>Deze alleen gebruiken als je vergelijkingen wilt maken met andere landen (dit cijfer houdt rekening met verschillen in leeftijdsopbouw tussen landen). Maar dat is nu niet nodig</t>
  </si>
  <si>
    <t>Aantal gevallen IHD toe te schrijven aan geluid wegverkeer</t>
  </si>
  <si>
    <t>PAFoverall</t>
  </si>
  <si>
    <t>Absoluut gaat het dan om</t>
  </si>
  <si>
    <t>gevallen per jaar</t>
  </si>
  <si>
    <t xml:space="preserve">Je zou deze ook kunnen gebruiken, maar dit zijn alle mensen die naar de huisarts gaan. </t>
  </si>
  <si>
    <t>Een groot deel gaat ook naar het ziekenhuis. Sommigen gaan direct naar het ziekenhuis</t>
  </si>
  <si>
    <t>Dit getal is lager dan het getal van het NIVEL. Het gaat hier alleen om mensen die in het ziekenhuis hebben gelegen</t>
  </si>
  <si>
    <t>Let op: dit is voor de HELE bevolking. Maar als je alleen naar 55 dB of hoger kijkt, wonen er natuurlijk minder mensen en is het aantal gevallen natuurlijk lager</t>
  </si>
  <si>
    <t>Totaal aantal mensen blootgesteld aan 55 dB (Lden) of meer</t>
  </si>
  <si>
    <t>Schatting van totaal aantal mensen in studiegebied</t>
  </si>
  <si>
    <t>Schatting van totaal aantal ernstig gehinderden in gehele gebied</t>
  </si>
  <si>
    <t>Aantal ernstig gehinderden blootgesteld aan 55 dB (Lden) of meer</t>
  </si>
  <si>
    <t>Ernstige hinder door geluid van wegverkeer in agglomeraties (ongeacht type weg)</t>
  </si>
  <si>
    <t>Ernstige slaapverstoring door geluid van wegverkeer in agglomeraties</t>
  </si>
  <si>
    <t>Totaal aantal mensen blootgesteld aan 50 dB (Lnight) of meer</t>
  </si>
  <si>
    <t>Schatting van totaal aantal ernstig slaapverstoorden in gehele gebied</t>
  </si>
  <si>
    <t>Aantal ernstig slaapverstoord blootgesteld aan 50 dB (Lnight) of meer</t>
  </si>
  <si>
    <t>Ischemische hartziekten t.g.v. geluid van wegverkeer in agglomeraties</t>
  </si>
  <si>
    <t>Aantal IHD totale gebied door wegverkeer</t>
  </si>
  <si>
    <t>Ernstige slaapverstoring door geluid van railverkeer in agglomeraties</t>
  </si>
  <si>
    <t>Ernstige hinder door geluid van railverkeer in agglomeraties (ongeacht type spoor)</t>
  </si>
  <si>
    <t>&lt;53</t>
  </si>
  <si>
    <t>Aantal inwoners in studiegebied</t>
  </si>
  <si>
    <t>van</t>
  </si>
  <si>
    <t>tot</t>
  </si>
  <si>
    <t>Wegverkeer</t>
  </si>
  <si>
    <t>Railverkeer</t>
  </si>
  <si>
    <t>Luchtvaart</t>
  </si>
  <si>
    <t>Aantal inwoners studiegebied (gemeente/agglomeratie)</t>
  </si>
  <si>
    <t>Geschat aantal ernstig gehinderden onder alle inwoners</t>
  </si>
  <si>
    <t>Aantal ernstig gehinderden onder inwoners met geluidbelasting &gt; 55dB</t>
  </si>
  <si>
    <t>Geschat aantal ernstig slaapvertoorden onder alle inwoners</t>
  </si>
  <si>
    <t>Samenvatting resultaat berekening</t>
  </si>
  <si>
    <t>Aantal ernstig slaapvertoorden onder inwoners met geluidbelasting &gt; 50dB</t>
  </si>
  <si>
    <t>Totale bevolkingsomvang medio 2021</t>
  </si>
  <si>
    <t>Incidentie Coronaire hartziekten in NL</t>
  </si>
  <si>
    <t>Gebruikte Incidentie</t>
  </si>
  <si>
    <t>De donker groene cellen zijn verplicht, de licht groene cellen zijn optioneel</t>
  </si>
  <si>
    <t>Gebruikte verdeling (zo nodig geschat) voor geluidbelastingsklassen Agglomeraties</t>
  </si>
  <si>
    <t>In te vullen gegevens</t>
  </si>
  <si>
    <t>Aantal</t>
  </si>
  <si>
    <t>Ernstige hinder door geluid van vliegverkeer</t>
  </si>
  <si>
    <t>Deze sheet is voor agglomeraties/gemeenten. Ook grote bronnen dienen hier te worden betrokken bij de geluidbronsoort</t>
  </si>
  <si>
    <t>Totaal aantal gevallen van IHD per jaar toe te schrijven aan geluid wegverkeer in studiegebied</t>
  </si>
  <si>
    <t>Aantal geluidbelaste inwoners (Lden)</t>
  </si>
  <si>
    <t>Aantal geluidbelaste inwoners (Lnight)</t>
  </si>
  <si>
    <t>Lden (geschatte/ingevulde) verdeling</t>
  </si>
  <si>
    <t>Ldnight (geschatte/ingevulde) verdeling</t>
  </si>
  <si>
    <t>Aantal inwoners studiegebied</t>
  </si>
  <si>
    <t>Aantal inwoners &gt; 55dB Lden</t>
  </si>
  <si>
    <t>Aantal inwoners &gt; 50dB Lnight</t>
  </si>
  <si>
    <t>correctie maart 2026: Lnight weg en railverkeer voor geluidbelastingklassen vanaf 50 dB is nu een verwijzing naar de tabel erboven gemaakt (hier waren in de vorige versie per abuiten getallen ingevuld) (celllen J30, K30 en L30 en de cellen daaronder)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</si>
</sst>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7" x14ac:knownFonts="1">
    <font>
      <sz val="11"/>
      <color theme="1"/>
      <name val="Calibri"/>
      <family val="2"/>
      <scheme val="minor"/>
    </font>
    <font>
      <sz val="10"/>
      <color theme="1"/>
      <name val="Arial"/>
      <family val="2"/>
    </font>
    <font>
      <b/>
      <sz val="10"/>
      <color theme="1"/>
      <name val="Arial"/>
      <family val="2"/>
    </font>
    <font>
      <b/>
      <sz val="14"/>
      <color theme="1"/>
      <name val="Arial"/>
      <family val="2"/>
    </font>
    <font>
      <b/>
      <sz val="11"/>
      <color theme="1"/>
      <name val="Calibri"/>
      <family val="2"/>
      <scheme val="minor"/>
    </font>
    <font>
      <b/>
      <sz val="12"/>
      <color theme="1"/>
      <name val="Arial"/>
      <family val="2"/>
    </font>
    <font>
      <b/>
      <i/>
      <sz val="12"/>
      <color theme="1"/>
      <name val="Arial"/>
      <family val="2"/>
    </font>
    <font>
      <i/>
      <sz val="10"/>
      <color theme="1"/>
      <name val="Arial"/>
      <family val="2"/>
    </font>
    <font>
      <sz val="10"/>
      <color indexed="8"/>
      <name val="Arial"/>
      <family val="2"/>
    </font>
    <font>
      <i/>
      <sz val="10"/>
      <name val="Arial"/>
      <family val="2"/>
    </font>
    <font>
      <sz val="11"/>
      <name val="Calibri"/>
      <family val="2"/>
      <scheme val="minor"/>
    </font>
    <font>
      <b/>
      <sz val="12"/>
      <color theme="2" tint="-0.499984740745262"/>
      <name val="Arial"/>
      <family val="2"/>
    </font>
    <font>
      <sz val="10"/>
      <color theme="2" tint="-0.499984740745262"/>
      <name val="Arial"/>
      <family val="2"/>
    </font>
    <font>
      <i/>
      <sz val="10"/>
      <color theme="2" tint="-0.499984740745262"/>
      <name val="Arial"/>
      <family val="2"/>
    </font>
    <font>
      <b/>
      <sz val="14"/>
      <color rgb="FFFF0000"/>
      <name val="Calibri"/>
      <family val="2"/>
      <scheme val="minor"/>
    </font>
    <font>
      <sz val="10"/>
      <color theme="1"/>
      <name val="Calibri"/>
      <family val="2"/>
      <scheme val="minor"/>
    </font>
    <font>
      <sz val="10"/>
      <name val="Calibri"/>
      <family val="2"/>
      <scheme val="minor"/>
    </font>
  </fonts>
  <fills count="12">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8" fillId="0" borderId="0"/>
  </cellStyleXfs>
  <cellXfs count="107">
    <xf numFmtId="0" fontId="0" fillId="0" borderId="0" xfId="0"/>
    <xf numFmtId="0" fontId="1" fillId="0" borderId="0" xfId="0" applyFont="1"/>
    <xf numFmtId="1" fontId="1" fillId="0" borderId="0" xfId="0" applyNumberFormat="1" applyFont="1"/>
    <xf numFmtId="0" fontId="2" fillId="0" borderId="0" xfId="0" applyFont="1"/>
    <xf numFmtId="0" fontId="3" fillId="0" borderId="0" xfId="0" applyFont="1"/>
    <xf numFmtId="0" fontId="1" fillId="5" borderId="2" xfId="0" applyFont="1" applyFill="1" applyBorder="1"/>
    <xf numFmtId="1" fontId="1" fillId="5" borderId="2" xfId="0" applyNumberFormat="1" applyFont="1" applyFill="1" applyBorder="1"/>
    <xf numFmtId="1" fontId="1" fillId="6" borderId="2" xfId="0" applyNumberFormat="1" applyFont="1" applyFill="1" applyBorder="1"/>
    <xf numFmtId="0" fontId="2" fillId="5" borderId="2" xfId="0" applyFont="1" applyFill="1" applyBorder="1"/>
    <xf numFmtId="0" fontId="2" fillId="7" borderId="2" xfId="0" applyFont="1" applyFill="1" applyBorder="1"/>
    <xf numFmtId="0" fontId="1" fillId="7" borderId="2" xfId="0" applyFont="1" applyFill="1" applyBorder="1"/>
    <xf numFmtId="0" fontId="2" fillId="0" borderId="0" xfId="0" applyFont="1" applyAlignment="1">
      <alignment wrapText="1"/>
    </xf>
    <xf numFmtId="0" fontId="5" fillId="0" borderId="0" xfId="0" applyFont="1"/>
    <xf numFmtId="0" fontId="6" fillId="0" borderId="0" xfId="0" applyFont="1"/>
    <xf numFmtId="0" fontId="1" fillId="0" borderId="0" xfId="0" applyFont="1" applyAlignment="1">
      <alignment wrapText="1"/>
    </xf>
    <xf numFmtId="0" fontId="7" fillId="0" borderId="0" xfId="0" applyFont="1"/>
    <xf numFmtId="1" fontId="2" fillId="0" borderId="0" xfId="0" applyNumberFormat="1" applyFont="1"/>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7" borderId="2" xfId="0" applyFont="1" applyFill="1" applyBorder="1" applyAlignment="1">
      <alignment horizontal="center"/>
    </xf>
    <xf numFmtId="0" fontId="1" fillId="5" borderId="2" xfId="0" applyFont="1" applyFill="1" applyBorder="1" applyAlignment="1">
      <alignment horizontal="center"/>
    </xf>
    <xf numFmtId="0" fontId="1" fillId="5" borderId="5" xfId="0" applyFont="1" applyFill="1" applyBorder="1" applyAlignment="1">
      <alignment horizontal="center"/>
    </xf>
    <xf numFmtId="0" fontId="0" fillId="5" borderId="2" xfId="0" applyFill="1" applyBorder="1" applyAlignment="1">
      <alignment horizontal="center"/>
    </xf>
    <xf numFmtId="164" fontId="1" fillId="0" borderId="0" xfId="0" applyNumberFormat="1" applyFont="1"/>
    <xf numFmtId="0" fontId="7" fillId="6" borderId="2" xfId="0" applyFont="1" applyFill="1" applyBorder="1"/>
    <xf numFmtId="165" fontId="1" fillId="0" borderId="0" xfId="0" applyNumberFormat="1" applyFont="1" applyAlignment="1">
      <alignment horizontal="center"/>
    </xf>
    <xf numFmtId="0" fontId="1" fillId="3" borderId="2" xfId="0" applyFont="1" applyFill="1" applyBorder="1" applyAlignment="1">
      <alignment horizontal="center"/>
    </xf>
    <xf numFmtId="0" fontId="4" fillId="0" borderId="0" xfId="0" applyFont="1" applyAlignment="1">
      <alignment horizontal="center" vertical="center"/>
    </xf>
    <xf numFmtId="1" fontId="0" fillId="5" borderId="2" xfId="0" applyNumberFormat="1" applyFill="1" applyBorder="1" applyAlignment="1">
      <alignment horizontal="center"/>
    </xf>
    <xf numFmtId="1" fontId="2" fillId="5" borderId="2" xfId="0" applyNumberFormat="1" applyFont="1" applyFill="1" applyBorder="1" applyAlignment="1">
      <alignment horizontal="center"/>
    </xf>
    <xf numFmtId="0" fontId="2" fillId="5" borderId="2" xfId="0" applyFont="1" applyFill="1" applyBorder="1" applyAlignment="1">
      <alignment horizontal="center"/>
    </xf>
    <xf numFmtId="1" fontId="2" fillId="6" borderId="2" xfId="0" applyNumberFormat="1" applyFont="1" applyFill="1" applyBorder="1" applyAlignment="1">
      <alignment horizontal="center"/>
    </xf>
    <xf numFmtId="1" fontId="1" fillId="4" borderId="2" xfId="0" applyNumberFormat="1" applyFont="1" applyFill="1" applyBorder="1" applyAlignment="1">
      <alignment horizontal="center"/>
    </xf>
    <xf numFmtId="0" fontId="10" fillId="5" borderId="2" xfId="0" applyFont="1" applyFill="1" applyBorder="1" applyAlignment="1">
      <alignment horizontal="center"/>
    </xf>
    <xf numFmtId="0" fontId="7" fillId="5" borderId="2" xfId="0" applyFont="1" applyFill="1" applyBorder="1" applyAlignment="1">
      <alignment horizontal="center"/>
    </xf>
    <xf numFmtId="1" fontId="1" fillId="5" borderId="2" xfId="0" applyNumberFormat="1" applyFont="1" applyFill="1" applyBorder="1" applyAlignment="1">
      <alignment horizontal="center"/>
    </xf>
    <xf numFmtId="2" fontId="1" fillId="5" borderId="2" xfId="0" applyNumberFormat="1" applyFont="1" applyFill="1" applyBorder="1" applyAlignment="1">
      <alignment horizontal="center"/>
    </xf>
    <xf numFmtId="2" fontId="1" fillId="5" borderId="5" xfId="0" applyNumberFormat="1" applyFont="1" applyFill="1" applyBorder="1" applyAlignment="1">
      <alignment horizontal="center"/>
    </xf>
    <xf numFmtId="2" fontId="1" fillId="5" borderId="3" xfId="0" applyNumberFormat="1" applyFont="1" applyFill="1" applyBorder="1" applyAlignment="1">
      <alignment horizontal="center"/>
    </xf>
    <xf numFmtId="164" fontId="1" fillId="5" borderId="2" xfId="0" applyNumberFormat="1" applyFont="1" applyFill="1" applyBorder="1" applyAlignment="1">
      <alignment horizontal="center"/>
    </xf>
    <xf numFmtId="0" fontId="9" fillId="5" borderId="2" xfId="1" applyFont="1" applyFill="1" applyBorder="1" applyAlignment="1">
      <alignment horizontal="center"/>
    </xf>
    <xf numFmtId="0" fontId="1" fillId="0" borderId="2" xfId="0" applyFont="1" applyBorder="1"/>
    <xf numFmtId="0" fontId="11" fillId="0" borderId="0" xfId="0" applyFont="1"/>
    <xf numFmtId="0" fontId="12" fillId="0" borderId="0" xfId="0" applyFont="1"/>
    <xf numFmtId="1" fontId="12" fillId="0" borderId="0" xfId="0" applyNumberFormat="1" applyFont="1"/>
    <xf numFmtId="0" fontId="13" fillId="0" borderId="0" xfId="0" applyFont="1"/>
    <xf numFmtId="0" fontId="1" fillId="0" borderId="0" xfId="0" applyFont="1" applyAlignment="1">
      <alignment horizontal="center"/>
    </xf>
    <xf numFmtId="0" fontId="2" fillId="0" borderId="0" xfId="0" applyFont="1" applyAlignment="1">
      <alignment horizontal="center"/>
    </xf>
    <xf numFmtId="0" fontId="14" fillId="0" borderId="0" xfId="0" applyFont="1"/>
    <xf numFmtId="1" fontId="1" fillId="6" borderId="2" xfId="0" applyNumberFormat="1" applyFont="1" applyFill="1" applyBorder="1" applyAlignment="1">
      <alignment horizontal="center"/>
    </xf>
    <xf numFmtId="164" fontId="1" fillId="4" borderId="2" xfId="0" applyNumberFormat="1" applyFont="1" applyFill="1" applyBorder="1" applyAlignment="1">
      <alignment horizontal="center"/>
    </xf>
    <xf numFmtId="0" fontId="1" fillId="4" borderId="2" xfId="0" applyFont="1" applyFill="1" applyBorder="1" applyAlignment="1">
      <alignment horizontal="center"/>
    </xf>
    <xf numFmtId="0" fontId="1" fillId="7" borderId="2" xfId="0" applyFont="1" applyFill="1" applyBorder="1" applyAlignment="1">
      <alignment horizontal="center"/>
    </xf>
    <xf numFmtId="0" fontId="15" fillId="5" borderId="2" xfId="0" applyFont="1" applyFill="1" applyBorder="1" applyAlignment="1">
      <alignment horizontal="center"/>
    </xf>
    <xf numFmtId="0" fontId="16" fillId="5" borderId="2" xfId="0" applyFont="1" applyFill="1" applyBorder="1" applyAlignment="1">
      <alignment horizontal="center"/>
    </xf>
    <xf numFmtId="1" fontId="15" fillId="5" borderId="2" xfId="0" applyNumberFormat="1" applyFont="1" applyFill="1" applyBorder="1" applyAlignment="1">
      <alignment horizontal="center"/>
    </xf>
    <xf numFmtId="164" fontId="1" fillId="0" borderId="0" xfId="0" applyNumberFormat="1" applyFont="1" applyAlignment="1">
      <alignment horizontal="center"/>
    </xf>
    <xf numFmtId="0" fontId="4" fillId="0" borderId="0" xfId="0" applyFont="1" applyAlignment="1">
      <alignment vertical="center"/>
    </xf>
    <xf numFmtId="0" fontId="1" fillId="0" borderId="2" xfId="0" applyFont="1" applyBorder="1" applyAlignment="1">
      <alignment horizontal="center"/>
    </xf>
    <xf numFmtId="1" fontId="1" fillId="0" borderId="2" xfId="0" applyNumberFormat="1" applyFont="1" applyBorder="1" applyAlignment="1">
      <alignment horizontal="center"/>
    </xf>
    <xf numFmtId="0" fontId="1" fillId="2" borderId="2" xfId="0" applyFont="1" applyFill="1" applyBorder="1"/>
    <xf numFmtId="0" fontId="1" fillId="9" borderId="2" xfId="0" applyFont="1" applyFill="1" applyBorder="1" applyAlignment="1">
      <alignment horizontal="center"/>
    </xf>
    <xf numFmtId="0" fontId="1" fillId="7" borderId="9" xfId="0" applyFont="1" applyFill="1" applyBorder="1" applyAlignment="1">
      <alignment horizontal="center"/>
    </xf>
    <xf numFmtId="1" fontId="1" fillId="10" borderId="2" xfId="0" applyNumberFormat="1" applyFont="1" applyFill="1" applyBorder="1" applyAlignment="1">
      <alignment horizontal="center"/>
    </xf>
    <xf numFmtId="0" fontId="1" fillId="10" borderId="2" xfId="0" applyFont="1" applyFill="1" applyBorder="1" applyAlignment="1">
      <alignment horizontal="center"/>
    </xf>
    <xf numFmtId="0" fontId="1" fillId="6" borderId="2" xfId="0" applyFont="1" applyFill="1" applyBorder="1" applyAlignment="1">
      <alignment horizontal="center"/>
    </xf>
    <xf numFmtId="0" fontId="10" fillId="0" borderId="0" xfId="0" applyFont="1"/>
    <xf numFmtId="0" fontId="2" fillId="2" borderId="2" xfId="0" applyFont="1" applyFill="1" applyBorder="1" applyAlignment="1">
      <alignment horizontal="center" wrapText="1"/>
    </xf>
    <xf numFmtId="0" fontId="9" fillId="0" borderId="0" xfId="1" applyFont="1" applyAlignment="1">
      <alignment horizontal="center"/>
    </xf>
    <xf numFmtId="1" fontId="2" fillId="0" borderId="0" xfId="0" applyNumberFormat="1" applyFont="1" applyAlignment="1">
      <alignment horizontal="center"/>
    </xf>
    <xf numFmtId="1" fontId="7" fillId="5" borderId="2" xfId="0" applyNumberFormat="1" applyFont="1" applyFill="1" applyBorder="1"/>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2" xfId="0" applyFont="1" applyFill="1" applyBorder="1" applyAlignment="1">
      <alignment wrapText="1"/>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8" borderId="5" xfId="0" applyFont="1" applyFill="1" applyBorder="1" applyAlignment="1">
      <alignment horizontal="center"/>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1" fillId="8" borderId="5" xfId="0" applyFont="1" applyFill="1" applyBorder="1" applyAlignment="1">
      <alignment horizontal="center"/>
    </xf>
    <xf numFmtId="1" fontId="1" fillId="6" borderId="8" xfId="0" applyNumberFormat="1" applyFont="1" applyFill="1" applyBorder="1" applyAlignment="1">
      <alignment horizontal="center" vertical="center"/>
    </xf>
    <xf numFmtId="1" fontId="1" fillId="6" borderId="11" xfId="0" applyNumberFormat="1" applyFont="1" applyFill="1" applyBorder="1" applyAlignment="1">
      <alignment horizontal="center" vertical="center"/>
    </xf>
    <xf numFmtId="1" fontId="1" fillId="6" borderId="9" xfId="0" applyNumberFormat="1" applyFont="1" applyFill="1" applyBorder="1" applyAlignment="1">
      <alignment horizontal="center" vertical="center"/>
    </xf>
    <xf numFmtId="1" fontId="1" fillId="11" borderId="8" xfId="0" applyNumberFormat="1" applyFont="1" applyFill="1" applyBorder="1" applyAlignment="1">
      <alignment horizontal="center"/>
    </xf>
    <xf numFmtId="1" fontId="1" fillId="11" borderId="9" xfId="0" applyNumberFormat="1" applyFont="1" applyFill="1" applyBorder="1" applyAlignment="1">
      <alignment horizontal="center"/>
    </xf>
    <xf numFmtId="0" fontId="2" fillId="8" borderId="2" xfId="0" applyFont="1" applyFill="1" applyBorder="1" applyAlignment="1">
      <alignment horizontal="center"/>
    </xf>
    <xf numFmtId="0" fontId="2" fillId="7" borderId="2" xfId="0" applyFont="1" applyFill="1" applyBorder="1" applyAlignment="1">
      <alignment horizontal="center"/>
    </xf>
    <xf numFmtId="0" fontId="1" fillId="5"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2" fillId="2" borderId="7" xfId="0" applyFont="1" applyFill="1" applyBorder="1" applyAlignment="1">
      <alignment horizontal="center" wrapText="1"/>
    </xf>
    <xf numFmtId="0" fontId="2" fillId="2" borderId="1" xfId="0" applyFont="1" applyFill="1" applyBorder="1" applyAlignment="1">
      <alignment horizontal="center" wrapText="1"/>
    </xf>
    <xf numFmtId="0" fontId="2" fillId="2" borderId="10" xfId="0" applyFont="1" applyFill="1" applyBorder="1" applyAlignment="1">
      <alignment horizontal="center" wrapText="1"/>
    </xf>
    <xf numFmtId="0" fontId="2" fillId="2" borderId="6" xfId="0" applyFont="1" applyFill="1" applyBorder="1" applyAlignment="1">
      <alignment horizontal="center" wrapText="1"/>
    </xf>
    <xf numFmtId="0" fontId="2" fillId="2" borderId="2" xfId="0" applyFont="1" applyFill="1" applyBorder="1" applyAlignment="1">
      <alignment horizontal="center"/>
    </xf>
    <xf numFmtId="0" fontId="2" fillId="2" borderId="2" xfId="0" applyFont="1" applyFill="1" applyBorder="1" applyAlignment="1">
      <alignment horizontal="center" wrapText="1"/>
    </xf>
    <xf numFmtId="0" fontId="2" fillId="0" borderId="0" xfId="0" applyFont="1" applyAlignment="1">
      <alignment horizontal="center" wrapText="1"/>
    </xf>
    <xf numFmtId="0" fontId="4" fillId="0" borderId="0" xfId="0" applyFont="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4" fillId="2" borderId="2" xfId="0" applyFont="1" applyFill="1" applyBorder="1" applyAlignment="1">
      <alignment horizontal="center" vertical="center"/>
    </xf>
    <xf numFmtId="0" fontId="2" fillId="2" borderId="2" xfId="0" applyFont="1" applyFill="1" applyBorder="1" applyAlignment="1">
      <alignment horizontal="left" wrapText="1"/>
    </xf>
    <xf numFmtId="0" fontId="2" fillId="5" borderId="2" xfId="0" applyFont="1" applyFill="1" applyBorder="1" applyAlignment="1">
      <alignment horizontal="center"/>
    </xf>
  </cellXfs>
  <cellStyles count="2">
    <cellStyle name="Normal_Sheet1" xfId="1" xr:uid="{FE615E14-738E-4E70-A60A-43B7890E0BC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764B-3570-47DB-832C-AFFE9BC7E98B}">
  <sheetPr>
    <tabColor theme="4" tint="0.39997558519241921"/>
  </sheetPr>
  <dimension ref="B2:E13"/>
  <sheetViews>
    <sheetView workbookViewId="0">
      <selection activeCell="B28" sqref="B28"/>
    </sheetView>
  </sheetViews>
  <sheetFormatPr defaultRowHeight="15" x14ac:dyDescent="0.25"/>
  <cols>
    <col min="2" max="2" width="79.42578125" bestFit="1" customWidth="1"/>
    <col min="3" max="3" width="10.7109375" bestFit="1" customWidth="1"/>
    <col min="4" max="4" width="10" bestFit="1" customWidth="1"/>
    <col min="5" max="5" width="9.42578125" bestFit="1" customWidth="1"/>
  </cols>
  <sheetData>
    <row r="2" spans="2:5" x14ac:dyDescent="0.25">
      <c r="B2" s="75" t="s">
        <v>182</v>
      </c>
      <c r="C2" s="76"/>
      <c r="D2" s="76"/>
      <c r="E2" s="77"/>
    </row>
    <row r="3" spans="2:5" x14ac:dyDescent="0.25">
      <c r="B3" s="1"/>
      <c r="C3" s="62" t="s">
        <v>175</v>
      </c>
      <c r="D3" s="62" t="s">
        <v>176</v>
      </c>
      <c r="E3" s="62" t="s">
        <v>177</v>
      </c>
    </row>
    <row r="4" spans="2:5" x14ac:dyDescent="0.25">
      <c r="B4" s="41" t="s">
        <v>180</v>
      </c>
      <c r="C4" s="49">
        <f>'Wegverkeer hinder'!O8</f>
        <v>26201.735962166731</v>
      </c>
      <c r="D4" s="49">
        <f>'Railverkeer hinder'!N8</f>
        <v>1313.5821463399297</v>
      </c>
      <c r="E4" s="49">
        <f>'Hinder vliegverkeer'!N8</f>
        <v>688.32091906005451</v>
      </c>
    </row>
    <row r="5" spans="2:5" x14ac:dyDescent="0.25">
      <c r="B5" s="41" t="s">
        <v>179</v>
      </c>
      <c r="C5" s="49">
        <f>'Wegverkeer hinder'!O7</f>
        <v>38200.52944789351</v>
      </c>
      <c r="D5" s="49">
        <f>'Railverkeer hinder'!N7</f>
        <v>1868.4583566978026</v>
      </c>
      <c r="E5" s="49">
        <f>'Hinder vliegverkeer'!N7</f>
        <v>2171.2120232391376</v>
      </c>
    </row>
    <row r="6" spans="2:5" x14ac:dyDescent="0.25">
      <c r="B6" s="41" t="s">
        <v>193</v>
      </c>
      <c r="C6" s="49">
        <f>'Wegverkeer IHZ'!C16</f>
        <v>35.776462152326332</v>
      </c>
      <c r="D6" s="1"/>
      <c r="E6" s="46"/>
    </row>
    <row r="7" spans="2:5" x14ac:dyDescent="0.25">
      <c r="B7" s="1"/>
      <c r="C7" s="1"/>
      <c r="D7" s="1"/>
      <c r="E7" s="46"/>
    </row>
    <row r="8" spans="2:5" x14ac:dyDescent="0.25">
      <c r="B8" s="41" t="s">
        <v>183</v>
      </c>
      <c r="C8" s="49">
        <f>'Wegverkeer slaapverstoring'!O8</f>
        <v>5573.8417157176846</v>
      </c>
      <c r="D8" s="49">
        <f>'Railverkeer slaapverstoring'!N7</f>
        <v>329.47533990307761</v>
      </c>
      <c r="E8" s="49">
        <f>'Slaapverstoring vliegverkeer'!N7</f>
        <v>60.751480111615571</v>
      </c>
    </row>
    <row r="9" spans="2:5" x14ac:dyDescent="0.25">
      <c r="B9" s="41" t="s">
        <v>181</v>
      </c>
      <c r="C9" s="49">
        <f>'Wegverkeer slaapverstoring'!O7</f>
        <v>7870.0728087644275</v>
      </c>
      <c r="D9" s="49">
        <f>'Railverkeer slaapverstoring'!N6</f>
        <v>437.70024868245991</v>
      </c>
      <c r="E9" s="49">
        <f>'Slaapverstoring vliegverkeer'!N6</f>
        <v>593.24816084094732</v>
      </c>
    </row>
    <row r="11" spans="2:5" x14ac:dyDescent="0.25">
      <c r="B11" s="41" t="s">
        <v>198</v>
      </c>
      <c r="C11" s="65">
        <f>Invullen_5dBklasse!F6</f>
        <v>359370</v>
      </c>
      <c r="D11" s="65">
        <f>C11</f>
        <v>359370</v>
      </c>
      <c r="E11" s="65">
        <f>D11</f>
        <v>359370</v>
      </c>
    </row>
    <row r="12" spans="2:5" x14ac:dyDescent="0.25">
      <c r="B12" s="41" t="s">
        <v>199</v>
      </c>
      <c r="C12" s="65">
        <f>SUM(Invullen_5dBklasse!C29:C34)</f>
        <v>193700</v>
      </c>
      <c r="D12" s="65">
        <f>SUM(Invullen_5dBklasse!D29:D34)</f>
        <v>9600</v>
      </c>
      <c r="E12" s="65">
        <f>SUM(Invullen_5dBklasse!E29:E34)</f>
        <v>1850</v>
      </c>
    </row>
    <row r="13" spans="2:5" x14ac:dyDescent="0.25">
      <c r="B13" s="41" t="s">
        <v>200</v>
      </c>
      <c r="C13" s="65">
        <f>SUM(Invullen_5dBklasse!J30:J35)</f>
        <v>113000</v>
      </c>
      <c r="D13" s="65">
        <f>SUM(Invullen_5dBklasse!K30:K35)</f>
        <v>4400</v>
      </c>
      <c r="E13" s="65">
        <f>SUM(Invullen_5dBklasse!L30:L35)</f>
        <v>300</v>
      </c>
    </row>
  </sheetData>
  <mergeCells count="1">
    <mergeCell ref="B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A984-1D38-411B-8FFC-8C67AABFB1AE}">
  <sheetPr>
    <tabColor theme="5" tint="0.39997558519241921"/>
  </sheetPr>
  <dimension ref="C4:L112"/>
  <sheetViews>
    <sheetView workbookViewId="0">
      <selection activeCell="B2" sqref="B2:E13"/>
    </sheetView>
  </sheetViews>
  <sheetFormatPr defaultRowHeight="15" x14ac:dyDescent="0.25"/>
  <cols>
    <col min="3" max="3" width="16.7109375" customWidth="1"/>
    <col min="4" max="4" width="10.140625" bestFit="1" customWidth="1"/>
    <col min="5" max="5" width="12.140625" customWidth="1"/>
    <col min="6" max="6" width="14.85546875" customWidth="1"/>
    <col min="11" max="11" width="15.42578125" customWidth="1"/>
    <col min="12" max="12" width="12.42578125" bestFit="1" customWidth="1"/>
  </cols>
  <sheetData>
    <row r="4" spans="3:12" x14ac:dyDescent="0.25">
      <c r="C4" s="106" t="s">
        <v>5</v>
      </c>
      <c r="D4" s="106"/>
      <c r="E4" s="106"/>
      <c r="F4" s="106"/>
    </row>
    <row r="5" spans="3:12" x14ac:dyDescent="0.25">
      <c r="C5" s="5" t="s">
        <v>6</v>
      </c>
      <c r="D5" s="20">
        <v>2021</v>
      </c>
      <c r="E5" s="20">
        <v>2022</v>
      </c>
      <c r="F5" s="20" t="s">
        <v>115</v>
      </c>
      <c r="H5" s="89" t="s">
        <v>184</v>
      </c>
      <c r="I5" s="89"/>
      <c r="J5" s="89"/>
      <c r="K5" s="89"/>
      <c r="L5" s="60">
        <f>(D112+E112)/2</f>
        <v>17533043.5</v>
      </c>
    </row>
    <row r="6" spans="3:12" x14ac:dyDescent="0.25">
      <c r="C6" s="41" t="s">
        <v>7</v>
      </c>
      <c r="D6" s="58">
        <v>168270</v>
      </c>
      <c r="E6" s="58">
        <v>179133</v>
      </c>
      <c r="F6" s="59">
        <f>(D6+E6)/2</f>
        <v>173701.5</v>
      </c>
      <c r="H6" s="89" t="s">
        <v>114</v>
      </c>
      <c r="I6" s="89"/>
      <c r="J6" s="89"/>
      <c r="K6" s="89"/>
      <c r="L6" s="60">
        <f>SUM(F24:F111)</f>
        <v>14227010.5</v>
      </c>
    </row>
    <row r="7" spans="3:12" x14ac:dyDescent="0.25">
      <c r="C7" s="41" t="s">
        <v>8</v>
      </c>
      <c r="D7" s="58">
        <v>170354</v>
      </c>
      <c r="E7" s="58">
        <v>169323</v>
      </c>
      <c r="F7" s="59">
        <f t="shared" ref="F7:F70" si="0">(D7+E7)/2</f>
        <v>169838.5</v>
      </c>
      <c r="H7" s="89" t="s">
        <v>116</v>
      </c>
      <c r="I7" s="89"/>
      <c r="J7" s="89"/>
      <c r="K7" s="89"/>
      <c r="L7" s="60">
        <f>L6/L5</f>
        <v>0.81143986781302402</v>
      </c>
    </row>
    <row r="8" spans="3:12" x14ac:dyDescent="0.25">
      <c r="C8" s="41" t="s">
        <v>9</v>
      </c>
      <c r="D8" s="58">
        <v>170474</v>
      </c>
      <c r="E8" s="58">
        <v>171226</v>
      </c>
      <c r="F8" s="59">
        <f t="shared" si="0"/>
        <v>170850</v>
      </c>
    </row>
    <row r="9" spans="3:12" x14ac:dyDescent="0.25">
      <c r="C9" s="41" t="s">
        <v>10</v>
      </c>
      <c r="D9" s="58">
        <v>172564</v>
      </c>
      <c r="E9" s="58">
        <v>171415</v>
      </c>
      <c r="F9" s="59">
        <f t="shared" si="0"/>
        <v>171989.5</v>
      </c>
    </row>
    <row r="10" spans="3:12" x14ac:dyDescent="0.25">
      <c r="C10" s="41" t="s">
        <v>11</v>
      </c>
      <c r="D10" s="58">
        <v>175964</v>
      </c>
      <c r="E10" s="58">
        <v>173556</v>
      </c>
      <c r="F10" s="59">
        <f t="shared" si="0"/>
        <v>174760</v>
      </c>
    </row>
    <row r="11" spans="3:12" x14ac:dyDescent="0.25">
      <c r="C11" s="41" t="s">
        <v>12</v>
      </c>
      <c r="D11" s="58">
        <v>175403</v>
      </c>
      <c r="E11" s="58">
        <v>176741</v>
      </c>
      <c r="F11" s="59">
        <f t="shared" si="0"/>
        <v>176072</v>
      </c>
    </row>
    <row r="12" spans="3:12" x14ac:dyDescent="0.25">
      <c r="C12" s="41" t="s">
        <v>13</v>
      </c>
      <c r="D12" s="58">
        <v>180140</v>
      </c>
      <c r="E12" s="58">
        <v>176234</v>
      </c>
      <c r="F12" s="59">
        <f t="shared" si="0"/>
        <v>178187</v>
      </c>
    </row>
    <row r="13" spans="3:12" x14ac:dyDescent="0.25">
      <c r="C13" s="41" t="s">
        <v>14</v>
      </c>
      <c r="D13" s="58">
        <v>176907</v>
      </c>
      <c r="E13" s="58">
        <v>181103</v>
      </c>
      <c r="F13" s="59">
        <f t="shared" si="0"/>
        <v>179005</v>
      </c>
    </row>
    <row r="14" spans="3:12" x14ac:dyDescent="0.25">
      <c r="C14" s="41" t="s">
        <v>15</v>
      </c>
      <c r="D14" s="58">
        <v>181785</v>
      </c>
      <c r="E14" s="58">
        <v>177793</v>
      </c>
      <c r="F14" s="59">
        <f t="shared" si="0"/>
        <v>179789</v>
      </c>
    </row>
    <row r="15" spans="3:12" x14ac:dyDescent="0.25">
      <c r="C15" s="41" t="s">
        <v>16</v>
      </c>
      <c r="D15" s="58">
        <v>185592</v>
      </c>
      <c r="E15" s="58">
        <v>182749</v>
      </c>
      <c r="F15" s="59">
        <f t="shared" si="0"/>
        <v>184170.5</v>
      </c>
    </row>
    <row r="16" spans="3:12" x14ac:dyDescent="0.25">
      <c r="C16" s="41" t="s">
        <v>17</v>
      </c>
      <c r="D16" s="58">
        <v>190637</v>
      </c>
      <c r="E16" s="58">
        <v>186513</v>
      </c>
      <c r="F16" s="59">
        <f t="shared" si="0"/>
        <v>188575</v>
      </c>
    </row>
    <row r="17" spans="3:6" x14ac:dyDescent="0.25">
      <c r="C17" s="41" t="s">
        <v>18</v>
      </c>
      <c r="D17" s="58">
        <v>191484</v>
      </c>
      <c r="E17" s="58">
        <v>191599</v>
      </c>
      <c r="F17" s="59">
        <f t="shared" si="0"/>
        <v>191541.5</v>
      </c>
    </row>
    <row r="18" spans="3:6" x14ac:dyDescent="0.25">
      <c r="C18" s="41" t="s">
        <v>19</v>
      </c>
      <c r="D18" s="58">
        <v>192004</v>
      </c>
      <c r="E18" s="58">
        <v>192560</v>
      </c>
      <c r="F18" s="59">
        <f t="shared" si="0"/>
        <v>192282</v>
      </c>
    </row>
    <row r="19" spans="3:6" x14ac:dyDescent="0.25">
      <c r="C19" s="41" t="s">
        <v>20</v>
      </c>
      <c r="D19" s="58">
        <v>188438</v>
      </c>
      <c r="E19" s="58">
        <v>193037</v>
      </c>
      <c r="F19" s="59">
        <f t="shared" si="0"/>
        <v>190737.5</v>
      </c>
    </row>
    <row r="20" spans="3:6" x14ac:dyDescent="0.25">
      <c r="C20" s="41" t="s">
        <v>21</v>
      </c>
      <c r="D20" s="58">
        <v>191715</v>
      </c>
      <c r="E20" s="58">
        <v>189479</v>
      </c>
      <c r="F20" s="59">
        <f t="shared" si="0"/>
        <v>190597</v>
      </c>
    </row>
    <row r="21" spans="3:6" x14ac:dyDescent="0.25">
      <c r="C21" s="41" t="s">
        <v>22</v>
      </c>
      <c r="D21" s="58">
        <v>193570</v>
      </c>
      <c r="E21" s="58">
        <v>192725</v>
      </c>
      <c r="F21" s="59">
        <f t="shared" si="0"/>
        <v>193147.5</v>
      </c>
    </row>
    <row r="22" spans="3:6" x14ac:dyDescent="0.25">
      <c r="C22" s="41" t="s">
        <v>23</v>
      </c>
      <c r="D22" s="58">
        <v>199394</v>
      </c>
      <c r="E22" s="58">
        <v>194719</v>
      </c>
      <c r="F22" s="59">
        <f t="shared" si="0"/>
        <v>197056.5</v>
      </c>
    </row>
    <row r="23" spans="3:6" x14ac:dyDescent="0.25">
      <c r="C23" s="41" t="s">
        <v>24</v>
      </c>
      <c r="D23" s="58">
        <v>206527</v>
      </c>
      <c r="E23" s="58">
        <v>200939</v>
      </c>
      <c r="F23" s="59">
        <f t="shared" si="0"/>
        <v>203733</v>
      </c>
    </row>
    <row r="24" spans="3:6" x14ac:dyDescent="0.25">
      <c r="C24" s="41" t="s">
        <v>25</v>
      </c>
      <c r="D24" s="58">
        <v>212171</v>
      </c>
      <c r="E24" s="58">
        <v>214061</v>
      </c>
      <c r="F24" s="59">
        <f t="shared" si="0"/>
        <v>213116</v>
      </c>
    </row>
    <row r="25" spans="3:6" x14ac:dyDescent="0.25">
      <c r="C25" s="41" t="s">
        <v>26</v>
      </c>
      <c r="D25" s="58">
        <v>220073</v>
      </c>
      <c r="E25" s="58">
        <v>222912</v>
      </c>
      <c r="F25" s="59">
        <f t="shared" si="0"/>
        <v>221492.5</v>
      </c>
    </row>
    <row r="26" spans="3:6" x14ac:dyDescent="0.25">
      <c r="C26" s="41" t="s">
        <v>27</v>
      </c>
      <c r="D26" s="58">
        <v>227053</v>
      </c>
      <c r="E26" s="58">
        <v>226197</v>
      </c>
      <c r="F26" s="59">
        <f t="shared" si="0"/>
        <v>226625</v>
      </c>
    </row>
    <row r="27" spans="3:6" x14ac:dyDescent="0.25">
      <c r="C27" s="41" t="s">
        <v>28</v>
      </c>
      <c r="D27" s="58">
        <v>223141</v>
      </c>
      <c r="E27" s="58">
        <v>231493</v>
      </c>
      <c r="F27" s="59">
        <f t="shared" si="0"/>
        <v>227317</v>
      </c>
    </row>
    <row r="28" spans="3:6" x14ac:dyDescent="0.25">
      <c r="C28" s="41" t="s">
        <v>29</v>
      </c>
      <c r="D28" s="58">
        <v>222345</v>
      </c>
      <c r="E28" s="58">
        <v>227225</v>
      </c>
      <c r="F28" s="59">
        <f t="shared" si="0"/>
        <v>224785</v>
      </c>
    </row>
    <row r="29" spans="3:6" x14ac:dyDescent="0.25">
      <c r="C29" s="41" t="s">
        <v>30</v>
      </c>
      <c r="D29" s="58">
        <v>217581</v>
      </c>
      <c r="E29" s="58">
        <v>226996</v>
      </c>
      <c r="F29" s="59">
        <f t="shared" si="0"/>
        <v>222288.5</v>
      </c>
    </row>
    <row r="30" spans="3:6" x14ac:dyDescent="0.25">
      <c r="C30" s="41" t="s">
        <v>31</v>
      </c>
      <c r="D30" s="58">
        <v>217366</v>
      </c>
      <c r="E30" s="58">
        <v>220974</v>
      </c>
      <c r="F30" s="59">
        <f t="shared" si="0"/>
        <v>219170</v>
      </c>
    </row>
    <row r="31" spans="3:6" x14ac:dyDescent="0.25">
      <c r="C31" s="41" t="s">
        <v>32</v>
      </c>
      <c r="D31" s="58">
        <v>218668</v>
      </c>
      <c r="E31" s="58">
        <v>220818</v>
      </c>
      <c r="F31" s="59">
        <f t="shared" si="0"/>
        <v>219743</v>
      </c>
    </row>
    <row r="32" spans="3:6" x14ac:dyDescent="0.25">
      <c r="C32" s="41" t="s">
        <v>33</v>
      </c>
      <c r="D32" s="58">
        <v>225920</v>
      </c>
      <c r="E32" s="58">
        <v>222029</v>
      </c>
      <c r="F32" s="59">
        <f t="shared" si="0"/>
        <v>223974.5</v>
      </c>
    </row>
    <row r="33" spans="3:6" x14ac:dyDescent="0.25">
      <c r="C33" s="41" t="s">
        <v>34</v>
      </c>
      <c r="D33" s="58">
        <v>226583</v>
      </c>
      <c r="E33" s="58">
        <v>229261</v>
      </c>
      <c r="F33" s="59">
        <f t="shared" si="0"/>
        <v>227922</v>
      </c>
    </row>
    <row r="34" spans="3:6" x14ac:dyDescent="0.25">
      <c r="C34" s="41" t="s">
        <v>35</v>
      </c>
      <c r="D34" s="58">
        <v>229437</v>
      </c>
      <c r="E34" s="58">
        <v>229982</v>
      </c>
      <c r="F34" s="59">
        <f t="shared" si="0"/>
        <v>229709.5</v>
      </c>
    </row>
    <row r="35" spans="3:6" x14ac:dyDescent="0.25">
      <c r="C35" s="41" t="s">
        <v>36</v>
      </c>
      <c r="D35" s="58">
        <v>232334</v>
      </c>
      <c r="E35" s="58">
        <v>232416</v>
      </c>
      <c r="F35" s="59">
        <f t="shared" si="0"/>
        <v>232375</v>
      </c>
    </row>
    <row r="36" spans="3:6" x14ac:dyDescent="0.25">
      <c r="C36" s="41" t="s">
        <v>37</v>
      </c>
      <c r="D36" s="58">
        <v>233373</v>
      </c>
      <c r="E36" s="58">
        <v>235174</v>
      </c>
      <c r="F36" s="59">
        <f t="shared" si="0"/>
        <v>234273.5</v>
      </c>
    </row>
    <row r="37" spans="3:6" x14ac:dyDescent="0.25">
      <c r="C37" s="41" t="s">
        <v>38</v>
      </c>
      <c r="D37" s="58">
        <v>225767</v>
      </c>
      <c r="E37" s="58">
        <v>235817</v>
      </c>
      <c r="F37" s="59">
        <f t="shared" si="0"/>
        <v>230792</v>
      </c>
    </row>
    <row r="38" spans="3:6" x14ac:dyDescent="0.25">
      <c r="C38" s="41" t="s">
        <v>39</v>
      </c>
      <c r="D38" s="58">
        <v>223130</v>
      </c>
      <c r="E38" s="58">
        <v>227912</v>
      </c>
      <c r="F38" s="59">
        <f t="shared" si="0"/>
        <v>225521</v>
      </c>
    </row>
    <row r="39" spans="3:6" x14ac:dyDescent="0.25">
      <c r="C39" s="41" t="s">
        <v>40</v>
      </c>
      <c r="D39" s="58">
        <v>222511</v>
      </c>
      <c r="E39" s="58">
        <v>225299</v>
      </c>
      <c r="F39" s="59">
        <f t="shared" si="0"/>
        <v>223905</v>
      </c>
    </row>
    <row r="40" spans="3:6" x14ac:dyDescent="0.25">
      <c r="C40" s="41" t="s">
        <v>41</v>
      </c>
      <c r="D40" s="58">
        <v>221708</v>
      </c>
      <c r="E40" s="58">
        <v>224277</v>
      </c>
      <c r="F40" s="59">
        <f t="shared" si="0"/>
        <v>222992.5</v>
      </c>
    </row>
    <row r="41" spans="3:6" x14ac:dyDescent="0.25">
      <c r="C41" s="41" t="s">
        <v>42</v>
      </c>
      <c r="D41" s="58">
        <v>216405</v>
      </c>
      <c r="E41" s="58">
        <v>223383</v>
      </c>
      <c r="F41" s="59">
        <f t="shared" si="0"/>
        <v>219894</v>
      </c>
    </row>
    <row r="42" spans="3:6" x14ac:dyDescent="0.25">
      <c r="C42" s="41" t="s">
        <v>43</v>
      </c>
      <c r="D42" s="58">
        <v>212811</v>
      </c>
      <c r="E42" s="58">
        <v>217872</v>
      </c>
      <c r="F42" s="59">
        <f t="shared" si="0"/>
        <v>215341.5</v>
      </c>
    </row>
    <row r="43" spans="3:6" x14ac:dyDescent="0.25">
      <c r="C43" s="41" t="s">
        <v>44</v>
      </c>
      <c r="D43" s="58">
        <v>206720</v>
      </c>
      <c r="E43" s="58">
        <v>214114</v>
      </c>
      <c r="F43" s="59">
        <f t="shared" si="0"/>
        <v>210417</v>
      </c>
    </row>
    <row r="44" spans="3:6" x14ac:dyDescent="0.25">
      <c r="C44" s="41" t="s">
        <v>45</v>
      </c>
      <c r="D44" s="58">
        <v>207274</v>
      </c>
      <c r="E44" s="58">
        <v>208001</v>
      </c>
      <c r="F44" s="59">
        <f t="shared" si="0"/>
        <v>207637.5</v>
      </c>
    </row>
    <row r="45" spans="3:6" x14ac:dyDescent="0.25">
      <c r="C45" s="41" t="s">
        <v>46</v>
      </c>
      <c r="D45" s="58">
        <v>210876</v>
      </c>
      <c r="E45" s="58">
        <v>208601</v>
      </c>
      <c r="F45" s="59">
        <f t="shared" si="0"/>
        <v>209738.5</v>
      </c>
    </row>
    <row r="46" spans="3:6" x14ac:dyDescent="0.25">
      <c r="C46" s="41" t="s">
        <v>47</v>
      </c>
      <c r="D46" s="58">
        <v>213550</v>
      </c>
      <c r="E46" s="58">
        <v>211882</v>
      </c>
      <c r="F46" s="59">
        <f t="shared" si="0"/>
        <v>212716</v>
      </c>
    </row>
    <row r="47" spans="3:6" x14ac:dyDescent="0.25">
      <c r="C47" s="41" t="s">
        <v>48</v>
      </c>
      <c r="D47" s="58">
        <v>206262</v>
      </c>
      <c r="E47" s="58">
        <v>214516</v>
      </c>
      <c r="F47" s="59">
        <f t="shared" si="0"/>
        <v>210389</v>
      </c>
    </row>
    <row r="48" spans="3:6" x14ac:dyDescent="0.25">
      <c r="C48" s="41" t="s">
        <v>49</v>
      </c>
      <c r="D48" s="58">
        <v>206100</v>
      </c>
      <c r="E48" s="58">
        <v>207041</v>
      </c>
      <c r="F48" s="59">
        <f t="shared" si="0"/>
        <v>206570.5</v>
      </c>
    </row>
    <row r="49" spans="3:6" x14ac:dyDescent="0.25">
      <c r="C49" s="41" t="s">
        <v>50</v>
      </c>
      <c r="D49" s="58">
        <v>203073</v>
      </c>
      <c r="E49" s="58">
        <v>206855</v>
      </c>
      <c r="F49" s="59">
        <f t="shared" si="0"/>
        <v>204964</v>
      </c>
    </row>
    <row r="50" spans="3:6" x14ac:dyDescent="0.25">
      <c r="C50" s="41" t="s">
        <v>51</v>
      </c>
      <c r="D50" s="58">
        <v>204503</v>
      </c>
      <c r="E50" s="58">
        <v>203753</v>
      </c>
      <c r="F50" s="59">
        <f t="shared" si="0"/>
        <v>204128</v>
      </c>
    </row>
    <row r="51" spans="3:6" x14ac:dyDescent="0.25">
      <c r="C51" s="41" t="s">
        <v>52</v>
      </c>
      <c r="D51" s="58">
        <v>205701</v>
      </c>
      <c r="E51" s="58">
        <v>205223</v>
      </c>
      <c r="F51" s="59">
        <f t="shared" si="0"/>
        <v>205462</v>
      </c>
    </row>
    <row r="52" spans="3:6" x14ac:dyDescent="0.25">
      <c r="C52" s="41" t="s">
        <v>53</v>
      </c>
      <c r="D52" s="58">
        <v>214822</v>
      </c>
      <c r="E52" s="58">
        <v>206214</v>
      </c>
      <c r="F52" s="59">
        <f t="shared" si="0"/>
        <v>210518</v>
      </c>
    </row>
    <row r="53" spans="3:6" x14ac:dyDescent="0.25">
      <c r="C53" s="41" t="s">
        <v>54</v>
      </c>
      <c r="D53" s="58">
        <v>221788</v>
      </c>
      <c r="E53" s="58">
        <v>215171</v>
      </c>
      <c r="F53" s="59">
        <f t="shared" si="0"/>
        <v>218479.5</v>
      </c>
    </row>
    <row r="54" spans="3:6" x14ac:dyDescent="0.25">
      <c r="C54" s="41" t="s">
        <v>55</v>
      </c>
      <c r="D54" s="58">
        <v>239467</v>
      </c>
      <c r="E54" s="58">
        <v>222245</v>
      </c>
      <c r="F54" s="59">
        <f t="shared" si="0"/>
        <v>230856</v>
      </c>
    </row>
    <row r="55" spans="3:6" x14ac:dyDescent="0.25">
      <c r="C55" s="41" t="s">
        <v>56</v>
      </c>
      <c r="D55" s="58">
        <v>250796</v>
      </c>
      <c r="E55" s="58">
        <v>239601</v>
      </c>
      <c r="F55" s="59">
        <f t="shared" si="0"/>
        <v>245198.5</v>
      </c>
    </row>
    <row r="56" spans="3:6" x14ac:dyDescent="0.25">
      <c r="C56" s="41" t="s">
        <v>57</v>
      </c>
      <c r="D56" s="58">
        <v>261085</v>
      </c>
      <c r="E56" s="58">
        <v>250796</v>
      </c>
      <c r="F56" s="59">
        <f t="shared" si="0"/>
        <v>255940.5</v>
      </c>
    </row>
    <row r="57" spans="3:6" x14ac:dyDescent="0.25">
      <c r="C57" s="41" t="s">
        <v>58</v>
      </c>
      <c r="D57" s="58">
        <v>266184</v>
      </c>
      <c r="E57" s="58">
        <v>260912</v>
      </c>
      <c r="F57" s="59">
        <f t="shared" si="0"/>
        <v>263548</v>
      </c>
    </row>
    <row r="58" spans="3:6" x14ac:dyDescent="0.25">
      <c r="C58" s="41" t="s">
        <v>59</v>
      </c>
      <c r="D58" s="58">
        <v>254782</v>
      </c>
      <c r="E58" s="58">
        <v>265900</v>
      </c>
      <c r="F58" s="59">
        <f t="shared" si="0"/>
        <v>260341</v>
      </c>
    </row>
    <row r="59" spans="3:6" x14ac:dyDescent="0.25">
      <c r="C59" s="41" t="s">
        <v>60</v>
      </c>
      <c r="D59" s="58">
        <v>251614</v>
      </c>
      <c r="E59" s="58">
        <v>254354</v>
      </c>
      <c r="F59" s="59">
        <f t="shared" si="0"/>
        <v>252984</v>
      </c>
    </row>
    <row r="60" spans="3:6" x14ac:dyDescent="0.25">
      <c r="C60" s="41" t="s">
        <v>61</v>
      </c>
      <c r="D60" s="58">
        <v>252466</v>
      </c>
      <c r="E60" s="58">
        <v>251108</v>
      </c>
      <c r="F60" s="59">
        <f t="shared" si="0"/>
        <v>251787</v>
      </c>
    </row>
    <row r="61" spans="3:6" x14ac:dyDescent="0.25">
      <c r="C61" s="41" t="s">
        <v>62</v>
      </c>
      <c r="D61" s="58">
        <v>255486</v>
      </c>
      <c r="E61" s="58">
        <v>251762</v>
      </c>
      <c r="F61" s="59">
        <f t="shared" si="0"/>
        <v>253624</v>
      </c>
    </row>
    <row r="62" spans="3:6" x14ac:dyDescent="0.25">
      <c r="C62" s="41" t="s">
        <v>63</v>
      </c>
      <c r="D62" s="58">
        <v>259303</v>
      </c>
      <c r="E62" s="58">
        <v>254567</v>
      </c>
      <c r="F62" s="59">
        <f t="shared" si="0"/>
        <v>256935</v>
      </c>
    </row>
    <row r="63" spans="3:6" x14ac:dyDescent="0.25">
      <c r="C63" s="41" t="s">
        <v>64</v>
      </c>
      <c r="D63" s="58">
        <v>254398</v>
      </c>
      <c r="E63" s="58">
        <v>258325</v>
      </c>
      <c r="F63" s="59">
        <f t="shared" si="0"/>
        <v>256361.5</v>
      </c>
    </row>
    <row r="64" spans="3:6" x14ac:dyDescent="0.25">
      <c r="C64" s="41" t="s">
        <v>65</v>
      </c>
      <c r="D64" s="58">
        <v>248827</v>
      </c>
      <c r="E64" s="58">
        <v>253240</v>
      </c>
      <c r="F64" s="59">
        <f t="shared" si="0"/>
        <v>251033.5</v>
      </c>
    </row>
    <row r="65" spans="3:6" x14ac:dyDescent="0.25">
      <c r="C65" s="41" t="s">
        <v>66</v>
      </c>
      <c r="D65" s="58">
        <v>245543</v>
      </c>
      <c r="E65" s="58">
        <v>247599</v>
      </c>
      <c r="F65" s="59">
        <f t="shared" si="0"/>
        <v>246571</v>
      </c>
    </row>
    <row r="66" spans="3:6" x14ac:dyDescent="0.25">
      <c r="C66" s="41" t="s">
        <v>67</v>
      </c>
      <c r="D66" s="58">
        <v>237918</v>
      </c>
      <c r="E66" s="58">
        <v>243990</v>
      </c>
      <c r="F66" s="59">
        <f t="shared" si="0"/>
        <v>240954</v>
      </c>
    </row>
    <row r="67" spans="3:6" x14ac:dyDescent="0.25">
      <c r="C67" s="41" t="s">
        <v>68</v>
      </c>
      <c r="D67" s="58">
        <v>234687</v>
      </c>
      <c r="E67" s="58">
        <v>236460</v>
      </c>
      <c r="F67" s="59">
        <f t="shared" si="0"/>
        <v>235573.5</v>
      </c>
    </row>
    <row r="68" spans="3:6" x14ac:dyDescent="0.25">
      <c r="C68" s="41" t="s">
        <v>69</v>
      </c>
      <c r="D68" s="58">
        <v>227404</v>
      </c>
      <c r="E68" s="58">
        <v>232975</v>
      </c>
      <c r="F68" s="59">
        <f t="shared" si="0"/>
        <v>230189.5</v>
      </c>
    </row>
    <row r="69" spans="3:6" x14ac:dyDescent="0.25">
      <c r="C69" s="41" t="s">
        <v>70</v>
      </c>
      <c r="D69" s="58">
        <v>221404</v>
      </c>
      <c r="E69" s="58">
        <v>225583</v>
      </c>
      <c r="F69" s="59">
        <f t="shared" si="0"/>
        <v>223493.5</v>
      </c>
    </row>
    <row r="70" spans="3:6" x14ac:dyDescent="0.25">
      <c r="C70" s="41" t="s">
        <v>71</v>
      </c>
      <c r="D70" s="58">
        <v>216248</v>
      </c>
      <c r="E70" s="58">
        <v>219489</v>
      </c>
      <c r="F70" s="59">
        <f t="shared" si="0"/>
        <v>217868.5</v>
      </c>
    </row>
    <row r="71" spans="3:6" x14ac:dyDescent="0.25">
      <c r="C71" s="41" t="s">
        <v>72</v>
      </c>
      <c r="D71" s="58">
        <v>209603</v>
      </c>
      <c r="E71" s="58">
        <v>214114</v>
      </c>
      <c r="F71" s="59">
        <f t="shared" ref="F71:F111" si="1">(D71+E71)/2</f>
        <v>211858.5</v>
      </c>
    </row>
    <row r="72" spans="3:6" x14ac:dyDescent="0.25">
      <c r="C72" s="41" t="s">
        <v>73</v>
      </c>
      <c r="D72" s="58">
        <v>205025</v>
      </c>
      <c r="E72" s="58">
        <v>207190</v>
      </c>
      <c r="F72" s="59">
        <f t="shared" si="1"/>
        <v>206107.5</v>
      </c>
    </row>
    <row r="73" spans="3:6" x14ac:dyDescent="0.25">
      <c r="C73" s="41" t="s">
        <v>74</v>
      </c>
      <c r="D73" s="58">
        <v>200160</v>
      </c>
      <c r="E73" s="58">
        <v>202404</v>
      </c>
      <c r="F73" s="59">
        <f t="shared" si="1"/>
        <v>201282</v>
      </c>
    </row>
    <row r="74" spans="3:6" x14ac:dyDescent="0.25">
      <c r="C74" s="41" t="s">
        <v>75</v>
      </c>
      <c r="D74" s="58">
        <v>198911</v>
      </c>
      <c r="E74" s="58">
        <v>197548</v>
      </c>
      <c r="F74" s="59">
        <f t="shared" si="1"/>
        <v>198229.5</v>
      </c>
    </row>
    <row r="75" spans="3:6" x14ac:dyDescent="0.25">
      <c r="C75" s="41" t="s">
        <v>76</v>
      </c>
      <c r="D75" s="58">
        <v>190079</v>
      </c>
      <c r="E75" s="58">
        <v>196060</v>
      </c>
      <c r="F75" s="59">
        <f t="shared" si="1"/>
        <v>193069.5</v>
      </c>
    </row>
    <row r="76" spans="3:6" x14ac:dyDescent="0.25">
      <c r="C76" s="41" t="s">
        <v>77</v>
      </c>
      <c r="D76" s="58">
        <v>189248</v>
      </c>
      <c r="E76" s="58">
        <v>187009</v>
      </c>
      <c r="F76" s="59">
        <f t="shared" si="1"/>
        <v>188128.5</v>
      </c>
    </row>
    <row r="77" spans="3:6" x14ac:dyDescent="0.25">
      <c r="C77" s="41" t="s">
        <v>78</v>
      </c>
      <c r="D77" s="58">
        <v>189136</v>
      </c>
      <c r="E77" s="58">
        <v>185993</v>
      </c>
      <c r="F77" s="59">
        <f t="shared" si="1"/>
        <v>187564.5</v>
      </c>
    </row>
    <row r="78" spans="3:6" x14ac:dyDescent="0.25">
      <c r="C78" s="41" t="s">
        <v>79</v>
      </c>
      <c r="D78" s="58">
        <v>192126</v>
      </c>
      <c r="E78" s="58">
        <v>185630</v>
      </c>
      <c r="F78" s="59">
        <f t="shared" si="1"/>
        <v>188878</v>
      </c>
    </row>
    <row r="79" spans="3:6" x14ac:dyDescent="0.25">
      <c r="C79" s="41" t="s">
        <v>80</v>
      </c>
      <c r="D79" s="58">
        <v>198904</v>
      </c>
      <c r="E79" s="58">
        <v>188339</v>
      </c>
      <c r="F79" s="59">
        <f t="shared" si="1"/>
        <v>193621.5</v>
      </c>
    </row>
    <row r="80" spans="3:6" x14ac:dyDescent="0.25">
      <c r="C80" s="41" t="s">
        <v>81</v>
      </c>
      <c r="D80" s="58">
        <v>201622</v>
      </c>
      <c r="E80" s="58">
        <v>194454</v>
      </c>
      <c r="F80" s="59">
        <f t="shared" si="1"/>
        <v>198038</v>
      </c>
    </row>
    <row r="81" spans="3:6" x14ac:dyDescent="0.25">
      <c r="C81" s="41" t="s">
        <v>82</v>
      </c>
      <c r="D81" s="58">
        <v>140597</v>
      </c>
      <c r="E81" s="58">
        <v>196590</v>
      </c>
      <c r="F81" s="59">
        <f t="shared" si="1"/>
        <v>168593.5</v>
      </c>
    </row>
    <row r="82" spans="3:6" x14ac:dyDescent="0.25">
      <c r="C82" s="41" t="s">
        <v>83</v>
      </c>
      <c r="D82" s="58">
        <v>143353</v>
      </c>
      <c r="E82" s="58">
        <v>136563</v>
      </c>
      <c r="F82" s="59">
        <f t="shared" si="1"/>
        <v>139958</v>
      </c>
    </row>
    <row r="83" spans="3:6" x14ac:dyDescent="0.25">
      <c r="C83" s="41" t="s">
        <v>84</v>
      </c>
      <c r="D83" s="58">
        <v>132521</v>
      </c>
      <c r="E83" s="58">
        <v>138728</v>
      </c>
      <c r="F83" s="59">
        <f t="shared" si="1"/>
        <v>135624.5</v>
      </c>
    </row>
    <row r="84" spans="3:6" x14ac:dyDescent="0.25">
      <c r="C84" s="41" t="s">
        <v>85</v>
      </c>
      <c r="D84" s="58">
        <v>118606</v>
      </c>
      <c r="E84" s="58">
        <v>127888</v>
      </c>
      <c r="F84" s="59">
        <f t="shared" si="1"/>
        <v>123247</v>
      </c>
    </row>
    <row r="85" spans="3:6" x14ac:dyDescent="0.25">
      <c r="C85" s="41" t="s">
        <v>86</v>
      </c>
      <c r="D85" s="58">
        <v>108983</v>
      </c>
      <c r="E85" s="58">
        <v>113836</v>
      </c>
      <c r="F85" s="59">
        <f t="shared" si="1"/>
        <v>111409.5</v>
      </c>
    </row>
    <row r="86" spans="3:6" x14ac:dyDescent="0.25">
      <c r="C86" s="41" t="s">
        <v>87</v>
      </c>
      <c r="D86" s="58">
        <v>107048</v>
      </c>
      <c r="E86" s="58">
        <v>104107</v>
      </c>
      <c r="F86" s="59">
        <f t="shared" si="1"/>
        <v>105577.5</v>
      </c>
    </row>
    <row r="87" spans="3:6" x14ac:dyDescent="0.25">
      <c r="C87" s="41" t="s">
        <v>88</v>
      </c>
      <c r="D87" s="58">
        <v>98199</v>
      </c>
      <c r="E87" s="58">
        <v>101553</v>
      </c>
      <c r="F87" s="59">
        <f t="shared" si="1"/>
        <v>99876</v>
      </c>
    </row>
    <row r="88" spans="3:6" x14ac:dyDescent="0.25">
      <c r="C88" s="41" t="s">
        <v>89</v>
      </c>
      <c r="D88" s="58">
        <v>90976</v>
      </c>
      <c r="E88" s="58">
        <v>92671</v>
      </c>
      <c r="F88" s="59">
        <f t="shared" si="1"/>
        <v>91823.5</v>
      </c>
    </row>
    <row r="89" spans="3:6" x14ac:dyDescent="0.25">
      <c r="C89" s="41" t="s">
        <v>90</v>
      </c>
      <c r="D89" s="58">
        <v>79679</v>
      </c>
      <c r="E89" s="58">
        <v>85237</v>
      </c>
      <c r="F89" s="59">
        <f t="shared" si="1"/>
        <v>82458</v>
      </c>
    </row>
    <row r="90" spans="3:6" x14ac:dyDescent="0.25">
      <c r="C90" s="41" t="s">
        <v>91</v>
      </c>
      <c r="D90" s="58">
        <v>73221</v>
      </c>
      <c r="E90" s="58">
        <v>73972</v>
      </c>
      <c r="F90" s="59">
        <f t="shared" si="1"/>
        <v>73596.5</v>
      </c>
    </row>
    <row r="91" spans="3:6" x14ac:dyDescent="0.25">
      <c r="C91" s="41" t="s">
        <v>92</v>
      </c>
      <c r="D91" s="58">
        <v>65612</v>
      </c>
      <c r="E91" s="58">
        <v>67067</v>
      </c>
      <c r="F91" s="59">
        <f t="shared" si="1"/>
        <v>66339.5</v>
      </c>
    </row>
    <row r="92" spans="3:6" x14ac:dyDescent="0.25">
      <c r="C92" s="41" t="s">
        <v>93</v>
      </c>
      <c r="D92" s="58">
        <v>58402</v>
      </c>
      <c r="E92" s="58">
        <v>59420</v>
      </c>
      <c r="F92" s="59">
        <f t="shared" si="1"/>
        <v>58911</v>
      </c>
    </row>
    <row r="93" spans="3:6" x14ac:dyDescent="0.25">
      <c r="C93" s="41" t="s">
        <v>94</v>
      </c>
      <c r="D93" s="58">
        <v>50597</v>
      </c>
      <c r="E93" s="58">
        <v>52155</v>
      </c>
      <c r="F93" s="59">
        <f t="shared" si="1"/>
        <v>51376</v>
      </c>
    </row>
    <row r="94" spans="3:6" x14ac:dyDescent="0.25">
      <c r="C94" s="41" t="s">
        <v>95</v>
      </c>
      <c r="D94" s="58">
        <v>45191</v>
      </c>
      <c r="E94" s="58">
        <v>44428</v>
      </c>
      <c r="F94" s="59">
        <f t="shared" si="1"/>
        <v>44809.5</v>
      </c>
    </row>
    <row r="95" spans="3:6" x14ac:dyDescent="0.25">
      <c r="C95" s="41" t="s">
        <v>96</v>
      </c>
      <c r="D95" s="58">
        <v>38007</v>
      </c>
      <c r="E95" s="58">
        <v>38948</v>
      </c>
      <c r="F95" s="59">
        <f t="shared" si="1"/>
        <v>38477.5</v>
      </c>
    </row>
    <row r="96" spans="3:6" x14ac:dyDescent="0.25">
      <c r="C96" s="41" t="s">
        <v>97</v>
      </c>
      <c r="D96" s="58">
        <v>32206</v>
      </c>
      <c r="E96" s="58">
        <v>32086</v>
      </c>
      <c r="F96" s="59">
        <f t="shared" si="1"/>
        <v>32146</v>
      </c>
    </row>
    <row r="97" spans="3:6" x14ac:dyDescent="0.25">
      <c r="C97" s="41" t="s">
        <v>98</v>
      </c>
      <c r="D97" s="58">
        <v>25188</v>
      </c>
      <c r="E97" s="58">
        <v>26672</v>
      </c>
      <c r="F97" s="59">
        <f t="shared" si="1"/>
        <v>25930</v>
      </c>
    </row>
    <row r="98" spans="3:6" x14ac:dyDescent="0.25">
      <c r="C98" s="41" t="s">
        <v>99</v>
      </c>
      <c r="D98" s="58">
        <v>20335</v>
      </c>
      <c r="E98" s="58">
        <v>20250</v>
      </c>
      <c r="F98" s="59">
        <f t="shared" si="1"/>
        <v>20292.5</v>
      </c>
    </row>
    <row r="99" spans="3:6" x14ac:dyDescent="0.25">
      <c r="C99" s="41" t="s">
        <v>100</v>
      </c>
      <c r="D99" s="58">
        <v>15450</v>
      </c>
      <c r="E99" s="58">
        <v>16003</v>
      </c>
      <c r="F99" s="59">
        <f t="shared" si="1"/>
        <v>15726.5</v>
      </c>
    </row>
    <row r="100" spans="3:6" x14ac:dyDescent="0.25">
      <c r="C100" s="41" t="s">
        <v>101</v>
      </c>
      <c r="D100" s="58">
        <v>11869</v>
      </c>
      <c r="E100" s="58">
        <v>11729</v>
      </c>
      <c r="F100" s="59">
        <f t="shared" si="1"/>
        <v>11799</v>
      </c>
    </row>
    <row r="101" spans="3:6" x14ac:dyDescent="0.25">
      <c r="C101" s="41" t="s">
        <v>102</v>
      </c>
      <c r="D101" s="58">
        <v>8685</v>
      </c>
      <c r="E101" s="58">
        <v>8822</v>
      </c>
      <c r="F101" s="59">
        <f t="shared" si="1"/>
        <v>8753.5</v>
      </c>
    </row>
    <row r="102" spans="3:6" x14ac:dyDescent="0.25">
      <c r="C102" s="41" t="s">
        <v>103</v>
      </c>
      <c r="D102" s="58">
        <v>6349</v>
      </c>
      <c r="E102" s="58">
        <v>6229</v>
      </c>
      <c r="F102" s="59">
        <f t="shared" si="1"/>
        <v>6289</v>
      </c>
    </row>
    <row r="103" spans="3:6" x14ac:dyDescent="0.25">
      <c r="C103" s="41" t="s">
        <v>104</v>
      </c>
      <c r="D103" s="58">
        <v>4352</v>
      </c>
      <c r="E103" s="58">
        <v>4356</v>
      </c>
      <c r="F103" s="59">
        <f t="shared" si="1"/>
        <v>4354</v>
      </c>
    </row>
    <row r="104" spans="3:6" x14ac:dyDescent="0.25">
      <c r="C104" s="41" t="s">
        <v>105</v>
      </c>
      <c r="D104" s="58">
        <v>2922</v>
      </c>
      <c r="E104" s="58">
        <v>2895</v>
      </c>
      <c r="F104" s="59">
        <f t="shared" si="1"/>
        <v>2908.5</v>
      </c>
    </row>
    <row r="105" spans="3:6" x14ac:dyDescent="0.25">
      <c r="C105" s="41" t="s">
        <v>106</v>
      </c>
      <c r="D105" s="58">
        <v>1837</v>
      </c>
      <c r="E105" s="58">
        <v>1912</v>
      </c>
      <c r="F105" s="59">
        <f t="shared" si="1"/>
        <v>1874.5</v>
      </c>
    </row>
    <row r="106" spans="3:6" x14ac:dyDescent="0.25">
      <c r="C106" s="41" t="s">
        <v>107</v>
      </c>
      <c r="D106" s="58">
        <v>1169</v>
      </c>
      <c r="E106" s="58">
        <v>1146</v>
      </c>
      <c r="F106" s="59">
        <f t="shared" si="1"/>
        <v>1157.5</v>
      </c>
    </row>
    <row r="107" spans="3:6" x14ac:dyDescent="0.25">
      <c r="C107" s="41" t="s">
        <v>108</v>
      </c>
      <c r="D107" s="58">
        <v>638</v>
      </c>
      <c r="E107" s="58">
        <v>705</v>
      </c>
      <c r="F107" s="59">
        <f t="shared" si="1"/>
        <v>671.5</v>
      </c>
    </row>
    <row r="108" spans="3:6" x14ac:dyDescent="0.25">
      <c r="C108" s="41" t="s">
        <v>109</v>
      </c>
      <c r="D108" s="58">
        <v>341</v>
      </c>
      <c r="E108" s="58">
        <v>355</v>
      </c>
      <c r="F108" s="59">
        <f t="shared" si="1"/>
        <v>348</v>
      </c>
    </row>
    <row r="109" spans="3:6" x14ac:dyDescent="0.25">
      <c r="C109" s="41" t="s">
        <v>110</v>
      </c>
      <c r="D109" s="58">
        <v>201</v>
      </c>
      <c r="E109" s="58">
        <v>199</v>
      </c>
      <c r="F109" s="59">
        <f t="shared" si="1"/>
        <v>200</v>
      </c>
    </row>
    <row r="110" spans="3:6" x14ac:dyDescent="0.25">
      <c r="C110" s="41" t="s">
        <v>111</v>
      </c>
      <c r="D110" s="58">
        <v>97</v>
      </c>
      <c r="E110" s="58">
        <v>104</v>
      </c>
      <c r="F110" s="59">
        <f t="shared" si="1"/>
        <v>100.5</v>
      </c>
    </row>
    <row r="111" spans="3:6" x14ac:dyDescent="0.25">
      <c r="C111" s="41" t="s">
        <v>112</v>
      </c>
      <c r="D111" s="58">
        <v>90</v>
      </c>
      <c r="E111" s="58">
        <v>86</v>
      </c>
      <c r="F111" s="59">
        <f t="shared" si="1"/>
        <v>88</v>
      </c>
    </row>
    <row r="112" spans="3:6" x14ac:dyDescent="0.25">
      <c r="C112" s="41" t="s">
        <v>113</v>
      </c>
      <c r="D112" s="58">
        <f>SUM(D6:D111)</f>
        <v>17475415</v>
      </c>
      <c r="E112" s="58">
        <f>SUM(E6:E111)</f>
        <v>17590672</v>
      </c>
      <c r="F112" s="59">
        <f>SUM(F6:F111)</f>
        <v>17533043.5</v>
      </c>
    </row>
  </sheetData>
  <mergeCells count="4">
    <mergeCell ref="C4:F4"/>
    <mergeCell ref="H5:K5"/>
    <mergeCell ref="H6:K6"/>
    <mergeCell ref="H7:K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D4BB-5E5F-4F84-B36E-369D0365AD7D}">
  <sheetPr>
    <tabColor theme="5" tint="0.39997558519241921"/>
  </sheetPr>
  <dimension ref="C2:Z27"/>
  <sheetViews>
    <sheetView workbookViewId="0">
      <selection activeCell="B2" sqref="B2:E13"/>
    </sheetView>
  </sheetViews>
  <sheetFormatPr defaultRowHeight="12.75" x14ac:dyDescent="0.2"/>
  <cols>
    <col min="1" max="2" width="9.140625" style="1"/>
    <col min="3" max="3" width="30.28515625" style="1" customWidth="1"/>
    <col min="4" max="4" width="12.5703125" style="1" customWidth="1"/>
    <col min="5" max="5" width="15.7109375" style="1" customWidth="1"/>
    <col min="6" max="12" width="9.140625" style="1"/>
    <col min="13" max="13" width="30.42578125" style="1" customWidth="1"/>
    <col min="14" max="14" width="9.140625" style="1"/>
    <col min="15" max="15" width="12.85546875" style="1" customWidth="1"/>
    <col min="16" max="16384" width="9.140625" style="1"/>
  </cols>
  <sheetData>
    <row r="2" spans="3:26" ht="15.75" x14ac:dyDescent="0.25">
      <c r="C2" s="12" t="s">
        <v>137</v>
      </c>
      <c r="M2" s="12" t="s">
        <v>138</v>
      </c>
    </row>
    <row r="3" spans="3:26" x14ac:dyDescent="0.2">
      <c r="M3" s="3" t="s">
        <v>141</v>
      </c>
    </row>
    <row r="4" spans="3:26" ht="15" x14ac:dyDescent="0.2">
      <c r="C4" s="13" t="s">
        <v>128</v>
      </c>
    </row>
    <row r="5" spans="3:26" ht="15" x14ac:dyDescent="0.2">
      <c r="C5" s="13"/>
    </row>
    <row r="6" spans="3:26" ht="15" x14ac:dyDescent="0.2">
      <c r="C6" s="13"/>
    </row>
    <row r="7" spans="3:26" x14ac:dyDescent="0.2">
      <c r="C7" s="3"/>
      <c r="D7" s="102" t="s">
        <v>133</v>
      </c>
      <c r="E7" s="102"/>
      <c r="F7" s="102" t="s">
        <v>136</v>
      </c>
      <c r="G7" s="102"/>
      <c r="H7" s="102"/>
    </row>
    <row r="8" spans="3:26" ht="25.5" x14ac:dyDescent="0.2">
      <c r="C8" s="3" t="s">
        <v>129</v>
      </c>
      <c r="D8" s="47" t="s">
        <v>134</v>
      </c>
      <c r="E8" s="47" t="s">
        <v>135</v>
      </c>
      <c r="F8" s="47" t="s">
        <v>134</v>
      </c>
      <c r="G8" s="47" t="s">
        <v>135</v>
      </c>
      <c r="H8" s="47" t="s">
        <v>113</v>
      </c>
      <c r="M8" s="3" t="s">
        <v>129</v>
      </c>
      <c r="N8" s="11" t="s">
        <v>140</v>
      </c>
      <c r="O8" s="11" t="s">
        <v>144</v>
      </c>
      <c r="R8" s="15" t="s">
        <v>156</v>
      </c>
    </row>
    <row r="9" spans="3:26" x14ac:dyDescent="0.2">
      <c r="C9" s="11" t="s">
        <v>130</v>
      </c>
      <c r="D9" s="46">
        <v>1.8</v>
      </c>
      <c r="E9" s="46">
        <v>1.3</v>
      </c>
      <c r="F9" s="46">
        <v>15300</v>
      </c>
      <c r="G9" s="46">
        <v>11300</v>
      </c>
      <c r="H9" s="46">
        <f>F9+G9</f>
        <v>26600</v>
      </c>
      <c r="M9" s="3" t="s">
        <v>139</v>
      </c>
      <c r="N9" s="1">
        <v>7284</v>
      </c>
      <c r="O9" s="1">
        <v>41.5</v>
      </c>
    </row>
    <row r="10" spans="3:26" ht="15.75" customHeight="1" x14ac:dyDescent="0.2">
      <c r="C10" s="11" t="s">
        <v>131</v>
      </c>
      <c r="D10" s="46">
        <v>5.5</v>
      </c>
      <c r="E10" s="46">
        <v>2.4</v>
      </c>
      <c r="F10" s="46">
        <v>48200</v>
      </c>
      <c r="G10" s="46">
        <v>21600</v>
      </c>
      <c r="H10" s="46">
        <f t="shared" ref="H10:H11" si="0">F10+G10</f>
        <v>69800</v>
      </c>
      <c r="M10" s="11" t="s">
        <v>142</v>
      </c>
      <c r="N10" s="1">
        <v>30728</v>
      </c>
      <c r="O10" s="1">
        <v>175.3</v>
      </c>
    </row>
    <row r="11" spans="3:26" ht="15.75" customHeight="1" x14ac:dyDescent="0.2">
      <c r="C11" s="11" t="s">
        <v>132</v>
      </c>
      <c r="D11" s="46">
        <v>0.8</v>
      </c>
      <c r="E11" s="46">
        <v>0.4</v>
      </c>
      <c r="F11" s="46">
        <v>6800</v>
      </c>
      <c r="G11" s="46">
        <v>3300</v>
      </c>
      <c r="H11" s="46">
        <f t="shared" si="0"/>
        <v>10100</v>
      </c>
      <c r="M11" s="11" t="s">
        <v>143</v>
      </c>
      <c r="N11" s="1">
        <v>13881</v>
      </c>
      <c r="O11" s="1">
        <v>79.2</v>
      </c>
      <c r="P11" s="14"/>
    </row>
    <row r="12" spans="3:26" x14ac:dyDescent="0.2">
      <c r="D12" s="46"/>
      <c r="E12" s="46"/>
      <c r="F12" s="46"/>
      <c r="G12" s="46"/>
      <c r="H12" s="46">
        <f>SUM(H9:H11)</f>
        <v>106500</v>
      </c>
      <c r="N12" s="1">
        <f>SUM(N9:N11)</f>
        <v>51893</v>
      </c>
      <c r="R12" s="15" t="s">
        <v>157</v>
      </c>
    </row>
    <row r="15" spans="3:26" x14ac:dyDescent="0.2">
      <c r="C15" s="15" t="s">
        <v>154</v>
      </c>
    </row>
    <row r="16" spans="3:26" ht="15.75" x14ac:dyDescent="0.25">
      <c r="C16" s="15" t="s">
        <v>155</v>
      </c>
      <c r="M16" s="42" t="s">
        <v>145</v>
      </c>
      <c r="N16" s="42"/>
      <c r="O16" s="42"/>
      <c r="P16" s="42"/>
      <c r="Q16" s="42"/>
      <c r="R16" s="42"/>
      <c r="S16" s="43"/>
      <c r="T16" s="43"/>
      <c r="U16" s="43"/>
      <c r="V16" s="43"/>
      <c r="W16" s="43"/>
      <c r="X16" s="43"/>
      <c r="Y16" s="43"/>
      <c r="Z16" s="43"/>
    </row>
    <row r="17" spans="3:26" x14ac:dyDescent="0.2">
      <c r="M17" s="43" t="s">
        <v>148</v>
      </c>
      <c r="N17" s="43"/>
      <c r="O17" s="43"/>
      <c r="P17" s="43"/>
      <c r="Q17" s="43"/>
      <c r="R17" s="43"/>
      <c r="S17" s="43"/>
      <c r="T17" s="43"/>
      <c r="U17" s="43"/>
      <c r="V17" s="43"/>
      <c r="W17" s="43"/>
      <c r="X17" s="43"/>
      <c r="Y17" s="43"/>
      <c r="Z17" s="43"/>
    </row>
    <row r="18" spans="3:26" x14ac:dyDescent="0.2">
      <c r="M18" s="43"/>
      <c r="N18" s="43"/>
      <c r="O18" s="43"/>
      <c r="P18" s="43"/>
      <c r="Q18" s="43"/>
      <c r="R18" s="43"/>
      <c r="S18" s="43"/>
      <c r="T18" s="43"/>
      <c r="U18" s="43"/>
      <c r="V18" s="43"/>
      <c r="W18" s="43"/>
      <c r="X18" s="43"/>
      <c r="Y18" s="43"/>
      <c r="Z18" s="43"/>
    </row>
    <row r="19" spans="3:26" x14ac:dyDescent="0.2">
      <c r="M19" s="43" t="s">
        <v>146</v>
      </c>
      <c r="N19" s="43"/>
      <c r="O19" s="43"/>
      <c r="P19" s="43"/>
      <c r="Q19" s="43"/>
      <c r="R19" s="43"/>
      <c r="S19" s="43"/>
      <c r="T19" s="43"/>
      <c r="U19" s="43"/>
      <c r="V19" s="43"/>
      <c r="W19" s="43"/>
      <c r="X19" s="43"/>
      <c r="Y19" s="43"/>
      <c r="Z19" s="43"/>
    </row>
    <row r="20" spans="3:26" x14ac:dyDescent="0.2">
      <c r="C20" s="8" t="s">
        <v>186</v>
      </c>
      <c r="D20" s="10">
        <f>N12</f>
        <v>51893</v>
      </c>
      <c r="M20" s="43" t="s">
        <v>147</v>
      </c>
      <c r="N20" s="43"/>
      <c r="O20" s="43"/>
      <c r="P20" s="43"/>
      <c r="Q20" s="43"/>
      <c r="R20" s="43"/>
      <c r="S20" s="43"/>
      <c r="T20" s="43"/>
      <c r="U20" s="43"/>
      <c r="V20" s="43"/>
      <c r="W20" s="43"/>
      <c r="X20" s="43"/>
      <c r="Y20" s="43"/>
      <c r="Z20" s="43"/>
    </row>
    <row r="21" spans="3:26" x14ac:dyDescent="0.2">
      <c r="M21" s="43"/>
      <c r="N21" s="43"/>
      <c r="O21" s="43"/>
      <c r="P21" s="43"/>
      <c r="Q21" s="43"/>
      <c r="R21" s="43"/>
      <c r="S21" s="43"/>
      <c r="T21" s="43"/>
      <c r="U21" s="43"/>
      <c r="V21" s="43"/>
      <c r="W21" s="43"/>
      <c r="X21" s="43"/>
      <c r="Y21" s="43"/>
      <c r="Z21" s="43"/>
    </row>
    <row r="22" spans="3:26" x14ac:dyDescent="0.2">
      <c r="M22" s="43" t="s">
        <v>152</v>
      </c>
      <c r="N22" s="43"/>
      <c r="O22" s="43"/>
      <c r="P22" s="43"/>
      <c r="Q22" s="43"/>
      <c r="R22" s="43"/>
      <c r="S22" s="43"/>
      <c r="T22" s="43"/>
      <c r="U22" s="43"/>
      <c r="V22" s="43"/>
      <c r="W22" s="43"/>
      <c r="X22" s="43"/>
      <c r="Y22" s="43"/>
      <c r="Z22" s="43"/>
    </row>
    <row r="23" spans="3:26" x14ac:dyDescent="0.2">
      <c r="M23" s="44">
        <f>(267*Bevolkingsgegevens!L5)/100000</f>
        <v>46813.226145000001</v>
      </c>
      <c r="N23" s="43" t="s">
        <v>153</v>
      </c>
      <c r="O23" s="43"/>
      <c r="P23" s="43"/>
      <c r="Q23" s="43"/>
      <c r="R23" s="43"/>
      <c r="S23" s="43"/>
      <c r="T23" s="43"/>
      <c r="U23" s="43"/>
      <c r="V23" s="43"/>
      <c r="W23" s="43"/>
      <c r="X23" s="43"/>
      <c r="Y23" s="43"/>
      <c r="Z23" s="43"/>
    </row>
    <row r="24" spans="3:26" x14ac:dyDescent="0.2">
      <c r="M24" s="43"/>
      <c r="N24" s="43"/>
      <c r="O24" s="43"/>
      <c r="P24" s="43"/>
      <c r="Q24" s="43"/>
      <c r="R24" s="43"/>
      <c r="S24" s="43"/>
      <c r="T24" s="43"/>
      <c r="U24" s="43"/>
      <c r="V24" s="43"/>
      <c r="W24" s="43"/>
      <c r="X24" s="43"/>
      <c r="Y24" s="43"/>
      <c r="Z24" s="43"/>
    </row>
    <row r="25" spans="3:26" x14ac:dyDescent="0.2">
      <c r="M25" s="43"/>
      <c r="N25" s="43"/>
      <c r="O25" s="43"/>
      <c r="P25" s="43"/>
      <c r="Q25" s="43"/>
      <c r="R25" s="43"/>
      <c r="S25" s="43"/>
      <c r="T25" s="43"/>
      <c r="U25" s="43"/>
      <c r="V25" s="43"/>
      <c r="W25" s="43"/>
      <c r="X25" s="43"/>
      <c r="Y25" s="43"/>
      <c r="Z25" s="43"/>
    </row>
    <row r="26" spans="3:26" x14ac:dyDescent="0.2">
      <c r="M26" s="45" t="s">
        <v>149</v>
      </c>
      <c r="N26" s="43"/>
      <c r="O26" s="43"/>
      <c r="P26" s="43"/>
      <c r="Q26" s="43"/>
      <c r="R26" s="43"/>
      <c r="S26" s="43"/>
      <c r="T26" s="43"/>
      <c r="U26" s="43"/>
      <c r="V26" s="43"/>
      <c r="W26" s="43"/>
      <c r="X26" s="43"/>
      <c r="Y26" s="43"/>
      <c r="Z26" s="43"/>
    </row>
    <row r="27" spans="3:26" x14ac:dyDescent="0.2">
      <c r="M27" s="43"/>
      <c r="N27" s="43"/>
      <c r="O27" s="43"/>
      <c r="P27" s="43"/>
      <c r="Q27" s="43"/>
      <c r="R27" s="43"/>
      <c r="S27" s="43"/>
      <c r="T27" s="43"/>
      <c r="U27" s="43"/>
      <c r="V27" s="43"/>
      <c r="W27" s="43"/>
      <c r="X27" s="43"/>
      <c r="Y27" s="43"/>
      <c r="Z27" s="43"/>
    </row>
  </sheetData>
  <mergeCells count="2">
    <mergeCell ref="D7:E7"/>
    <mergeCell ref="F7:H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270A-621A-4797-9A57-E27524992942}">
  <sheetPr>
    <tabColor theme="9" tint="0.39997558519241921"/>
  </sheetPr>
  <dimension ref="A1:Q38"/>
  <sheetViews>
    <sheetView tabSelected="1" workbookViewId="0">
      <selection activeCell="L42" sqref="L42"/>
    </sheetView>
  </sheetViews>
  <sheetFormatPr defaultRowHeight="15" x14ac:dyDescent="0.25"/>
  <cols>
    <col min="2" max="2" width="9.85546875" customWidth="1"/>
    <col min="3" max="3" width="11.85546875" bestFit="1" customWidth="1"/>
    <col min="4" max="4" width="12" customWidth="1"/>
    <col min="5" max="5" width="11.85546875" customWidth="1"/>
    <col min="6" max="6" width="10.28515625" customWidth="1"/>
    <col min="8" max="8" width="10.42578125" customWidth="1"/>
    <col min="9" max="9" width="10.7109375" customWidth="1"/>
    <col min="10" max="10" width="13.140625" customWidth="1"/>
    <col min="11" max="11" width="15.28515625" customWidth="1"/>
    <col min="12" max="12" width="14" customWidth="1"/>
    <col min="13" max="13" width="10.28515625" customWidth="1"/>
    <col min="14" max="14" width="78.140625" customWidth="1"/>
    <col min="15" max="15" width="11.7109375" customWidth="1"/>
    <col min="16" max="16" width="12" customWidth="1"/>
    <col min="17" max="17" width="11.85546875" customWidth="1"/>
  </cols>
  <sheetData>
    <row r="1" spans="1:17" x14ac:dyDescent="0.25">
      <c r="A1" s="66" t="s">
        <v>192</v>
      </c>
    </row>
    <row r="2" spans="1:17" ht="18.75" x14ac:dyDescent="0.3">
      <c r="A2" s="48" t="s">
        <v>187</v>
      </c>
    </row>
    <row r="4" spans="1:17" x14ac:dyDescent="0.25">
      <c r="A4" s="78" t="s">
        <v>189</v>
      </c>
      <c r="B4" s="78"/>
      <c r="C4" s="78"/>
      <c r="D4" s="78"/>
      <c r="E4" s="78"/>
      <c r="F4" s="78"/>
      <c r="G4" s="78"/>
      <c r="H4" s="78"/>
      <c r="I4" s="78"/>
      <c r="J4" s="78"/>
      <c r="K4" s="78"/>
      <c r="L4" s="78"/>
      <c r="M4" s="1"/>
      <c r="N4" s="1"/>
      <c r="O4" s="1"/>
      <c r="P4" s="1"/>
      <c r="Q4" s="1"/>
    </row>
    <row r="5" spans="1:17" x14ac:dyDescent="0.25">
      <c r="A5" s="1"/>
      <c r="B5" s="1"/>
      <c r="C5" s="1"/>
      <c r="D5" s="1"/>
      <c r="E5" s="1"/>
      <c r="F5" s="1"/>
      <c r="G5" s="1"/>
      <c r="H5" s="1"/>
      <c r="I5" s="1"/>
      <c r="J5" s="1"/>
      <c r="K5" s="1"/>
      <c r="L5" s="1"/>
      <c r="M5" s="1"/>
      <c r="N5" s="1"/>
      <c r="O5" s="1"/>
      <c r="P5" s="1"/>
      <c r="Q5" s="1"/>
    </row>
    <row r="6" spans="1:17" x14ac:dyDescent="0.25">
      <c r="A6" s="79" t="s">
        <v>178</v>
      </c>
      <c r="B6" s="80"/>
      <c r="C6" s="80"/>
      <c r="D6" s="80"/>
      <c r="E6" s="81"/>
      <c r="F6" s="61">
        <v>359370</v>
      </c>
      <c r="G6" s="1"/>
      <c r="M6" s="1"/>
    </row>
    <row r="7" spans="1:17" x14ac:dyDescent="0.25">
      <c r="A7" s="1"/>
      <c r="B7" s="1"/>
      <c r="C7" s="1"/>
      <c r="D7" s="1"/>
      <c r="E7" s="1"/>
      <c r="F7" s="1"/>
      <c r="G7" s="1"/>
      <c r="H7" s="1"/>
      <c r="I7" s="1"/>
      <c r="J7" s="1"/>
      <c r="K7" s="1"/>
      <c r="L7" s="1"/>
      <c r="M7" s="1"/>
    </row>
    <row r="8" spans="1:17" x14ac:dyDescent="0.25">
      <c r="A8" s="87" t="s">
        <v>194</v>
      </c>
      <c r="B8" s="87"/>
      <c r="C8" s="87"/>
      <c r="D8" s="87"/>
      <c r="E8" s="87"/>
      <c r="F8" s="3"/>
      <c r="G8" s="1"/>
      <c r="H8" s="87" t="s">
        <v>195</v>
      </c>
      <c r="I8" s="87"/>
      <c r="J8" s="87"/>
      <c r="K8" s="87"/>
      <c r="L8" s="87"/>
      <c r="M8" s="3"/>
    </row>
    <row r="9" spans="1:17" x14ac:dyDescent="0.25">
      <c r="A9" s="52" t="s">
        <v>173</v>
      </c>
      <c r="B9" s="52" t="s">
        <v>174</v>
      </c>
      <c r="C9" s="52" t="s">
        <v>175</v>
      </c>
      <c r="D9" s="52" t="s">
        <v>176</v>
      </c>
      <c r="E9" s="52" t="s">
        <v>177</v>
      </c>
      <c r="F9" s="1"/>
      <c r="G9" s="1"/>
      <c r="H9" s="52" t="s">
        <v>173</v>
      </c>
      <c r="I9" s="52" t="s">
        <v>174</v>
      </c>
      <c r="J9" s="52" t="s">
        <v>175</v>
      </c>
      <c r="K9" s="52" t="s">
        <v>176</v>
      </c>
      <c r="L9" s="52" t="s">
        <v>177</v>
      </c>
      <c r="M9" s="1"/>
    </row>
    <row r="10" spans="1:17" x14ac:dyDescent="0.25">
      <c r="A10" s="20">
        <v>40</v>
      </c>
      <c r="B10" s="20">
        <v>45</v>
      </c>
      <c r="C10" s="63"/>
      <c r="D10" s="63"/>
      <c r="E10" s="63"/>
      <c r="F10" s="1"/>
      <c r="G10" s="1"/>
      <c r="H10" s="20">
        <v>30</v>
      </c>
      <c r="I10" s="20">
        <v>35</v>
      </c>
      <c r="J10" s="85"/>
      <c r="K10" s="85"/>
      <c r="L10" s="64"/>
      <c r="M10" s="1"/>
    </row>
    <row r="11" spans="1:17" x14ac:dyDescent="0.25">
      <c r="A11" s="20">
        <v>45</v>
      </c>
      <c r="B11" s="20">
        <v>50</v>
      </c>
      <c r="C11" s="63"/>
      <c r="D11" s="63"/>
      <c r="E11" s="63"/>
      <c r="F11" s="1"/>
      <c r="G11" s="1"/>
      <c r="H11" s="20">
        <v>35</v>
      </c>
      <c r="I11" s="20">
        <v>40</v>
      </c>
      <c r="J11" s="86"/>
      <c r="K11" s="86"/>
      <c r="L11" s="64"/>
      <c r="M11" s="1"/>
    </row>
    <row r="12" spans="1:17" x14ac:dyDescent="0.25">
      <c r="A12" s="20">
        <v>50</v>
      </c>
      <c r="B12" s="20">
        <v>55</v>
      </c>
      <c r="C12" s="63"/>
      <c r="D12" s="63"/>
      <c r="E12" s="63"/>
      <c r="F12" s="1"/>
      <c r="G12" s="1"/>
      <c r="H12" s="20">
        <v>40</v>
      </c>
      <c r="I12" s="20">
        <v>45</v>
      </c>
      <c r="J12" s="63"/>
      <c r="K12" s="64"/>
      <c r="L12" s="64"/>
      <c r="M12" s="1"/>
    </row>
    <row r="13" spans="1:17" x14ac:dyDescent="0.25">
      <c r="A13" s="20">
        <v>55</v>
      </c>
      <c r="B13" s="20">
        <v>60</v>
      </c>
      <c r="C13" s="26">
        <v>89700</v>
      </c>
      <c r="D13" s="26">
        <v>6100</v>
      </c>
      <c r="E13" s="26">
        <v>1000</v>
      </c>
      <c r="F13" s="1"/>
      <c r="G13" s="1"/>
      <c r="H13" s="20">
        <v>45</v>
      </c>
      <c r="I13" s="20">
        <v>50</v>
      </c>
      <c r="J13" s="63"/>
      <c r="K13" s="64"/>
      <c r="L13" s="64"/>
      <c r="M13" s="1"/>
    </row>
    <row r="14" spans="1:17" x14ac:dyDescent="0.25">
      <c r="A14" s="20">
        <v>60</v>
      </c>
      <c r="B14" s="20">
        <v>65</v>
      </c>
      <c r="C14" s="26">
        <v>71200</v>
      </c>
      <c r="D14" s="26">
        <v>3300</v>
      </c>
      <c r="E14" s="26">
        <v>800</v>
      </c>
      <c r="F14" s="1"/>
      <c r="G14" s="1"/>
      <c r="H14" s="20">
        <v>50</v>
      </c>
      <c r="I14" s="20">
        <v>55</v>
      </c>
      <c r="J14" s="26">
        <v>71000</v>
      </c>
      <c r="K14" s="26">
        <v>3500</v>
      </c>
      <c r="L14" s="26">
        <v>200</v>
      </c>
      <c r="M14" s="1"/>
    </row>
    <row r="15" spans="1:17" x14ac:dyDescent="0.25">
      <c r="A15" s="20">
        <v>65</v>
      </c>
      <c r="B15" s="20">
        <v>70</v>
      </c>
      <c r="C15" s="26">
        <v>31100</v>
      </c>
      <c r="D15" s="26">
        <v>200</v>
      </c>
      <c r="E15" s="26">
        <v>50</v>
      </c>
      <c r="F15" s="1"/>
      <c r="G15" s="1"/>
      <c r="H15" s="20">
        <v>55</v>
      </c>
      <c r="I15" s="20">
        <v>60</v>
      </c>
      <c r="J15" s="26">
        <v>38400</v>
      </c>
      <c r="K15" s="26">
        <v>900</v>
      </c>
      <c r="L15" s="26">
        <v>100</v>
      </c>
      <c r="M15" s="1"/>
    </row>
    <row r="16" spans="1:17" x14ac:dyDescent="0.25">
      <c r="A16" s="20">
        <v>70</v>
      </c>
      <c r="B16" s="20">
        <v>75</v>
      </c>
      <c r="C16" s="26">
        <v>1700</v>
      </c>
      <c r="D16" s="26">
        <v>0</v>
      </c>
      <c r="E16" s="26"/>
      <c r="F16" s="1"/>
      <c r="G16" s="1"/>
      <c r="H16" s="20">
        <v>60</v>
      </c>
      <c r="I16" s="20">
        <v>65</v>
      </c>
      <c r="J16" s="26">
        <v>3600</v>
      </c>
      <c r="K16" s="26">
        <v>0</v>
      </c>
      <c r="L16" s="26"/>
      <c r="M16" s="1"/>
    </row>
    <row r="17" spans="1:17" x14ac:dyDescent="0.25">
      <c r="A17" s="20">
        <v>75</v>
      </c>
      <c r="B17" s="20">
        <v>80</v>
      </c>
      <c r="C17" s="26">
        <v>0</v>
      </c>
      <c r="D17" s="26">
        <v>0</v>
      </c>
      <c r="E17" s="26"/>
      <c r="F17" s="1"/>
      <c r="G17" s="1"/>
      <c r="H17" s="20">
        <v>65</v>
      </c>
      <c r="I17" s="20">
        <v>70</v>
      </c>
      <c r="J17" s="26">
        <v>0</v>
      </c>
      <c r="K17" s="26">
        <v>0</v>
      </c>
      <c r="L17" s="26"/>
      <c r="M17" s="1"/>
    </row>
    <row r="18" spans="1:17" x14ac:dyDescent="0.25">
      <c r="A18" s="20">
        <v>80</v>
      </c>
      <c r="B18" s="20" t="s">
        <v>4</v>
      </c>
      <c r="C18" s="26">
        <v>0</v>
      </c>
      <c r="D18" s="26">
        <v>0</v>
      </c>
      <c r="E18" s="26"/>
      <c r="F18" s="1"/>
      <c r="G18" s="1"/>
      <c r="H18" s="20">
        <v>70</v>
      </c>
      <c r="I18" s="20">
        <v>75</v>
      </c>
      <c r="J18" s="26">
        <v>0</v>
      </c>
      <c r="K18" s="26">
        <v>0</v>
      </c>
      <c r="L18" s="26"/>
      <c r="M18" s="1"/>
      <c r="N18" s="1"/>
      <c r="O18" s="1"/>
      <c r="P18" s="1"/>
      <c r="Q18" s="1"/>
    </row>
    <row r="19" spans="1:17" x14ac:dyDescent="0.25">
      <c r="A19" s="1"/>
      <c r="B19" s="1"/>
      <c r="C19" s="1"/>
      <c r="D19" s="1"/>
      <c r="E19" s="1"/>
      <c r="F19" s="1"/>
      <c r="G19" s="1"/>
      <c r="H19" s="20">
        <v>75</v>
      </c>
      <c r="I19" s="20" t="s">
        <v>4</v>
      </c>
      <c r="J19" s="26">
        <v>0</v>
      </c>
      <c r="K19" s="26">
        <v>0</v>
      </c>
      <c r="L19" s="26"/>
      <c r="M19" s="1"/>
      <c r="N19" s="1"/>
      <c r="O19" s="1"/>
      <c r="P19" s="1"/>
      <c r="Q19" s="1"/>
    </row>
    <row r="20" spans="1:17" x14ac:dyDescent="0.25">
      <c r="A20" s="1"/>
      <c r="B20" s="1"/>
      <c r="C20" s="2"/>
      <c r="D20" s="1"/>
      <c r="E20" s="1"/>
      <c r="F20" s="1"/>
      <c r="G20" s="1"/>
      <c r="H20" s="1"/>
      <c r="I20" s="1"/>
      <c r="J20" s="1"/>
      <c r="K20" s="1"/>
      <c r="L20" s="1"/>
      <c r="M20" s="1"/>
      <c r="N20" s="1"/>
      <c r="O20" s="1"/>
      <c r="P20" s="1"/>
      <c r="Q20" s="1"/>
    </row>
    <row r="21" spans="1:17" x14ac:dyDescent="0.25">
      <c r="A21" s="79" t="s">
        <v>188</v>
      </c>
      <c r="B21" s="80"/>
      <c r="C21" s="80"/>
      <c r="D21" s="80"/>
      <c r="E21" s="80"/>
      <c r="F21" s="80"/>
      <c r="G21" s="80"/>
      <c r="H21" s="80"/>
      <c r="I21" s="80"/>
      <c r="J21" s="80"/>
      <c r="K21" s="80"/>
      <c r="L21" s="81"/>
      <c r="M21" s="1"/>
      <c r="N21" s="1"/>
      <c r="O21" s="1"/>
      <c r="P21" s="1"/>
      <c r="Q21" s="1"/>
    </row>
    <row r="22" spans="1:17" x14ac:dyDescent="0.25">
      <c r="A22" s="1"/>
      <c r="B22" s="1"/>
      <c r="C22" s="1"/>
      <c r="D22" s="1"/>
      <c r="E22" s="1"/>
      <c r="F22" s="1"/>
      <c r="G22" s="1"/>
      <c r="H22" s="1"/>
      <c r="I22" s="1"/>
      <c r="J22" s="1"/>
      <c r="K22" s="1"/>
      <c r="L22" s="1"/>
      <c r="M22" s="1"/>
      <c r="N22" s="1"/>
      <c r="O22" s="1"/>
      <c r="P22" s="1"/>
      <c r="Q22" s="1"/>
    </row>
    <row r="23" spans="1:17" x14ac:dyDescent="0.25">
      <c r="A23" s="75" t="s">
        <v>196</v>
      </c>
      <c r="B23" s="76"/>
      <c r="C23" s="76"/>
      <c r="D23" s="76"/>
      <c r="E23" s="77"/>
      <c r="F23" s="3"/>
      <c r="G23" s="1"/>
      <c r="H23" s="75" t="s">
        <v>197</v>
      </c>
      <c r="I23" s="76"/>
      <c r="J23" s="76"/>
      <c r="K23" s="76"/>
      <c r="L23" s="77"/>
      <c r="M23" s="1"/>
      <c r="N23" s="1"/>
      <c r="O23" s="1"/>
      <c r="P23" s="1"/>
      <c r="Q23" s="1"/>
    </row>
    <row r="24" spans="1:17" x14ac:dyDescent="0.25">
      <c r="A24" s="52" t="s">
        <v>173</v>
      </c>
      <c r="B24" s="52" t="s">
        <v>174</v>
      </c>
      <c r="C24" s="52" t="s">
        <v>175</v>
      </c>
      <c r="D24" s="52" t="s">
        <v>176</v>
      </c>
      <c r="E24" s="52" t="s">
        <v>177</v>
      </c>
      <c r="F24" s="1"/>
      <c r="G24" s="1"/>
      <c r="H24" s="52" t="s">
        <v>173</v>
      </c>
      <c r="I24" s="52" t="s">
        <v>174</v>
      </c>
      <c r="J24" s="52" t="s">
        <v>175</v>
      </c>
      <c r="K24" s="52" t="s">
        <v>176</v>
      </c>
      <c r="L24" s="52" t="s">
        <v>177</v>
      </c>
      <c r="M24" s="1"/>
      <c r="N24" s="15"/>
      <c r="O24" s="1"/>
      <c r="P24" s="1"/>
      <c r="Q24" s="1"/>
    </row>
    <row r="25" spans="1:17" x14ac:dyDescent="0.25">
      <c r="A25" s="20" t="s">
        <v>4</v>
      </c>
      <c r="B25" s="20">
        <v>40</v>
      </c>
      <c r="C25" s="49">
        <f>$F$6-SUM(C26:C34)</f>
        <v>2496.1557768677012</v>
      </c>
      <c r="D25" s="49">
        <f>$F$6-SUM(D26:D34)</f>
        <v>340372.16639999999</v>
      </c>
      <c r="E25" s="49">
        <f>$F$6-SUM(E26:E34)</f>
        <v>344249.44300000003</v>
      </c>
      <c r="F25" s="1"/>
      <c r="G25" s="1"/>
      <c r="H25" s="20"/>
      <c r="I25" s="20">
        <v>30</v>
      </c>
      <c r="J25" s="82">
        <f>$F$6-SUM(J28:J35)</f>
        <v>153695.98800000001</v>
      </c>
      <c r="K25" s="82">
        <f>$F$6-SUM(K28:K35)</f>
        <v>351361.45439999999</v>
      </c>
      <c r="L25" s="49">
        <f>F6-SUM(L26:L35)</f>
        <v>349131.43530000001</v>
      </c>
      <c r="M25" s="1"/>
      <c r="N25" s="1"/>
      <c r="O25" s="1"/>
      <c r="P25" s="1"/>
      <c r="Q25" s="1"/>
    </row>
    <row r="26" spans="1:17" x14ac:dyDescent="0.25">
      <c r="A26" s="20">
        <v>40</v>
      </c>
      <c r="B26" s="20">
        <v>45</v>
      </c>
      <c r="C26" s="49">
        <f>IF(C10&gt;0,C10,IF(SUM(C29:C34)&gt;0.5*$F$6,0.064549*SUM(C29:C34)*( $F$6/SUM(C29:C34)/2)^2,0.064549*SUM(C29:C34)))</f>
        <v>10759.288323564921</v>
      </c>
      <c r="D26" s="49">
        <f>IF(D10&gt;0,D10,IF(SUM(D29:D34)&gt;0.5*$F$6,0.064549*SUM(D29:D34)*( $F$6/SUM(D29:D34)/2)^2,0.064549*SUM(D29:D34)))</f>
        <v>619.67039999999997</v>
      </c>
      <c r="E26" s="49">
        <f>IF(E10&gt;0,E10,6.444598*E29)</f>
        <v>6444.598</v>
      </c>
      <c r="F26" s="1"/>
      <c r="G26" s="1"/>
      <c r="H26" s="20">
        <v>30</v>
      </c>
      <c r="I26" s="20">
        <v>35</v>
      </c>
      <c r="J26" s="83"/>
      <c r="K26" s="83"/>
      <c r="L26" s="49">
        <f>IF(L10&gt;0,L10,IF(SUM(L$14:L$19)&gt;0.5*$F$6,15.15587*SUM(L$14:L$19)*($F$6/SUM(L$14:L$19)/2)^2,15.15587*SUM(L$14:L$19)))</f>
        <v>4546.7610000000004</v>
      </c>
      <c r="M26" s="1"/>
      <c r="N26" s="1"/>
      <c r="O26" s="1"/>
      <c r="P26" s="1"/>
      <c r="Q26" s="1"/>
    </row>
    <row r="27" spans="1:17" x14ac:dyDescent="0.25">
      <c r="A27" s="20">
        <v>45</v>
      </c>
      <c r="B27" s="20">
        <v>50</v>
      </c>
      <c r="C27" s="49">
        <f>IF(C11&gt;0,C11,IF(SUM(C29:C34)&gt;0.5*$F$6,0.270775*SUM(C29:C34)*($F$6/SUM(C29:C34)/2)^2,0.270775*SUM(C29:C34)))</f>
        <v>45133.871877384488</v>
      </c>
      <c r="D27" s="49">
        <f>IF(D11&gt;0,D11,IF(SUM(D29:D34)&gt;0.5*$F$6,0.270775*SUM(D29:D34)*($F$6/SUM(D29:D34)/2)^2,0.270775*SUM(D29:D34)))</f>
        <v>2599.44</v>
      </c>
      <c r="E27" s="49">
        <f>IF(E11&gt;0,E11,4.400184*E29)</f>
        <v>4400.1840000000002</v>
      </c>
      <c r="F27" s="1"/>
      <c r="G27" s="1"/>
      <c r="H27" s="20">
        <v>35</v>
      </c>
      <c r="I27" s="20">
        <v>40</v>
      </c>
      <c r="J27" s="84"/>
      <c r="K27" s="84"/>
      <c r="L27" s="49">
        <f>IF(L11&gt;0,L11,IF(SUM(L$14:L$19)&gt;0.5*$F$6,9.275389*SUM(L$14:L$19)*($F$6/SUM(L$14:L$19)/2)^2,9.275389*SUM(L$14:L$19)))</f>
        <v>2782.6167</v>
      </c>
      <c r="M27" s="1"/>
      <c r="N27" s="1"/>
      <c r="O27" s="1"/>
      <c r="P27" s="1"/>
      <c r="Q27" s="1"/>
    </row>
    <row r="28" spans="1:17" x14ac:dyDescent="0.25">
      <c r="A28" s="20">
        <v>50</v>
      </c>
      <c r="B28" s="20">
        <v>55</v>
      </c>
      <c r="C28" s="49">
        <f>IF(C12&gt;0,C12,IF(SUM(C29:C34)&gt;0.5*$F$6,0.643617*SUM($C$13:$C$18)*($F$6/SUM($C$13:$C$18)/2)^2,0.643617*SUM($C$13:$C$18)))</f>
        <v>107280.68402218289</v>
      </c>
      <c r="D28" s="49">
        <f>IF(D12&gt;0,D12,IF(SUM(D29:D34)&gt;0.5*$F$6,0.643617*SUM($D$13:$D$18)*($F$6/SUM($D$13:$D$18)/2)^2,0.643617*SUM($D$13:$D$18)))</f>
        <v>6178.7232000000004</v>
      </c>
      <c r="E28" s="49">
        <f>IF(E12&gt;0,E12,2.425775*E29)</f>
        <v>2425.7749999999996</v>
      </c>
      <c r="F28" s="1"/>
      <c r="G28" s="1"/>
      <c r="H28" s="20">
        <v>40</v>
      </c>
      <c r="I28" s="20">
        <v>45</v>
      </c>
      <c r="J28" s="49">
        <f>IF(J12&gt;0,J12,IF(SUM(J$14:J$19)&gt;0.5*$F$6,0.376853*SUM(J$14:J$19)*($F$6/SUM(J$14:J$19)/2)^2,0.376853*SUM(J$14:J$19)))</f>
        <v>42584.389000000003</v>
      </c>
      <c r="K28" s="49">
        <f>IF(K12&gt;0,K12,IF(SUM(K$14:K$19)&gt;0.5*$F$6,0.376853*SUM(K$14:K$19)*($F$6/SUM(K$14:K$19)/2)^2,0.376853*SUM(K$14:K$19)))</f>
        <v>1658.1532</v>
      </c>
      <c r="L28" s="49">
        <f>IF(L12&gt;0,L12,IF(SUM(L$14:L$19)&gt;0.5*$F$6,6.037403*SUM(L$14:L$19)*($F$6/SUM(L$14:L$19)/2)^2,6.037403*SUM(L$14:L$19)))</f>
        <v>1811.2209</v>
      </c>
      <c r="M28" s="1"/>
      <c r="N28" s="1"/>
      <c r="O28" s="1"/>
      <c r="P28" s="1"/>
      <c r="Q28" s="1"/>
    </row>
    <row r="29" spans="1:17" x14ac:dyDescent="0.25">
      <c r="A29" s="20">
        <v>55</v>
      </c>
      <c r="B29" s="20">
        <v>60</v>
      </c>
      <c r="C29" s="65">
        <f>C13</f>
        <v>89700</v>
      </c>
      <c r="D29" s="65">
        <f>D13</f>
        <v>6100</v>
      </c>
      <c r="E29" s="65">
        <f>E13</f>
        <v>1000</v>
      </c>
      <c r="F29" s="1"/>
      <c r="G29" s="1"/>
      <c r="H29" s="20">
        <v>45</v>
      </c>
      <c r="I29" s="20">
        <v>50</v>
      </c>
      <c r="J29" s="49">
        <f>IF(J13&gt;0,J13,IF(SUM(J$14:J$19)&gt;0.5*$F$6,0.443271*SUM(J$14:J$19)*($F$6/SUM(J$14:J$19)/2)^2,0.443271*SUM(J$14:J$19)))</f>
        <v>50089.623</v>
      </c>
      <c r="K29" s="49">
        <f>IF(K13&gt;0,K13,IF(SUM(K$14:K$19)&gt;0.5*$F$6,0.443271*SUM(K$14:K$19)*($F$6/SUM(K$14:K$19)/2)^2,0.443271*SUM(K$14:K$19)))</f>
        <v>1950.3924000000002</v>
      </c>
      <c r="L29" s="49">
        <f>IF(L13&gt;0,L13,IF(SUM(L$14:L$19)&gt;0.5*$F$6,2.659887*SUM(L$14:L$19)*($F$6/SUM(L$14:L$19)/2)^2,2.659887*SUM(L$14:L$19)))</f>
        <v>797.96609999999998</v>
      </c>
      <c r="M29" s="1"/>
      <c r="N29" s="1"/>
      <c r="O29" s="1"/>
      <c r="P29" s="1"/>
      <c r="Q29" s="1"/>
    </row>
    <row r="30" spans="1:17" x14ac:dyDescent="0.25">
      <c r="A30" s="20">
        <v>60</v>
      </c>
      <c r="B30" s="20">
        <v>65</v>
      </c>
      <c r="C30" s="65">
        <f t="shared" ref="C30:D34" si="0">C14</f>
        <v>71200</v>
      </c>
      <c r="D30" s="65">
        <f t="shared" si="0"/>
        <v>3300</v>
      </c>
      <c r="E30" s="65">
        <f t="shared" ref="E30" si="1">E14</f>
        <v>800</v>
      </c>
      <c r="F30" s="1"/>
      <c r="G30" s="1"/>
      <c r="H30" s="20">
        <v>50</v>
      </c>
      <c r="I30" s="20">
        <v>55</v>
      </c>
      <c r="J30" s="65">
        <f>J14</f>
        <v>71000</v>
      </c>
      <c r="K30" s="65">
        <f>K14</f>
        <v>3500</v>
      </c>
      <c r="L30" s="65">
        <f t="shared" ref="L30:L35" si="2">L14</f>
        <v>200</v>
      </c>
      <c r="M30" s="1"/>
      <c r="N30" s="1"/>
      <c r="O30" s="1"/>
      <c r="P30" s="1"/>
      <c r="Q30" s="1"/>
    </row>
    <row r="31" spans="1:17" x14ac:dyDescent="0.25">
      <c r="A31" s="20">
        <v>65</v>
      </c>
      <c r="B31" s="20">
        <v>70</v>
      </c>
      <c r="C31" s="65">
        <f t="shared" si="0"/>
        <v>31100</v>
      </c>
      <c r="D31" s="65">
        <f t="shared" si="0"/>
        <v>200</v>
      </c>
      <c r="E31" s="65">
        <f t="shared" ref="E31" si="3">E15</f>
        <v>50</v>
      </c>
      <c r="F31" s="1"/>
      <c r="G31" s="1"/>
      <c r="H31" s="20">
        <v>55</v>
      </c>
      <c r="I31" s="20">
        <v>60</v>
      </c>
      <c r="J31" s="65">
        <f t="shared" ref="J31:K35" si="4">J15</f>
        <v>38400</v>
      </c>
      <c r="K31" s="65">
        <f t="shared" si="4"/>
        <v>900</v>
      </c>
      <c r="L31" s="65">
        <f t="shared" si="2"/>
        <v>100</v>
      </c>
      <c r="M31" s="1"/>
      <c r="N31" s="1"/>
      <c r="O31" s="1"/>
      <c r="P31" s="1"/>
      <c r="Q31" s="1"/>
    </row>
    <row r="32" spans="1:17" x14ac:dyDescent="0.25">
      <c r="A32" s="20">
        <v>70</v>
      </c>
      <c r="B32" s="20">
        <v>75</v>
      </c>
      <c r="C32" s="65">
        <f t="shared" si="0"/>
        <v>1700</v>
      </c>
      <c r="D32" s="65">
        <f t="shared" si="0"/>
        <v>0</v>
      </c>
      <c r="E32" s="65">
        <f t="shared" ref="E32" si="5">E16</f>
        <v>0</v>
      </c>
      <c r="F32" s="1"/>
      <c r="G32" s="1"/>
      <c r="H32" s="20">
        <v>60</v>
      </c>
      <c r="I32" s="20">
        <v>65</v>
      </c>
      <c r="J32" s="65">
        <f t="shared" si="4"/>
        <v>3600</v>
      </c>
      <c r="K32" s="65">
        <f t="shared" si="4"/>
        <v>0</v>
      </c>
      <c r="L32" s="65">
        <f t="shared" si="2"/>
        <v>0</v>
      </c>
      <c r="M32" s="1"/>
      <c r="N32" s="1"/>
      <c r="O32" s="1"/>
      <c r="P32" s="1"/>
      <c r="Q32" s="1"/>
    </row>
    <row r="33" spans="1:17" x14ac:dyDescent="0.25">
      <c r="A33" s="20">
        <v>75</v>
      </c>
      <c r="B33" s="20">
        <v>80</v>
      </c>
      <c r="C33" s="65">
        <f t="shared" si="0"/>
        <v>0</v>
      </c>
      <c r="D33" s="65">
        <f t="shared" si="0"/>
        <v>0</v>
      </c>
      <c r="E33" s="65">
        <f t="shared" ref="E33" si="6">E17</f>
        <v>0</v>
      </c>
      <c r="F33" s="1"/>
      <c r="G33" s="1"/>
      <c r="H33" s="20">
        <v>65</v>
      </c>
      <c r="I33" s="20">
        <v>70</v>
      </c>
      <c r="J33" s="65">
        <f t="shared" si="4"/>
        <v>0</v>
      </c>
      <c r="K33" s="65">
        <f t="shared" si="4"/>
        <v>0</v>
      </c>
      <c r="L33" s="65">
        <f t="shared" si="2"/>
        <v>0</v>
      </c>
      <c r="M33" s="1"/>
      <c r="N33" s="1"/>
      <c r="O33" s="1"/>
      <c r="P33" s="1"/>
      <c r="Q33" s="1"/>
    </row>
    <row r="34" spans="1:17" x14ac:dyDescent="0.25">
      <c r="A34" s="20">
        <v>80</v>
      </c>
      <c r="B34" s="20" t="s">
        <v>4</v>
      </c>
      <c r="C34" s="65">
        <f t="shared" si="0"/>
        <v>0</v>
      </c>
      <c r="D34" s="65">
        <f t="shared" si="0"/>
        <v>0</v>
      </c>
      <c r="E34" s="65">
        <f t="shared" ref="E34" si="7">E18</f>
        <v>0</v>
      </c>
      <c r="F34" s="1"/>
      <c r="G34" s="1"/>
      <c r="H34" s="20">
        <v>70</v>
      </c>
      <c r="I34" s="20">
        <v>75</v>
      </c>
      <c r="J34" s="65">
        <f t="shared" si="4"/>
        <v>0</v>
      </c>
      <c r="K34" s="65">
        <f t="shared" si="4"/>
        <v>0</v>
      </c>
      <c r="L34" s="65">
        <f t="shared" si="2"/>
        <v>0</v>
      </c>
      <c r="M34" s="1"/>
      <c r="N34" s="1"/>
      <c r="O34" s="1"/>
      <c r="P34" s="1"/>
      <c r="Q34" s="1"/>
    </row>
    <row r="35" spans="1:17" x14ac:dyDescent="0.25">
      <c r="A35" s="1"/>
      <c r="B35" s="1"/>
      <c r="C35" s="1"/>
      <c r="D35" s="1"/>
      <c r="E35" s="1"/>
      <c r="F35" s="1"/>
      <c r="G35" s="1"/>
      <c r="H35" s="20">
        <v>75</v>
      </c>
      <c r="I35" s="20" t="s">
        <v>4</v>
      </c>
      <c r="J35" s="65">
        <f t="shared" si="4"/>
        <v>0</v>
      </c>
      <c r="K35" s="65">
        <f t="shared" si="4"/>
        <v>0</v>
      </c>
      <c r="L35" s="65">
        <f t="shared" si="2"/>
        <v>0</v>
      </c>
      <c r="M35" s="1"/>
      <c r="N35" s="1"/>
      <c r="O35" s="1"/>
      <c r="P35" s="1"/>
      <c r="Q35" s="1"/>
    </row>
    <row r="36" spans="1:17" x14ac:dyDescent="0.25">
      <c r="M36" s="1"/>
      <c r="N36" s="1"/>
      <c r="O36" s="1"/>
      <c r="P36" s="1"/>
      <c r="Q36" s="1"/>
    </row>
    <row r="37" spans="1:17" x14ac:dyDescent="0.25">
      <c r="H37" s="1"/>
      <c r="I37" s="1"/>
      <c r="J37" s="1"/>
      <c r="K37" s="1"/>
      <c r="L37" s="1"/>
    </row>
    <row r="38" spans="1:17" x14ac:dyDescent="0.25">
      <c r="A38" t="s">
        <v>201</v>
      </c>
    </row>
  </sheetData>
  <mergeCells count="11">
    <mergeCell ref="A4:L4"/>
    <mergeCell ref="H23:L23"/>
    <mergeCell ref="A23:E23"/>
    <mergeCell ref="A21:L21"/>
    <mergeCell ref="J25:J27"/>
    <mergeCell ref="K25:K27"/>
    <mergeCell ref="J10:J11"/>
    <mergeCell ref="K10:K11"/>
    <mergeCell ref="A6:E6"/>
    <mergeCell ref="H8:L8"/>
    <mergeCell ref="A8:E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9863-5A15-4EE8-B8C4-A0673FEAF615}">
  <sheetPr>
    <tabColor theme="5" tint="0.39997558519241921"/>
  </sheetPr>
  <dimension ref="B1:O16"/>
  <sheetViews>
    <sheetView workbookViewId="0">
      <selection activeCell="B2" sqref="B2:E13"/>
    </sheetView>
  </sheetViews>
  <sheetFormatPr defaultRowHeight="12.75" x14ac:dyDescent="0.2"/>
  <cols>
    <col min="1" max="1" width="9.140625" style="1"/>
    <col min="2" max="2" width="29.85546875" style="1" customWidth="1"/>
    <col min="3" max="3" width="14.85546875" style="1" customWidth="1"/>
    <col min="4" max="4" width="14.140625" style="1" customWidth="1"/>
    <col min="5" max="5" width="14.28515625" style="1" customWidth="1"/>
    <col min="6" max="6" width="18.5703125" style="1" customWidth="1"/>
    <col min="7" max="7" width="17.5703125" style="1" customWidth="1"/>
    <col min="8" max="8" width="22" style="1" customWidth="1"/>
    <col min="9" max="10" width="9.140625" style="1"/>
    <col min="11" max="11" width="12.42578125" style="1" bestFit="1" customWidth="1"/>
    <col min="12" max="12" width="28.5703125" style="1" customWidth="1"/>
    <col min="13" max="13" width="15" style="1" customWidth="1"/>
    <col min="14" max="14" width="14.7109375" style="1" customWidth="1"/>
    <col min="15" max="15" width="19.5703125" style="1" customWidth="1"/>
    <col min="16" max="16" width="38.7109375" style="1" customWidth="1"/>
    <col min="17" max="17" width="18.28515625" style="1" customWidth="1"/>
    <col min="18" max="18" width="17.140625" style="1" customWidth="1"/>
    <col min="19" max="19" width="11.7109375" style="1" customWidth="1"/>
    <col min="20" max="16384" width="9.140625" style="1"/>
  </cols>
  <sheetData>
    <row r="1" spans="2:15" ht="18" x14ac:dyDescent="0.25">
      <c r="B1" s="4" t="s">
        <v>119</v>
      </c>
      <c r="C1" s="4" t="s">
        <v>162</v>
      </c>
    </row>
    <row r="2" spans="2:15" ht="15.75" customHeight="1" x14ac:dyDescent="0.2"/>
    <row r="3" spans="2:15" x14ac:dyDescent="0.2">
      <c r="B3" s="90" t="s">
        <v>120</v>
      </c>
      <c r="C3" s="91"/>
      <c r="D3" s="91"/>
      <c r="E3" s="92" t="s">
        <v>3</v>
      </c>
      <c r="F3" s="94" t="s">
        <v>118</v>
      </c>
      <c r="G3" s="96" t="s">
        <v>117</v>
      </c>
      <c r="H3" s="92" t="s">
        <v>121</v>
      </c>
    </row>
    <row r="4" spans="2:15" ht="25.5" x14ac:dyDescent="0.2">
      <c r="B4" s="18" t="s">
        <v>0</v>
      </c>
      <c r="C4" s="17" t="s">
        <v>1</v>
      </c>
      <c r="D4" s="17" t="s">
        <v>2</v>
      </c>
      <c r="E4" s="93"/>
      <c r="F4" s="95"/>
      <c r="G4" s="97"/>
      <c r="H4" s="93"/>
      <c r="L4" s="88" t="s">
        <v>122</v>
      </c>
      <c r="M4" s="88"/>
      <c r="N4" s="88"/>
      <c r="O4" s="9"/>
    </row>
    <row r="5" spans="2:15" x14ac:dyDescent="0.2">
      <c r="B5" s="53" t="s">
        <v>4</v>
      </c>
      <c r="C5" s="53">
        <v>40</v>
      </c>
      <c r="D5" s="54"/>
      <c r="E5" s="55">
        <f>Invullen_5dBklasse!C25</f>
        <v>2496.1557768677012</v>
      </c>
      <c r="F5" s="35">
        <f>E5*Bevolkingsgegevens!L$7</f>
        <v>2025.4803136222438</v>
      </c>
      <c r="G5" s="21"/>
      <c r="H5" s="32"/>
      <c r="L5" s="89" t="s">
        <v>158</v>
      </c>
      <c r="M5" s="89"/>
      <c r="N5" s="89"/>
      <c r="O5" s="70">
        <f>SUM(E9:E14)</f>
        <v>193700</v>
      </c>
    </row>
    <row r="6" spans="2:15" x14ac:dyDescent="0.2">
      <c r="B6" s="53">
        <v>40</v>
      </c>
      <c r="C6" s="53">
        <v>45</v>
      </c>
      <c r="D6" s="53">
        <v>42.5</v>
      </c>
      <c r="E6" s="55">
        <f>Invullen_5dBklasse!C26</f>
        <v>10759.288323564921</v>
      </c>
      <c r="F6" s="35">
        <f>E6*Bevolkingsgegevens!L$7</f>
        <v>8730.5154950357319</v>
      </c>
      <c r="G6" s="36">
        <f>78.927-(3.1162*45)+(0.0342*45*45)</f>
        <v>7.953000000000003</v>
      </c>
      <c r="H6" s="32">
        <f t="shared" ref="H6:H14" si="0">(F6/100)*G6</f>
        <v>694.33789732019204</v>
      </c>
      <c r="L6" s="89" t="s">
        <v>159</v>
      </c>
      <c r="M6" s="89"/>
      <c r="N6" s="89"/>
      <c r="O6" s="7">
        <f>E15</f>
        <v>359370</v>
      </c>
    </row>
    <row r="7" spans="2:15" x14ac:dyDescent="0.2">
      <c r="B7" s="53">
        <v>45</v>
      </c>
      <c r="C7" s="53">
        <v>50</v>
      </c>
      <c r="D7" s="53">
        <v>47.5</v>
      </c>
      <c r="E7" s="55">
        <f>Invullen_5dBklasse!C27</f>
        <v>45133.871877384488</v>
      </c>
      <c r="F7" s="35">
        <f>E7*Bevolkingsgegevens!L$7</f>
        <v>36623.423030074831</v>
      </c>
      <c r="G7" s="37">
        <f t="shared" ref="G7:G13" si="1">78.927-(3.1162*D7)+(0.0342*D7*D7)</f>
        <v>8.0712500000000205</v>
      </c>
      <c r="H7" s="32">
        <f t="shared" si="0"/>
        <v>2955.9680313149224</v>
      </c>
      <c r="L7" s="89" t="s">
        <v>160</v>
      </c>
      <c r="M7" s="89"/>
      <c r="N7" s="89"/>
      <c r="O7" s="7">
        <f>H15</f>
        <v>38200.52944789351</v>
      </c>
    </row>
    <row r="8" spans="2:15" x14ac:dyDescent="0.2">
      <c r="B8" s="53">
        <v>50</v>
      </c>
      <c r="C8" s="53">
        <v>55</v>
      </c>
      <c r="D8" s="53">
        <v>52.5</v>
      </c>
      <c r="E8" s="55">
        <f>Invullen_5dBklasse!C28</f>
        <v>107280.68402218289</v>
      </c>
      <c r="F8" s="35">
        <f>E8*Bevolkingsgegevens!L$7</f>
        <v>87051.824061850886</v>
      </c>
      <c r="G8" s="37">
        <f t="shared" si="1"/>
        <v>9.5902499999999975</v>
      </c>
      <c r="H8" s="32">
        <f t="shared" si="0"/>
        <v>8348.4875570916538</v>
      </c>
      <c r="L8" s="89" t="s">
        <v>161</v>
      </c>
      <c r="M8" s="89"/>
      <c r="N8" s="89"/>
      <c r="O8" s="7">
        <f>SUM(H9:H14)</f>
        <v>26201.735962166731</v>
      </c>
    </row>
    <row r="9" spans="2:15" x14ac:dyDescent="0.2">
      <c r="B9" s="20">
        <v>55</v>
      </c>
      <c r="C9" s="20">
        <v>60</v>
      </c>
      <c r="D9" s="20">
        <v>57.5</v>
      </c>
      <c r="E9" s="55">
        <f>Invullen_5dBklasse!C29</f>
        <v>89700</v>
      </c>
      <c r="F9" s="35">
        <f>E9*Bevolkingsgegevens!L$7</f>
        <v>72786.156142828258</v>
      </c>
      <c r="G9" s="37">
        <f t="shared" si="1"/>
        <v>12.819250000000011</v>
      </c>
      <c r="H9" s="32">
        <f t="shared" si="0"/>
        <v>9330.6393213395186</v>
      </c>
    </row>
    <row r="10" spans="2:15" x14ac:dyDescent="0.2">
      <c r="B10" s="20">
        <v>60</v>
      </c>
      <c r="C10" s="20">
        <v>65</v>
      </c>
      <c r="D10" s="20">
        <v>62.5</v>
      </c>
      <c r="E10" s="55">
        <f>Invullen_5dBklasse!C30</f>
        <v>71200</v>
      </c>
      <c r="F10" s="35">
        <f>E10*Bevolkingsgegevens!L$7</f>
        <v>57774.518588287312</v>
      </c>
      <c r="G10" s="37">
        <f t="shared" si="1"/>
        <v>17.75824999999999</v>
      </c>
      <c r="H10" s="32">
        <f t="shared" si="0"/>
        <v>10259.743447204526</v>
      </c>
    </row>
    <row r="11" spans="2:15" x14ac:dyDescent="0.2">
      <c r="B11" s="20">
        <v>65</v>
      </c>
      <c r="C11" s="20">
        <v>70</v>
      </c>
      <c r="D11" s="20">
        <v>67.5</v>
      </c>
      <c r="E11" s="55">
        <f>Invullen_5dBklasse!C31</f>
        <v>31100</v>
      </c>
      <c r="F11" s="35">
        <f>E11*Bevolkingsgegevens!L$7</f>
        <v>25235.779888985046</v>
      </c>
      <c r="G11" s="37">
        <f t="shared" si="1"/>
        <v>24.407250000000005</v>
      </c>
      <c r="H11" s="32">
        <f t="shared" si="0"/>
        <v>6159.3598869543039</v>
      </c>
      <c r="N11" s="1" t="s">
        <v>4</v>
      </c>
    </row>
    <row r="12" spans="2:15" x14ac:dyDescent="0.2">
      <c r="B12" s="20">
        <v>70</v>
      </c>
      <c r="C12" s="20">
        <v>75</v>
      </c>
      <c r="D12" s="20">
        <v>72.5</v>
      </c>
      <c r="E12" s="55">
        <f>Invullen_5dBklasse!C32</f>
        <v>1700</v>
      </c>
      <c r="F12" s="35">
        <f>E12*Bevolkingsgegevens!L$7</f>
        <v>1379.4477752821408</v>
      </c>
      <c r="G12" s="37">
        <f t="shared" si="1"/>
        <v>32.766250000000014</v>
      </c>
      <c r="H12" s="32">
        <f t="shared" si="0"/>
        <v>451.99330666838461</v>
      </c>
    </row>
    <row r="13" spans="2:15" x14ac:dyDescent="0.2">
      <c r="B13" s="20">
        <v>75</v>
      </c>
      <c r="C13" s="20">
        <v>80</v>
      </c>
      <c r="D13" s="20">
        <v>77.5</v>
      </c>
      <c r="E13" s="55">
        <f>Invullen_5dBklasse!C33</f>
        <v>0</v>
      </c>
      <c r="F13" s="35">
        <f>E13*Bevolkingsgegevens!L$7</f>
        <v>0</v>
      </c>
      <c r="G13" s="37">
        <f t="shared" si="1"/>
        <v>42.835249999999974</v>
      </c>
      <c r="H13" s="32">
        <f t="shared" si="0"/>
        <v>0</v>
      </c>
    </row>
    <row r="14" spans="2:15" x14ac:dyDescent="0.2">
      <c r="B14" s="20">
        <v>80</v>
      </c>
      <c r="C14" s="20"/>
      <c r="D14" s="20">
        <v>82.5</v>
      </c>
      <c r="E14" s="55">
        <f>Invullen_5dBklasse!C34</f>
        <v>0</v>
      </c>
      <c r="F14" s="35">
        <f>E14*Bevolkingsgegevens!L$7</f>
        <v>0</v>
      </c>
      <c r="G14" s="37">
        <f>78.927-(3.1162*80)+(0.0342*80*80)</f>
        <v>48.511000000000053</v>
      </c>
      <c r="H14" s="32">
        <f t="shared" si="0"/>
        <v>0</v>
      </c>
    </row>
    <row r="15" spans="2:15" x14ac:dyDescent="0.2">
      <c r="B15" s="5" t="s">
        <v>113</v>
      </c>
      <c r="C15" s="30"/>
      <c r="D15" s="30"/>
      <c r="E15" s="35">
        <f>SUM(E5:E14)</f>
        <v>359370</v>
      </c>
      <c r="F15" s="35">
        <f>SUM(F5:F14)</f>
        <v>291607.14529596642</v>
      </c>
      <c r="G15" s="20"/>
      <c r="H15" s="49">
        <f>SUM(H5:H14)</f>
        <v>38200.52944789351</v>
      </c>
    </row>
    <row r="16" spans="2:15" x14ac:dyDescent="0.2">
      <c r="B16" s="3"/>
      <c r="C16" s="3"/>
      <c r="D16" s="3"/>
      <c r="E16" s="16"/>
      <c r="F16" s="16"/>
      <c r="G16" s="3"/>
      <c r="H16" s="16"/>
    </row>
  </sheetData>
  <mergeCells count="10">
    <mergeCell ref="B3:D3"/>
    <mergeCell ref="E3:E4"/>
    <mergeCell ref="F3:F4"/>
    <mergeCell ref="G3:G4"/>
    <mergeCell ref="H3:H4"/>
    <mergeCell ref="L4:N4"/>
    <mergeCell ref="L5:N5"/>
    <mergeCell ref="L6:N6"/>
    <mergeCell ref="L7:N7"/>
    <mergeCell ref="L8:N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8D1B-E5E4-4DB9-BBCC-76BFAE0F4697}">
  <sheetPr>
    <tabColor theme="5" tint="0.39997558519241921"/>
  </sheetPr>
  <dimension ref="B1:O14"/>
  <sheetViews>
    <sheetView workbookViewId="0">
      <selection activeCell="B2" sqref="B2:E13"/>
    </sheetView>
  </sheetViews>
  <sheetFormatPr defaultRowHeight="15" x14ac:dyDescent="0.25"/>
  <cols>
    <col min="2" max="2" width="24" customWidth="1"/>
    <col min="3" max="3" width="17.7109375" customWidth="1"/>
    <col min="4" max="4" width="14" customWidth="1"/>
    <col min="5" max="5" width="15.85546875" customWidth="1"/>
    <col min="6" max="6" width="17.5703125" customWidth="1"/>
    <col min="7" max="7" width="17.140625" customWidth="1"/>
    <col min="8" max="8" width="17" customWidth="1"/>
    <col min="12" max="12" width="28.85546875" customWidth="1"/>
    <col min="13" max="13" width="17.5703125" customWidth="1"/>
    <col min="14" max="14" width="14.28515625" customWidth="1"/>
    <col min="16" max="16" width="50.42578125" customWidth="1"/>
    <col min="17" max="17" width="18" customWidth="1"/>
    <col min="18" max="18" width="16.7109375" customWidth="1"/>
  </cols>
  <sheetData>
    <row r="1" spans="2:15" ht="18" x14ac:dyDescent="0.25">
      <c r="B1" s="4" t="s">
        <v>119</v>
      </c>
      <c r="C1" s="4" t="s">
        <v>163</v>
      </c>
    </row>
    <row r="2" spans="2:15" ht="15" customHeight="1" x14ac:dyDescent="0.25"/>
    <row r="3" spans="2:15" ht="15" customHeight="1" x14ac:dyDescent="0.25">
      <c r="B3" s="98" t="s">
        <v>123</v>
      </c>
      <c r="C3" s="98"/>
      <c r="D3" s="98"/>
      <c r="E3" s="99" t="s">
        <v>3</v>
      </c>
      <c r="F3" s="99" t="s">
        <v>118</v>
      </c>
      <c r="G3" s="99" t="s">
        <v>117</v>
      </c>
      <c r="H3" s="99" t="s">
        <v>121</v>
      </c>
    </row>
    <row r="4" spans="2:15" ht="26.25" customHeight="1" x14ac:dyDescent="0.25">
      <c r="B4" s="67" t="s">
        <v>0</v>
      </c>
      <c r="C4" s="67" t="s">
        <v>1</v>
      </c>
      <c r="D4" s="67" t="s">
        <v>2</v>
      </c>
      <c r="E4" s="99"/>
      <c r="F4" s="99"/>
      <c r="G4" s="99"/>
      <c r="H4" s="99"/>
      <c r="L4" s="88" t="s">
        <v>122</v>
      </c>
      <c r="M4" s="88"/>
      <c r="N4" s="88"/>
      <c r="O4" s="9"/>
    </row>
    <row r="5" spans="2:15" ht="12.75" customHeight="1" x14ac:dyDescent="0.25">
      <c r="B5" s="20" t="s">
        <v>4</v>
      </c>
      <c r="C5" s="20">
        <v>40</v>
      </c>
      <c r="D5" s="20"/>
      <c r="E5" s="35">
        <f>Invullen_5dBklasse!J25</f>
        <v>153695.98800000001</v>
      </c>
      <c r="F5" s="35">
        <f>E5*Bevolkingsgegevens!L$7</f>
        <v>124715.05218611214</v>
      </c>
      <c r="G5" s="38"/>
      <c r="H5" s="51"/>
      <c r="L5" s="89" t="s">
        <v>164</v>
      </c>
      <c r="M5" s="89"/>
      <c r="N5" s="89"/>
      <c r="O5" s="70">
        <f>SUM(E8:E13)</f>
        <v>113000</v>
      </c>
    </row>
    <row r="6" spans="2:15" ht="12.75" customHeight="1" x14ac:dyDescent="0.25">
      <c r="B6" s="20">
        <v>40</v>
      </c>
      <c r="C6" s="20">
        <v>45</v>
      </c>
      <c r="D6" s="20">
        <v>42.5</v>
      </c>
      <c r="E6" s="35">
        <f>Invullen_5dBklasse!J28</f>
        <v>42584.389000000003</v>
      </c>
      <c r="F6" s="35">
        <f>E6*Bevolkingsgegevens!L$7</f>
        <v>34554.6709810584</v>
      </c>
      <c r="G6" s="38">
        <f t="shared" ref="G6:G10" si="0">19.4312-(0.9336*D6)+(0.0126*D6*D6)</f>
        <v>2.5119500000000023</v>
      </c>
      <c r="H6" s="32">
        <f t="shared" ref="H6:H13" si="1">(F6/100)*G6</f>
        <v>867.99605770869732</v>
      </c>
      <c r="L6" s="89" t="s">
        <v>159</v>
      </c>
      <c r="M6" s="89"/>
      <c r="N6" s="89"/>
      <c r="O6" s="7">
        <f>E14</f>
        <v>359370</v>
      </c>
    </row>
    <row r="7" spans="2:15" ht="12.75" customHeight="1" x14ac:dyDescent="0.25">
      <c r="B7" s="20">
        <v>45</v>
      </c>
      <c r="C7" s="20">
        <v>50</v>
      </c>
      <c r="D7" s="20">
        <v>47.5</v>
      </c>
      <c r="E7" s="35">
        <f>Invullen_5dBklasse!J29</f>
        <v>50089.623</v>
      </c>
      <c r="F7" s="35">
        <f>E7*Bevolkingsgegevens!L$7</f>
        <v>40644.717065924204</v>
      </c>
      <c r="G7" s="38">
        <f t="shared" si="0"/>
        <v>3.5139500000000048</v>
      </c>
      <c r="H7" s="32">
        <f t="shared" si="1"/>
        <v>1428.2350353380455</v>
      </c>
      <c r="L7" s="89" t="s">
        <v>165</v>
      </c>
      <c r="M7" s="89"/>
      <c r="N7" s="89"/>
      <c r="O7" s="7">
        <f>H14</f>
        <v>7870.0728087644275</v>
      </c>
    </row>
    <row r="8" spans="2:15" ht="12.75" customHeight="1" x14ac:dyDescent="0.25">
      <c r="B8" s="20">
        <v>50</v>
      </c>
      <c r="C8" s="20">
        <v>55</v>
      </c>
      <c r="D8" s="20">
        <v>52.5</v>
      </c>
      <c r="E8" s="35">
        <f>Invullen_5dBklasse!J30</f>
        <v>71000</v>
      </c>
      <c r="F8" s="35">
        <f>E8*Bevolkingsgegevens!L$7</f>
        <v>57612.230614724707</v>
      </c>
      <c r="G8" s="38">
        <f t="shared" si="0"/>
        <v>5.1459500000000027</v>
      </c>
      <c r="H8" s="32">
        <f t="shared" si="1"/>
        <v>2964.6965813184274</v>
      </c>
      <c r="L8" s="89" t="s">
        <v>166</v>
      </c>
      <c r="M8" s="89"/>
      <c r="N8" s="89"/>
      <c r="O8" s="7">
        <f>SUM(H8:H13)</f>
        <v>5573.8417157176846</v>
      </c>
    </row>
    <row r="9" spans="2:15" ht="12.75" customHeight="1" x14ac:dyDescent="0.25">
      <c r="B9" s="20">
        <v>55</v>
      </c>
      <c r="C9" s="20">
        <v>60</v>
      </c>
      <c r="D9" s="20">
        <v>57.5</v>
      </c>
      <c r="E9" s="35">
        <f>Invullen_5dBklasse!J31</f>
        <v>38400</v>
      </c>
      <c r="F9" s="35">
        <f>E9*Bevolkingsgegevens!L$7</f>
        <v>31159.290924020122</v>
      </c>
      <c r="G9" s="38">
        <f t="shared" si="0"/>
        <v>7.4079500000000067</v>
      </c>
      <c r="H9" s="32">
        <f t="shared" si="1"/>
        <v>2308.2646920059506</v>
      </c>
    </row>
    <row r="10" spans="2:15" ht="12.75" customHeight="1" x14ac:dyDescent="0.25">
      <c r="B10" s="20">
        <v>60</v>
      </c>
      <c r="C10" s="20">
        <v>65</v>
      </c>
      <c r="D10" s="20">
        <v>62.5</v>
      </c>
      <c r="E10" s="35">
        <f>Invullen_5dBklasse!J32</f>
        <v>3600</v>
      </c>
      <c r="F10" s="35">
        <f>E10*Bevolkingsgegevens!L$7</f>
        <v>2921.1835241268864</v>
      </c>
      <c r="G10" s="38">
        <f t="shared" si="0"/>
        <v>10.299949999999995</v>
      </c>
      <c r="H10" s="32">
        <f t="shared" si="1"/>
        <v>300.88044239330713</v>
      </c>
    </row>
    <row r="11" spans="2:15" ht="12.75" customHeight="1" x14ac:dyDescent="0.25">
      <c r="B11" s="20">
        <v>65</v>
      </c>
      <c r="C11" s="20">
        <v>70</v>
      </c>
      <c r="D11" s="20">
        <v>67.5</v>
      </c>
      <c r="E11" s="35">
        <f>Invullen_5dBklasse!J33</f>
        <v>0</v>
      </c>
      <c r="F11" s="35">
        <f>E11*Bevolkingsgegevens!L$7</f>
        <v>0</v>
      </c>
      <c r="G11" s="38">
        <f>19.4312-(0.9336*65)+(0.0126*65*65)</f>
        <v>11.982200000000006</v>
      </c>
      <c r="H11" s="32">
        <f t="shared" si="1"/>
        <v>0</v>
      </c>
    </row>
    <row r="12" spans="2:15" ht="12.75" customHeight="1" x14ac:dyDescent="0.25">
      <c r="B12" s="20">
        <v>70</v>
      </c>
      <c r="C12" s="20">
        <v>75</v>
      </c>
      <c r="D12" s="20">
        <v>72.5</v>
      </c>
      <c r="E12" s="35">
        <f>Invullen_5dBklasse!J34</f>
        <v>0</v>
      </c>
      <c r="F12" s="35">
        <f>E12*Bevolkingsgegevens!L$7</f>
        <v>0</v>
      </c>
      <c r="G12" s="38">
        <f>19.4312-(0.9336*65)+(0.0126*65*65)</f>
        <v>11.982200000000006</v>
      </c>
      <c r="H12" s="51">
        <f t="shared" si="1"/>
        <v>0</v>
      </c>
    </row>
    <row r="13" spans="2:15" ht="12.75" customHeight="1" x14ac:dyDescent="0.25">
      <c r="B13" s="20">
        <v>75</v>
      </c>
      <c r="C13" s="20"/>
      <c r="D13" s="20">
        <v>77.5</v>
      </c>
      <c r="E13" s="35">
        <f>Invullen_5dBklasse!J35</f>
        <v>0</v>
      </c>
      <c r="F13" s="35">
        <v>0</v>
      </c>
      <c r="G13" s="38">
        <f>19.4312-(0.9336*65)+(0.0126*65*65)</f>
        <v>11.982200000000006</v>
      </c>
      <c r="H13" s="51">
        <f t="shared" si="1"/>
        <v>0</v>
      </c>
    </row>
    <row r="14" spans="2:15" ht="12.75" customHeight="1" x14ac:dyDescent="0.25">
      <c r="B14" s="5" t="s">
        <v>113</v>
      </c>
      <c r="C14" s="20"/>
      <c r="D14" s="20"/>
      <c r="E14" s="35">
        <f>SUM(E5:E13)</f>
        <v>359370</v>
      </c>
      <c r="F14" s="35">
        <f>SUM(F5:F13)</f>
        <v>291607.14529596647</v>
      </c>
      <c r="G14" s="20"/>
      <c r="H14" s="32">
        <f>SUM(H5:H13)</f>
        <v>7870.0728087644275</v>
      </c>
    </row>
  </sheetData>
  <mergeCells count="10">
    <mergeCell ref="B3:D3"/>
    <mergeCell ref="E3:E4"/>
    <mergeCell ref="F3:F4"/>
    <mergeCell ref="G3:G4"/>
    <mergeCell ref="H3:H4"/>
    <mergeCell ref="L7:N7"/>
    <mergeCell ref="L8:N8"/>
    <mergeCell ref="L4:N4"/>
    <mergeCell ref="L5:N5"/>
    <mergeCell ref="L6:N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F866-60D1-49B0-A9FC-66A674F5891C}">
  <sheetPr>
    <tabColor theme="5" tint="0.39997558519241921"/>
  </sheetPr>
  <dimension ref="B1:M33"/>
  <sheetViews>
    <sheetView workbookViewId="0">
      <selection activeCell="B2" sqref="B2:E13"/>
    </sheetView>
  </sheetViews>
  <sheetFormatPr defaultRowHeight="12.75" x14ac:dyDescent="0.2"/>
  <cols>
    <col min="1" max="1" width="9.42578125" style="1" bestFit="1" customWidth="1"/>
    <col min="2" max="2" width="40.140625" style="1" bestFit="1" customWidth="1"/>
    <col min="3" max="3" width="14.5703125" style="1" customWidth="1"/>
    <col min="4" max="4" width="15.7109375" style="1" customWidth="1"/>
    <col min="5" max="5" width="19.140625" style="1" customWidth="1"/>
    <col min="6" max="6" width="15.7109375" style="1" customWidth="1"/>
    <col min="7" max="7" width="23.5703125" style="1" customWidth="1"/>
    <col min="8" max="8" width="11.7109375" style="1" customWidth="1"/>
    <col min="9" max="9" width="13" style="1" customWidth="1"/>
    <col min="10" max="10" width="26.85546875" style="1" customWidth="1"/>
    <col min="11" max="11" width="25.5703125" style="1" customWidth="1"/>
    <col min="12" max="12" width="19.42578125" style="1" customWidth="1"/>
    <col min="13" max="13" width="14.85546875" style="1" customWidth="1"/>
    <col min="14" max="14" width="28.85546875" style="1" customWidth="1"/>
    <col min="15" max="15" width="26.5703125" style="1" customWidth="1"/>
    <col min="16" max="16" width="17.42578125" style="1" customWidth="1"/>
    <col min="17" max="17" width="15.140625" style="1" customWidth="1"/>
    <col min="18" max="18" width="16.5703125" style="1" customWidth="1"/>
    <col min="19" max="19" width="44" style="1" customWidth="1"/>
    <col min="20" max="20" width="21.5703125" style="1" customWidth="1"/>
    <col min="21" max="16384" width="9.140625" style="1"/>
  </cols>
  <sheetData>
    <row r="1" spans="2:13" ht="18" x14ac:dyDescent="0.25">
      <c r="B1" s="4" t="s">
        <v>119</v>
      </c>
      <c r="C1" s="4" t="s">
        <v>167</v>
      </c>
    </row>
    <row r="2" spans="2:13" ht="14.25" customHeight="1" x14ac:dyDescent="0.25">
      <c r="B2" s="4"/>
      <c r="C2" s="13"/>
    </row>
    <row r="3" spans="2:13" ht="18" customHeight="1" x14ac:dyDescent="0.2">
      <c r="B3" s="98" t="s">
        <v>120</v>
      </c>
      <c r="C3" s="98"/>
      <c r="D3" s="98"/>
      <c r="E3" s="99" t="s">
        <v>3</v>
      </c>
      <c r="F3" s="104" t="s">
        <v>126</v>
      </c>
      <c r="G3" s="104" t="s">
        <v>127</v>
      </c>
      <c r="H3" s="27"/>
      <c r="I3" s="57"/>
    </row>
    <row r="4" spans="2:13" ht="25.5" customHeight="1" x14ac:dyDescent="0.2">
      <c r="B4" s="74" t="s">
        <v>0</v>
      </c>
      <c r="C4" s="74" t="s">
        <v>1</v>
      </c>
      <c r="D4" s="74" t="s">
        <v>2</v>
      </c>
      <c r="E4" s="99"/>
      <c r="F4" s="104"/>
      <c r="G4" s="104"/>
      <c r="H4" s="27"/>
      <c r="I4" s="57"/>
      <c r="J4" s="88" t="s">
        <v>122</v>
      </c>
      <c r="K4" s="88"/>
      <c r="L4" s="88"/>
      <c r="M4" s="19" t="s">
        <v>190</v>
      </c>
    </row>
    <row r="5" spans="2:13" ht="15.75" customHeight="1" x14ac:dyDescent="0.25">
      <c r="B5" s="22"/>
      <c r="C5" s="22">
        <v>55</v>
      </c>
      <c r="D5" s="22" t="s">
        <v>171</v>
      </c>
      <c r="E5" s="28">
        <f>Invullen_5dBklasse!F6-SUM('Wegverkeer IHZ'!E6:E11)</f>
        <v>165670</v>
      </c>
      <c r="F5" s="39">
        <f t="shared" ref="F5:F11" si="0">IF($B5&gt;=53,EXP(($D5-53)*LN(1.08)/10),1)</f>
        <v>1</v>
      </c>
      <c r="G5" s="39">
        <f t="shared" ref="G5:G11" si="1">$E5*(F5-1)/$E$12</f>
        <v>0</v>
      </c>
      <c r="H5" s="56"/>
      <c r="I5" s="2"/>
      <c r="J5" s="89" t="s">
        <v>172</v>
      </c>
      <c r="K5" s="89"/>
      <c r="L5" s="89"/>
      <c r="M5" s="6">
        <f>E12</f>
        <v>359370</v>
      </c>
    </row>
    <row r="6" spans="2:13" x14ac:dyDescent="0.2">
      <c r="B6" s="20">
        <v>55</v>
      </c>
      <c r="C6" s="20">
        <v>60</v>
      </c>
      <c r="D6" s="20">
        <v>57.5</v>
      </c>
      <c r="E6" s="40">
        <f>Invullen_5dBklasse!C29</f>
        <v>89700</v>
      </c>
      <c r="F6" s="39">
        <f t="shared" si="0"/>
        <v>1.0352391558831511</v>
      </c>
      <c r="G6" s="39">
        <f t="shared" si="1"/>
        <v>8.79581568500056E-3</v>
      </c>
      <c r="H6" s="56"/>
      <c r="I6" s="25"/>
      <c r="J6" s="89" t="s">
        <v>158</v>
      </c>
      <c r="K6" s="89"/>
      <c r="L6" s="89"/>
      <c r="M6" s="24">
        <f>SUM(E6:E10)</f>
        <v>193700</v>
      </c>
    </row>
    <row r="7" spans="2:13" x14ac:dyDescent="0.2">
      <c r="B7" s="20">
        <v>60</v>
      </c>
      <c r="C7" s="20">
        <v>65</v>
      </c>
      <c r="D7" s="20">
        <v>62.5</v>
      </c>
      <c r="E7" s="40">
        <f>Invullen_5dBklasse!C30</f>
        <v>71200</v>
      </c>
      <c r="F7" s="39">
        <f t="shared" si="0"/>
        <v>1.0758520895846009</v>
      </c>
      <c r="G7" s="39">
        <f t="shared" si="1"/>
        <v>1.5028156992580302E-2</v>
      </c>
      <c r="H7" s="56"/>
      <c r="I7" s="25"/>
      <c r="J7" s="89" t="s">
        <v>150</v>
      </c>
      <c r="K7" s="89"/>
      <c r="L7" s="89"/>
      <c r="M7" s="7">
        <f>C16</f>
        <v>35.776462152326332</v>
      </c>
    </row>
    <row r="8" spans="2:13" x14ac:dyDescent="0.2">
      <c r="B8" s="20">
        <v>65</v>
      </c>
      <c r="C8" s="20">
        <v>70</v>
      </c>
      <c r="D8" s="20">
        <v>67.5</v>
      </c>
      <c r="E8" s="40">
        <f>Invullen_5dBklasse!C31</f>
        <v>31100</v>
      </c>
      <c r="F8" s="39">
        <f t="shared" si="0"/>
        <v>1.1180582883538033</v>
      </c>
      <c r="G8" s="39">
        <f t="shared" si="1"/>
        <v>1.0216803761591902E-2</v>
      </c>
      <c r="H8" s="56"/>
      <c r="I8" s="25"/>
      <c r="J8" s="103"/>
      <c r="K8" s="103"/>
      <c r="L8" s="103"/>
      <c r="M8" s="2"/>
    </row>
    <row r="9" spans="2:13" x14ac:dyDescent="0.2">
      <c r="B9" s="20">
        <v>70</v>
      </c>
      <c r="C9" s="20">
        <v>75</v>
      </c>
      <c r="D9" s="20">
        <v>72.5</v>
      </c>
      <c r="E9" s="40">
        <f>Invullen_5dBklasse!C32</f>
        <v>1700</v>
      </c>
      <c r="F9" s="39">
        <f t="shared" si="0"/>
        <v>1.1619202567513689</v>
      </c>
      <c r="G9" s="39">
        <f t="shared" si="1"/>
        <v>7.6596387143425195E-4</v>
      </c>
      <c r="H9" s="56"/>
      <c r="I9" s="25"/>
    </row>
    <row r="10" spans="2:13" x14ac:dyDescent="0.2">
      <c r="B10" s="20">
        <v>75</v>
      </c>
      <c r="C10" s="20">
        <v>80</v>
      </c>
      <c r="D10" s="20">
        <v>77.5</v>
      </c>
      <c r="E10" s="40">
        <f>Invullen_5dBklasse!C33</f>
        <v>0</v>
      </c>
      <c r="F10" s="39">
        <f t="shared" si="0"/>
        <v>1.2075029514221076</v>
      </c>
      <c r="G10" s="39">
        <f t="shared" si="1"/>
        <v>0</v>
      </c>
      <c r="H10" s="56"/>
      <c r="I10" s="25"/>
    </row>
    <row r="11" spans="2:13" x14ac:dyDescent="0.2">
      <c r="B11" s="20">
        <v>80</v>
      </c>
      <c r="C11" s="20"/>
      <c r="D11" s="20">
        <v>82.5</v>
      </c>
      <c r="E11" s="40">
        <f>Invullen_5dBklasse!C34</f>
        <v>0</v>
      </c>
      <c r="F11" s="39">
        <f t="shared" si="0"/>
        <v>1.2548738772914785</v>
      </c>
      <c r="G11" s="39">
        <f t="shared" si="1"/>
        <v>0</v>
      </c>
      <c r="H11" s="56"/>
      <c r="I11" s="25"/>
    </row>
    <row r="12" spans="2:13" x14ac:dyDescent="0.2">
      <c r="B12" s="5" t="s">
        <v>113</v>
      </c>
      <c r="C12" s="30"/>
      <c r="D12" s="30"/>
      <c r="E12" s="35">
        <f>SUM(E5:E11)</f>
        <v>359370</v>
      </c>
      <c r="F12" s="29"/>
      <c r="G12" s="30"/>
      <c r="H12" s="47"/>
      <c r="I12" s="3"/>
    </row>
    <row r="14" spans="2:13" x14ac:dyDescent="0.2">
      <c r="B14" s="9" t="s">
        <v>151</v>
      </c>
      <c r="C14" s="50">
        <f>(SUM(G5:G11))/(SUM(G5:G11)+1)</f>
        <v>3.3635981439548261E-2</v>
      </c>
      <c r="E14" s="3"/>
      <c r="F14" s="23"/>
    </row>
    <row r="15" spans="2:13" x14ac:dyDescent="0.2">
      <c r="B15" s="9" t="s">
        <v>185</v>
      </c>
      <c r="C15" s="51">
        <f>'coronaire hartziekten'!D20</f>
        <v>51893</v>
      </c>
      <c r="E15" s="3"/>
      <c r="F15" s="2"/>
    </row>
    <row r="16" spans="2:13" x14ac:dyDescent="0.2">
      <c r="B16" s="9" t="s">
        <v>168</v>
      </c>
      <c r="C16" s="32">
        <f>((C15*'Wegverkeer IHZ'!E12)/Bevolkingsgegevens!L$5)*C14</f>
        <v>35.776462152326332</v>
      </c>
    </row>
    <row r="20" spans="2:7" ht="18" x14ac:dyDescent="0.25">
      <c r="B20" s="4"/>
      <c r="C20" s="13"/>
    </row>
    <row r="21" spans="2:7" ht="18" x14ac:dyDescent="0.25">
      <c r="B21" s="4"/>
      <c r="C21" s="13"/>
    </row>
    <row r="22" spans="2:7" x14ac:dyDescent="0.2">
      <c r="B22" s="102"/>
      <c r="C22" s="102"/>
      <c r="D22" s="102"/>
      <c r="E22" s="100"/>
      <c r="F22" s="101"/>
      <c r="G22" s="101"/>
    </row>
    <row r="23" spans="2:7" x14ac:dyDescent="0.2">
      <c r="B23" s="11"/>
      <c r="C23" s="11"/>
      <c r="D23" s="11"/>
      <c r="E23" s="100"/>
      <c r="F23" s="101"/>
      <c r="G23" s="101"/>
    </row>
    <row r="24" spans="2:7" x14ac:dyDescent="0.2">
      <c r="B24" s="46"/>
      <c r="C24" s="46"/>
      <c r="D24" s="46"/>
      <c r="E24" s="68"/>
      <c r="F24" s="56"/>
      <c r="G24" s="56"/>
    </row>
    <row r="25" spans="2:7" x14ac:dyDescent="0.2">
      <c r="B25" s="46"/>
      <c r="C25" s="46"/>
      <c r="D25" s="46"/>
      <c r="E25" s="68"/>
      <c r="F25" s="56"/>
      <c r="G25" s="56"/>
    </row>
    <row r="26" spans="2:7" x14ac:dyDescent="0.2">
      <c r="B26" s="46"/>
      <c r="C26" s="46"/>
      <c r="D26" s="46"/>
      <c r="E26" s="68"/>
      <c r="F26" s="56"/>
      <c r="G26" s="56"/>
    </row>
    <row r="27" spans="2:7" x14ac:dyDescent="0.2">
      <c r="B27" s="46"/>
      <c r="C27" s="46"/>
      <c r="D27" s="46"/>
      <c r="E27" s="68"/>
      <c r="F27" s="56"/>
      <c r="G27" s="56"/>
    </row>
    <row r="28" spans="2:7" x14ac:dyDescent="0.2">
      <c r="B28" s="46"/>
      <c r="C28" s="46"/>
      <c r="D28" s="46"/>
      <c r="E28" s="68"/>
      <c r="F28" s="56"/>
      <c r="G28" s="56"/>
    </row>
    <row r="29" spans="2:7" x14ac:dyDescent="0.2">
      <c r="B29" s="46"/>
      <c r="C29" s="46"/>
      <c r="D29" s="46"/>
      <c r="E29" s="68"/>
      <c r="F29" s="56"/>
      <c r="G29" s="56"/>
    </row>
    <row r="30" spans="2:7" x14ac:dyDescent="0.2">
      <c r="C30" s="47"/>
      <c r="D30" s="47"/>
      <c r="E30" s="69"/>
      <c r="F30" s="69"/>
      <c r="G30" s="47"/>
    </row>
    <row r="32" spans="2:7" x14ac:dyDescent="0.2">
      <c r="B32" s="3"/>
      <c r="C32" s="23"/>
      <c r="E32" s="3"/>
      <c r="F32" s="23"/>
    </row>
    <row r="33" spans="2:6" x14ac:dyDescent="0.2">
      <c r="B33" s="3"/>
      <c r="C33" s="2"/>
      <c r="E33" s="3"/>
      <c r="F33" s="2"/>
    </row>
  </sheetData>
  <mergeCells count="13">
    <mergeCell ref="J5:L5"/>
    <mergeCell ref="J7:L7"/>
    <mergeCell ref="J8:L8"/>
    <mergeCell ref="B3:D3"/>
    <mergeCell ref="E3:E4"/>
    <mergeCell ref="F3:F4"/>
    <mergeCell ref="G3:G4"/>
    <mergeCell ref="J4:L4"/>
    <mergeCell ref="E22:E23"/>
    <mergeCell ref="F22:F23"/>
    <mergeCell ref="G22:G23"/>
    <mergeCell ref="B22:D22"/>
    <mergeCell ref="J6:L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95CD-6DA7-4DDD-8AA4-C662CBB16EB9}">
  <sheetPr>
    <tabColor theme="5" tint="0.39997558519241921"/>
  </sheetPr>
  <dimension ref="B1:O16"/>
  <sheetViews>
    <sheetView workbookViewId="0">
      <selection activeCell="B2" sqref="B2:E13"/>
    </sheetView>
  </sheetViews>
  <sheetFormatPr defaultRowHeight="15" x14ac:dyDescent="0.25"/>
  <cols>
    <col min="2" max="2" width="21.140625" customWidth="1"/>
    <col min="3" max="4" width="15.5703125" customWidth="1"/>
    <col min="5" max="5" width="18" customWidth="1"/>
    <col min="6" max="6" width="21" customWidth="1"/>
    <col min="7" max="7" width="19.28515625" customWidth="1"/>
    <col min="8" max="8" width="16.5703125" customWidth="1"/>
    <col min="10" max="10" width="7.140625" customWidth="1"/>
    <col min="11" max="11" width="27.42578125" customWidth="1"/>
    <col min="12" max="12" width="14.5703125" customWidth="1"/>
    <col min="13" max="13" width="14.28515625" customWidth="1"/>
    <col min="14" max="14" width="13.140625" customWidth="1"/>
    <col min="15" max="15" width="15.42578125" customWidth="1"/>
    <col min="16" max="16" width="16.85546875" customWidth="1"/>
    <col min="17" max="17" width="13.5703125" customWidth="1"/>
  </cols>
  <sheetData>
    <row r="1" spans="2:15" ht="18" x14ac:dyDescent="0.25">
      <c r="B1" s="4" t="s">
        <v>119</v>
      </c>
      <c r="C1" s="4" t="s">
        <v>170</v>
      </c>
      <c r="D1" s="1"/>
      <c r="E1" s="1"/>
      <c r="F1" s="1"/>
      <c r="G1" s="1"/>
      <c r="H1" s="1"/>
      <c r="I1" s="1"/>
      <c r="J1" s="1"/>
      <c r="K1" s="1"/>
      <c r="L1" s="1"/>
      <c r="M1" s="1"/>
      <c r="N1" s="1"/>
      <c r="O1" s="1"/>
    </row>
    <row r="2" spans="2:15" x14ac:dyDescent="0.25">
      <c r="B2" s="1"/>
      <c r="C2" s="1"/>
      <c r="D2" s="1"/>
      <c r="E2" s="1"/>
      <c r="F2" s="1"/>
      <c r="G2" s="1"/>
      <c r="H2" s="1"/>
      <c r="I2" s="1"/>
      <c r="J2" s="1"/>
      <c r="K2" s="1"/>
      <c r="L2" s="1"/>
      <c r="M2" s="1"/>
      <c r="N2" s="1"/>
      <c r="O2" s="1"/>
    </row>
    <row r="3" spans="2:15" x14ac:dyDescent="0.25">
      <c r="B3" s="90" t="s">
        <v>120</v>
      </c>
      <c r="C3" s="91"/>
      <c r="D3" s="91"/>
      <c r="E3" s="92" t="s">
        <v>3</v>
      </c>
      <c r="F3" s="94" t="s">
        <v>118</v>
      </c>
      <c r="G3" s="96" t="s">
        <v>117</v>
      </c>
      <c r="H3" s="92" t="s">
        <v>121</v>
      </c>
      <c r="I3" s="1"/>
      <c r="J3" s="1"/>
      <c r="O3" s="1"/>
    </row>
    <row r="4" spans="2:15" ht="26.25" x14ac:dyDescent="0.25">
      <c r="B4" s="18" t="s">
        <v>0</v>
      </c>
      <c r="C4" s="17" t="s">
        <v>1</v>
      </c>
      <c r="D4" s="17" t="s">
        <v>2</v>
      </c>
      <c r="E4" s="93"/>
      <c r="F4" s="95"/>
      <c r="G4" s="97"/>
      <c r="H4" s="93"/>
      <c r="I4" s="1"/>
      <c r="J4" s="1"/>
      <c r="K4" s="88" t="s">
        <v>122</v>
      </c>
      <c r="L4" s="88"/>
      <c r="M4" s="88"/>
      <c r="N4" s="9"/>
      <c r="O4" s="1"/>
    </row>
    <row r="5" spans="2:15" x14ac:dyDescent="0.25">
      <c r="B5" s="22"/>
      <c r="C5" s="22">
        <v>40</v>
      </c>
      <c r="D5" s="33"/>
      <c r="E5" s="28">
        <f>Invullen_5dBklasse!D25</f>
        <v>340372.16639999999</v>
      </c>
      <c r="F5" s="35">
        <f>E5*Bevolkingsgegevens!L$7</f>
        <v>276191.54571084859</v>
      </c>
      <c r="G5" s="21"/>
      <c r="H5" s="32"/>
      <c r="I5" s="1"/>
      <c r="J5" s="1"/>
      <c r="K5" s="89" t="s">
        <v>158</v>
      </c>
      <c r="L5" s="89"/>
      <c r="M5" s="89"/>
      <c r="N5" s="70">
        <f>SUM(E9:E14)</f>
        <v>9600</v>
      </c>
      <c r="O5" s="1"/>
    </row>
    <row r="6" spans="2:15" x14ac:dyDescent="0.25">
      <c r="B6" s="22">
        <v>40</v>
      </c>
      <c r="C6" s="22">
        <v>45</v>
      </c>
      <c r="D6" s="20">
        <v>42.5</v>
      </c>
      <c r="E6" s="28">
        <f>Invullen_5dBklasse!D26</f>
        <v>619.67039999999997</v>
      </c>
      <c r="F6" s="35">
        <f>E6*Bevolkingsgegevens!L$7</f>
        <v>502.82526746364368</v>
      </c>
      <c r="G6" s="36">
        <f>38.1596-(2.05538*D6)+(0.0285*D6*D6)</f>
        <v>2.2840749999999943</v>
      </c>
      <c r="H6" s="32">
        <f t="shared" ref="H6:H13" si="0">(F6/100)*G6</f>
        <v>11.48490622782019</v>
      </c>
      <c r="I6" s="1"/>
      <c r="J6" s="1"/>
      <c r="K6" s="89" t="s">
        <v>159</v>
      </c>
      <c r="L6" s="89"/>
      <c r="M6" s="89"/>
      <c r="N6" s="7">
        <f>E15</f>
        <v>359370</v>
      </c>
      <c r="O6" s="1"/>
    </row>
    <row r="7" spans="2:15" x14ac:dyDescent="0.25">
      <c r="B7" s="22">
        <v>45</v>
      </c>
      <c r="C7" s="22">
        <v>50</v>
      </c>
      <c r="D7" s="20">
        <v>47.5</v>
      </c>
      <c r="E7" s="28">
        <f>Invullen_5dBklasse!D27</f>
        <v>2599.44</v>
      </c>
      <c r="F7" s="35">
        <f>E7*Bevolkingsgegevens!L$7</f>
        <v>2109.2892499878872</v>
      </c>
      <c r="G7" s="36">
        <f t="shared" ref="G7:G13" si="1">38.1596-(2.05538*D7)+(0.0285*D7*D7)</f>
        <v>4.8321749999999923</v>
      </c>
      <c r="H7" s="32">
        <f t="shared" si="0"/>
        <v>101.92454781560203</v>
      </c>
      <c r="I7" s="1"/>
      <c r="J7" s="1"/>
      <c r="K7" s="89" t="s">
        <v>160</v>
      </c>
      <c r="L7" s="89"/>
      <c r="M7" s="89"/>
      <c r="N7" s="7">
        <f>H15</f>
        <v>1868.4583566978026</v>
      </c>
      <c r="O7" s="1"/>
    </row>
    <row r="8" spans="2:15" x14ac:dyDescent="0.25">
      <c r="B8" s="22">
        <v>50</v>
      </c>
      <c r="C8" s="22">
        <v>55</v>
      </c>
      <c r="D8" s="20">
        <v>52.5</v>
      </c>
      <c r="E8" s="28">
        <f>Invullen_5dBklasse!D28</f>
        <v>6178.7232000000004</v>
      </c>
      <c r="F8" s="35">
        <f>E8*Bevolkingsgegevens!L$7</f>
        <v>5013.6623366612648</v>
      </c>
      <c r="G8" s="36">
        <f t="shared" si="1"/>
        <v>8.8052750000000088</v>
      </c>
      <c r="H8" s="32">
        <f t="shared" si="0"/>
        <v>441.46675631445061</v>
      </c>
      <c r="I8" s="1"/>
      <c r="J8" s="1"/>
      <c r="K8" s="89" t="s">
        <v>161</v>
      </c>
      <c r="L8" s="89"/>
      <c r="M8" s="89"/>
      <c r="N8" s="7">
        <f>SUM(H9:H14)</f>
        <v>1313.5821463399297</v>
      </c>
      <c r="O8" s="1"/>
    </row>
    <row r="9" spans="2:15" x14ac:dyDescent="0.25">
      <c r="B9" s="20">
        <v>55</v>
      </c>
      <c r="C9" s="20">
        <v>60</v>
      </c>
      <c r="D9" s="20">
        <v>57.5</v>
      </c>
      <c r="E9" s="28">
        <f>Invullen_5dBklasse!D29</f>
        <v>6100</v>
      </c>
      <c r="F9" s="35">
        <f>E9*Bevolkingsgegevens!L$7</f>
        <v>4949.7831936594466</v>
      </c>
      <c r="G9" s="36">
        <f t="shared" si="1"/>
        <v>14.203375000000008</v>
      </c>
      <c r="H9" s="32">
        <f t="shared" si="0"/>
        <v>703.03626868242782</v>
      </c>
      <c r="I9" s="1"/>
      <c r="J9" s="1"/>
      <c r="K9" s="1"/>
      <c r="L9" s="1"/>
      <c r="M9" s="1"/>
      <c r="N9" s="1"/>
      <c r="O9" s="1"/>
    </row>
    <row r="10" spans="2:15" x14ac:dyDescent="0.25">
      <c r="B10" s="20">
        <v>60</v>
      </c>
      <c r="C10" s="20">
        <v>65</v>
      </c>
      <c r="D10" s="20">
        <v>62.5</v>
      </c>
      <c r="E10" s="28">
        <f>Invullen_5dBklasse!D30</f>
        <v>3300</v>
      </c>
      <c r="F10" s="35">
        <f>E10*Bevolkingsgegevens!L$7</f>
        <v>2677.7515637829792</v>
      </c>
      <c r="G10" s="36">
        <f t="shared" si="1"/>
        <v>21.026474999999991</v>
      </c>
      <c r="H10" s="32">
        <f t="shared" si="0"/>
        <v>563.03676312093694</v>
      </c>
      <c r="I10" s="1"/>
      <c r="J10" s="1"/>
      <c r="K10" s="1"/>
      <c r="L10" s="1"/>
      <c r="M10" s="1"/>
      <c r="N10" s="1"/>
      <c r="O10" s="1"/>
    </row>
    <row r="11" spans="2:15" x14ac:dyDescent="0.25">
      <c r="B11" s="20">
        <v>65</v>
      </c>
      <c r="C11" s="20">
        <v>70</v>
      </c>
      <c r="D11" s="20">
        <v>67.5</v>
      </c>
      <c r="E11" s="28">
        <f>Invullen_5dBklasse!D31</f>
        <v>200</v>
      </c>
      <c r="F11" s="35">
        <f>E11*Bevolkingsgegevens!L$7</f>
        <v>162.2879735626048</v>
      </c>
      <c r="G11" s="36">
        <f t="shared" si="1"/>
        <v>29.274575000000013</v>
      </c>
      <c r="H11" s="32">
        <f t="shared" si="0"/>
        <v>47.509114536564937</v>
      </c>
      <c r="I11" s="1"/>
      <c r="J11" s="1"/>
      <c r="K11" s="1"/>
      <c r="L11" s="1"/>
      <c r="M11" s="1"/>
      <c r="N11" s="1"/>
      <c r="O11" s="1"/>
    </row>
    <row r="12" spans="2:15" x14ac:dyDescent="0.25">
      <c r="B12" s="20">
        <v>70</v>
      </c>
      <c r="C12" s="20">
        <v>75</v>
      </c>
      <c r="D12" s="20">
        <v>72.5</v>
      </c>
      <c r="E12" s="28">
        <f>Invullen_5dBklasse!D32</f>
        <v>0</v>
      </c>
      <c r="F12" s="35">
        <f>E12*Bevolkingsgegevens!L$7</f>
        <v>0</v>
      </c>
      <c r="G12" s="36">
        <f t="shared" si="1"/>
        <v>38.947675000000018</v>
      </c>
      <c r="H12" s="32">
        <f t="shared" si="0"/>
        <v>0</v>
      </c>
      <c r="I12" s="1"/>
      <c r="J12" s="1"/>
      <c r="K12" s="1"/>
      <c r="L12" s="1"/>
      <c r="M12" s="1"/>
      <c r="N12" s="1"/>
      <c r="O12" s="1"/>
    </row>
    <row r="13" spans="2:15" x14ac:dyDescent="0.25">
      <c r="B13" s="20">
        <v>75</v>
      </c>
      <c r="C13" s="20">
        <v>80</v>
      </c>
      <c r="D13" s="20">
        <v>77.5</v>
      </c>
      <c r="E13" s="28">
        <f>Invullen_5dBklasse!D33</f>
        <v>0</v>
      </c>
      <c r="F13" s="35">
        <f>E13*Bevolkingsgegevens!L$7</f>
        <v>0</v>
      </c>
      <c r="G13" s="36">
        <f t="shared" si="1"/>
        <v>50.045775000000035</v>
      </c>
      <c r="H13" s="32">
        <f t="shared" si="0"/>
        <v>0</v>
      </c>
      <c r="I13" s="1"/>
      <c r="J13" s="1"/>
      <c r="K13" s="1"/>
      <c r="L13" s="1"/>
      <c r="M13" s="1"/>
      <c r="N13" s="1"/>
      <c r="O13" s="1"/>
    </row>
    <row r="14" spans="2:15" x14ac:dyDescent="0.25">
      <c r="B14" s="20">
        <v>80</v>
      </c>
      <c r="C14" s="20"/>
      <c r="D14" s="20">
        <v>82.5</v>
      </c>
      <c r="E14" s="28">
        <f>Invullen_5dBklasse!D34</f>
        <v>0</v>
      </c>
      <c r="F14" s="35">
        <f>E14*Bevolkingsgegevens!L$7</f>
        <v>0</v>
      </c>
      <c r="G14" s="36">
        <f>38.1596-(2.05538*80)+(0.0285*80*80)</f>
        <v>56.12920000000004</v>
      </c>
      <c r="H14" s="32">
        <f t="shared" ref="H14" si="2">(F14/100)*G14</f>
        <v>0</v>
      </c>
      <c r="I14" s="1"/>
      <c r="J14" s="1"/>
      <c r="K14" s="1"/>
      <c r="L14" s="1"/>
      <c r="M14" s="1"/>
      <c r="N14" s="1"/>
      <c r="O14" s="1"/>
    </row>
    <row r="15" spans="2:15" x14ac:dyDescent="0.25">
      <c r="B15" s="5" t="s">
        <v>113</v>
      </c>
      <c r="C15" s="8"/>
      <c r="D15" s="8"/>
      <c r="E15" s="35">
        <f>SUM(E5:E14)</f>
        <v>359370</v>
      </c>
      <c r="F15" s="35">
        <f>SUM(F5:F14)</f>
        <v>291607.14529596636</v>
      </c>
      <c r="G15" s="30"/>
      <c r="H15" s="31">
        <f>SUM(H5:H14)</f>
        <v>1868.4583566978026</v>
      </c>
      <c r="I15" s="1"/>
      <c r="J15" s="1"/>
      <c r="K15" s="1"/>
      <c r="L15" s="1"/>
      <c r="M15" s="1"/>
      <c r="N15" s="1"/>
      <c r="O15" s="1"/>
    </row>
    <row r="16" spans="2:15" x14ac:dyDescent="0.25">
      <c r="B16" s="3"/>
      <c r="C16" s="3"/>
      <c r="D16" s="3"/>
      <c r="E16" s="16"/>
      <c r="F16" s="16"/>
      <c r="G16" s="3"/>
      <c r="H16" s="16"/>
      <c r="I16" s="1"/>
      <c r="J16" s="1"/>
      <c r="K16" s="1"/>
      <c r="L16" s="1"/>
      <c r="M16" s="1"/>
      <c r="N16" s="1"/>
      <c r="O16" s="1"/>
    </row>
  </sheetData>
  <mergeCells count="10">
    <mergeCell ref="B3:D3"/>
    <mergeCell ref="E3:E4"/>
    <mergeCell ref="F3:F4"/>
    <mergeCell ref="G3:G4"/>
    <mergeCell ref="H3:H4"/>
    <mergeCell ref="K5:M5"/>
    <mergeCell ref="K6:M6"/>
    <mergeCell ref="K7:M7"/>
    <mergeCell ref="K8:M8"/>
    <mergeCell ref="K4:M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493F-BA65-40B9-847B-9BC51CB56DC9}">
  <sheetPr>
    <tabColor theme="5" tint="0.39997558519241921"/>
  </sheetPr>
  <dimension ref="B1:N15"/>
  <sheetViews>
    <sheetView workbookViewId="0">
      <selection activeCell="B2" sqref="B2:E13"/>
    </sheetView>
  </sheetViews>
  <sheetFormatPr defaultRowHeight="15" x14ac:dyDescent="0.25"/>
  <cols>
    <col min="2" max="2" width="21" customWidth="1"/>
    <col min="3" max="3" width="14.42578125" customWidth="1"/>
    <col min="4" max="4" width="14.7109375" customWidth="1"/>
    <col min="5" max="5" width="12.28515625" customWidth="1"/>
    <col min="6" max="6" width="17.42578125" customWidth="1"/>
    <col min="7" max="7" width="18.85546875" customWidth="1"/>
    <col min="8" max="8" width="17" customWidth="1"/>
    <col min="11" max="11" width="27.85546875" customWidth="1"/>
    <col min="12" max="12" width="15.140625" customWidth="1"/>
    <col min="13" max="13" width="15.7109375" customWidth="1"/>
    <col min="15" max="15" width="15.7109375" customWidth="1"/>
    <col min="16" max="16" width="15.85546875" customWidth="1"/>
    <col min="17" max="17" width="16.7109375" customWidth="1"/>
  </cols>
  <sheetData>
    <row r="1" spans="2:14" ht="18" x14ac:dyDescent="0.25">
      <c r="B1" s="4" t="s">
        <v>119</v>
      </c>
      <c r="C1" s="4" t="s">
        <v>169</v>
      </c>
    </row>
    <row r="3" spans="2:14" x14ac:dyDescent="0.25">
      <c r="B3" s="98" t="s">
        <v>123</v>
      </c>
      <c r="C3" s="98"/>
      <c r="D3" s="98"/>
      <c r="E3" s="99" t="s">
        <v>3</v>
      </c>
      <c r="F3" s="105" t="s">
        <v>118</v>
      </c>
      <c r="G3" s="105" t="s">
        <v>124</v>
      </c>
      <c r="H3" s="99" t="s">
        <v>125</v>
      </c>
      <c r="I3" s="1"/>
      <c r="J3" s="1"/>
      <c r="K3" s="88" t="s">
        <v>122</v>
      </c>
      <c r="L3" s="88"/>
      <c r="M3" s="88"/>
      <c r="N3" s="9"/>
    </row>
    <row r="4" spans="2:14" ht="26.25" x14ac:dyDescent="0.25">
      <c r="B4" s="71" t="s">
        <v>0</v>
      </c>
      <c r="C4" s="72" t="s">
        <v>1</v>
      </c>
      <c r="D4" s="73" t="s">
        <v>2</v>
      </c>
      <c r="E4" s="99"/>
      <c r="F4" s="105"/>
      <c r="G4" s="105"/>
      <c r="H4" s="99"/>
      <c r="I4" s="1"/>
      <c r="J4" s="1"/>
      <c r="K4" s="89" t="s">
        <v>164</v>
      </c>
      <c r="L4" s="89"/>
      <c r="M4" s="89"/>
      <c r="N4" s="34">
        <f>SUM(E8:E12)</f>
        <v>4400</v>
      </c>
    </row>
    <row r="5" spans="2:14" ht="13.5" customHeight="1" x14ac:dyDescent="0.25">
      <c r="B5" s="20" t="s">
        <v>4</v>
      </c>
      <c r="C5" s="20">
        <v>40</v>
      </c>
      <c r="D5" s="20"/>
      <c r="E5" s="35">
        <f>Invullen_5dBklasse!K25</f>
        <v>351361.45439999999</v>
      </c>
      <c r="F5" s="35">
        <f>E5*Bevolkingsgegevens!L$7</f>
        <v>285108.69211292785</v>
      </c>
      <c r="G5" s="38"/>
      <c r="H5" s="51"/>
      <c r="I5" s="1"/>
      <c r="J5" s="1"/>
      <c r="K5" s="89" t="s">
        <v>159</v>
      </c>
      <c r="L5" s="89"/>
      <c r="M5" s="89"/>
      <c r="N5" s="49">
        <f>E14</f>
        <v>359370</v>
      </c>
    </row>
    <row r="6" spans="2:14" ht="13.5" customHeight="1" x14ac:dyDescent="0.25">
      <c r="B6" s="20">
        <v>40</v>
      </c>
      <c r="C6" s="20">
        <v>45</v>
      </c>
      <c r="D6" s="20">
        <v>42.5</v>
      </c>
      <c r="E6" s="35">
        <f>Invullen_5dBklasse!K28</f>
        <v>1658.1532</v>
      </c>
      <c r="F6" s="35">
        <f>E6*Bevolkingsgegevens!L$7</f>
        <v>1345.4916134217428</v>
      </c>
      <c r="G6" s="38">
        <f>67.5406-(3.1852*D6)+(0.0391*D6*D6)</f>
        <v>2.793974999999989</v>
      </c>
      <c r="H6" s="32">
        <f t="shared" ref="H6:H13" si="0">(F6/100)*G6</f>
        <v>37.592699306099995</v>
      </c>
      <c r="I6" s="1"/>
      <c r="J6" s="1"/>
      <c r="K6" s="89" t="s">
        <v>165</v>
      </c>
      <c r="L6" s="89"/>
      <c r="M6" s="89"/>
      <c r="N6" s="49">
        <f>H14</f>
        <v>437.70024868245991</v>
      </c>
    </row>
    <row r="7" spans="2:14" ht="13.5" customHeight="1" x14ac:dyDescent="0.25">
      <c r="B7" s="20">
        <v>45</v>
      </c>
      <c r="C7" s="20">
        <v>50</v>
      </c>
      <c r="D7" s="20">
        <v>47.5</v>
      </c>
      <c r="E7" s="35">
        <f>Invullen_5dBklasse!K29</f>
        <v>1950.3924000000002</v>
      </c>
      <c r="F7" s="35">
        <f>E7*Bevolkingsgegevens!L$7</f>
        <v>1582.6261512395267</v>
      </c>
      <c r="G7" s="38">
        <f t="shared" ref="G7:G10" si="1">67.5406-(3.1852*D7)+(0.0391*D7*D7)</f>
        <v>4.4629750000000001</v>
      </c>
      <c r="H7" s="32">
        <f t="shared" si="0"/>
        <v>70.632209473282273</v>
      </c>
      <c r="I7" s="1"/>
      <c r="J7" s="1"/>
      <c r="K7" s="89" t="s">
        <v>166</v>
      </c>
      <c r="L7" s="89"/>
      <c r="M7" s="89"/>
      <c r="N7" s="49">
        <f>SUM(H8:H13)</f>
        <v>329.47533990307761</v>
      </c>
    </row>
    <row r="8" spans="2:14" ht="13.5" customHeight="1" x14ac:dyDescent="0.25">
      <c r="B8" s="20">
        <v>50</v>
      </c>
      <c r="C8" s="20">
        <v>55</v>
      </c>
      <c r="D8" s="20">
        <v>52.5</v>
      </c>
      <c r="E8" s="35">
        <f>Invullen_5dBklasse!K30</f>
        <v>3500</v>
      </c>
      <c r="F8" s="35">
        <f>E8*Bevolkingsgegevens!L$7</f>
        <v>2840.039537345584</v>
      </c>
      <c r="G8" s="38">
        <f t="shared" si="1"/>
        <v>8.0869749999999954</v>
      </c>
      <c r="H8" s="32">
        <f t="shared" si="0"/>
        <v>229.6732873752529</v>
      </c>
      <c r="I8" s="1"/>
      <c r="J8" s="1"/>
      <c r="K8" s="1"/>
      <c r="L8" s="1"/>
      <c r="M8" s="1"/>
      <c r="N8" s="1"/>
    </row>
    <row r="9" spans="2:14" ht="13.5" customHeight="1" x14ac:dyDescent="0.25">
      <c r="B9" s="20">
        <v>55</v>
      </c>
      <c r="C9" s="20">
        <v>60</v>
      </c>
      <c r="D9" s="20">
        <v>57.5</v>
      </c>
      <c r="E9" s="35">
        <f>Invullen_5dBklasse!K31</f>
        <v>900</v>
      </c>
      <c r="F9" s="35">
        <f>E9*Bevolkingsgegevens!L$7</f>
        <v>730.29588103172159</v>
      </c>
      <c r="G9" s="38">
        <f t="shared" si="1"/>
        <v>13.665974999999989</v>
      </c>
      <c r="H9" s="32">
        <f t="shared" si="0"/>
        <v>99.802052527824742</v>
      </c>
      <c r="I9" s="1"/>
      <c r="J9" s="1"/>
      <c r="K9" s="1"/>
      <c r="L9" s="1"/>
      <c r="M9" s="1"/>
      <c r="N9" s="1"/>
    </row>
    <row r="10" spans="2:14" ht="13.5" customHeight="1" x14ac:dyDescent="0.25">
      <c r="B10" s="20">
        <v>60</v>
      </c>
      <c r="C10" s="20">
        <v>65</v>
      </c>
      <c r="D10" s="20">
        <v>62.5</v>
      </c>
      <c r="E10" s="35">
        <f>Invullen_5dBklasse!K32</f>
        <v>0</v>
      </c>
      <c r="F10" s="35">
        <f>E10*Bevolkingsgegevens!L$7</f>
        <v>0</v>
      </c>
      <c r="G10" s="38">
        <f t="shared" si="1"/>
        <v>21.199974999999995</v>
      </c>
      <c r="H10" s="32">
        <f t="shared" si="0"/>
        <v>0</v>
      </c>
      <c r="I10" s="1"/>
      <c r="J10" s="1"/>
      <c r="K10" s="1"/>
      <c r="L10" s="1"/>
      <c r="M10" s="1"/>
      <c r="N10" s="1"/>
    </row>
    <row r="11" spans="2:14" ht="13.5" customHeight="1" x14ac:dyDescent="0.25">
      <c r="B11" s="20">
        <v>65</v>
      </c>
      <c r="C11" s="20">
        <v>70</v>
      </c>
      <c r="D11" s="20">
        <v>67.5</v>
      </c>
      <c r="E11" s="35">
        <f>Invullen_5dBklasse!K33</f>
        <v>0</v>
      </c>
      <c r="F11" s="35">
        <f>E11*Bevolkingsgegevens!L$7</f>
        <v>0</v>
      </c>
      <c r="G11" s="38">
        <f>67.5406-(3.1852*65)+(0.0391*65*65)</f>
        <v>25.700099999999992</v>
      </c>
      <c r="H11" s="32">
        <f t="shared" si="0"/>
        <v>0</v>
      </c>
      <c r="I11" s="1"/>
      <c r="J11" s="1"/>
      <c r="K11" s="1"/>
      <c r="L11" s="1"/>
      <c r="M11" s="1"/>
      <c r="N11" s="1"/>
    </row>
    <row r="12" spans="2:14" ht="13.5" customHeight="1" x14ac:dyDescent="0.25">
      <c r="B12" s="20">
        <v>70</v>
      </c>
      <c r="C12" s="20">
        <v>75</v>
      </c>
      <c r="D12" s="20">
        <v>72.5</v>
      </c>
      <c r="E12" s="35">
        <f>Invullen_5dBklasse!K34</f>
        <v>0</v>
      </c>
      <c r="F12" s="35">
        <f>E12*Bevolkingsgegevens!L$7</f>
        <v>0</v>
      </c>
      <c r="G12" s="38">
        <f t="shared" ref="G12:G13" si="2">67.5406-(3.1852*65)+(0.0391*65*65)</f>
        <v>25.700099999999992</v>
      </c>
      <c r="H12" s="51">
        <f t="shared" si="0"/>
        <v>0</v>
      </c>
      <c r="I12" s="1"/>
      <c r="J12" s="1"/>
      <c r="K12" s="1"/>
      <c r="L12" s="1"/>
      <c r="M12" s="1"/>
      <c r="N12" s="1"/>
    </row>
    <row r="13" spans="2:14" ht="13.5" customHeight="1" x14ac:dyDescent="0.25">
      <c r="B13" s="20">
        <v>75</v>
      </c>
      <c r="C13" s="20"/>
      <c r="D13" s="20">
        <v>77.5</v>
      </c>
      <c r="E13" s="35">
        <f>Invullen_5dBklasse!K35</f>
        <v>0</v>
      </c>
      <c r="F13" s="35">
        <v>0</v>
      </c>
      <c r="G13" s="38">
        <f t="shared" si="2"/>
        <v>25.700099999999992</v>
      </c>
      <c r="H13" s="51">
        <f t="shared" si="0"/>
        <v>0</v>
      </c>
      <c r="I13" s="1"/>
      <c r="J13" s="1"/>
      <c r="K13" s="1"/>
      <c r="L13" s="1"/>
      <c r="M13" s="1"/>
      <c r="N13" s="1"/>
    </row>
    <row r="14" spans="2:14" ht="13.5" customHeight="1" x14ac:dyDescent="0.25">
      <c r="B14" s="20" t="s">
        <v>113</v>
      </c>
      <c r="C14" s="20"/>
      <c r="D14" s="20"/>
      <c r="E14" s="35">
        <f>SUM(E5:E13)</f>
        <v>359370</v>
      </c>
      <c r="F14" s="35">
        <f>SUM(F5:F13)</f>
        <v>291607.14529596642</v>
      </c>
      <c r="G14" s="20"/>
      <c r="H14" s="32">
        <f>SUM(H5:H13)</f>
        <v>437.70024868245991</v>
      </c>
      <c r="I14" s="1"/>
      <c r="J14" s="1"/>
      <c r="K14" s="1"/>
      <c r="L14" s="1"/>
      <c r="M14" s="1"/>
      <c r="N14" s="1"/>
    </row>
    <row r="15" spans="2:14" x14ac:dyDescent="0.25">
      <c r="B15" s="1"/>
      <c r="C15" s="1"/>
      <c r="D15" s="1"/>
      <c r="E15" s="1"/>
      <c r="F15" s="1"/>
      <c r="G15" s="1"/>
      <c r="H15" s="1"/>
      <c r="I15" s="1"/>
      <c r="J15" s="1"/>
      <c r="K15" s="1"/>
      <c r="L15" s="1"/>
      <c r="M15" s="1"/>
      <c r="N15" s="1"/>
    </row>
  </sheetData>
  <mergeCells count="10">
    <mergeCell ref="K5:M5"/>
    <mergeCell ref="K6:M6"/>
    <mergeCell ref="K7:M7"/>
    <mergeCell ref="B3:D3"/>
    <mergeCell ref="E3:E4"/>
    <mergeCell ref="F3:F4"/>
    <mergeCell ref="G3:G4"/>
    <mergeCell ref="H3:H4"/>
    <mergeCell ref="K3:M3"/>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4DE9-0BC1-4F03-9186-7E989EDFF85E}">
  <sheetPr>
    <tabColor theme="5" tint="0.39997558519241921"/>
  </sheetPr>
  <dimension ref="B1:N16"/>
  <sheetViews>
    <sheetView workbookViewId="0">
      <selection activeCell="B2" sqref="B2:E13"/>
    </sheetView>
  </sheetViews>
  <sheetFormatPr defaultRowHeight="15" x14ac:dyDescent="0.25"/>
  <cols>
    <col min="2" max="2" width="20.85546875" customWidth="1"/>
    <col min="3" max="3" width="16.42578125" customWidth="1"/>
    <col min="4" max="4" width="17.5703125" customWidth="1"/>
    <col min="5" max="6" width="15.42578125" customWidth="1"/>
    <col min="7" max="7" width="14.5703125" customWidth="1"/>
    <col min="8" max="8" width="16.7109375" customWidth="1"/>
    <col min="11" max="11" width="26.85546875" customWidth="1"/>
    <col min="12" max="12" width="17.140625" customWidth="1"/>
    <col min="13" max="13" width="19.42578125" customWidth="1"/>
    <col min="14" max="14" width="18" customWidth="1"/>
    <col min="15" max="15" width="25.42578125" customWidth="1"/>
    <col min="16" max="16" width="15.42578125" customWidth="1"/>
    <col min="17" max="17" width="16.7109375" customWidth="1"/>
  </cols>
  <sheetData>
    <row r="1" spans="2:14" ht="18" x14ac:dyDescent="0.25">
      <c r="B1" s="4" t="s">
        <v>119</v>
      </c>
      <c r="C1" s="4" t="s">
        <v>191</v>
      </c>
      <c r="D1" s="1"/>
      <c r="E1" s="1"/>
      <c r="F1" s="1"/>
      <c r="G1" s="1"/>
      <c r="H1" s="1"/>
      <c r="I1" s="1"/>
      <c r="J1" s="1"/>
      <c r="K1" s="1"/>
      <c r="L1" s="1"/>
      <c r="M1" s="1"/>
      <c r="N1" s="1"/>
    </row>
    <row r="2" spans="2:14" x14ac:dyDescent="0.25">
      <c r="B2" s="1"/>
      <c r="C2" s="1"/>
      <c r="D2" s="1"/>
      <c r="E2" s="1"/>
      <c r="F2" s="1"/>
      <c r="G2" s="1"/>
      <c r="H2" s="1"/>
      <c r="I2" s="1"/>
      <c r="J2" s="1"/>
      <c r="K2" s="1"/>
      <c r="L2" s="1"/>
      <c r="M2" s="1"/>
      <c r="N2" s="1"/>
    </row>
    <row r="3" spans="2:14" x14ac:dyDescent="0.25">
      <c r="B3" s="90" t="s">
        <v>120</v>
      </c>
      <c r="C3" s="91"/>
      <c r="D3" s="91"/>
      <c r="E3" s="92" t="s">
        <v>3</v>
      </c>
      <c r="F3" s="94" t="s">
        <v>118</v>
      </c>
      <c r="G3" s="96" t="s">
        <v>117</v>
      </c>
      <c r="H3" s="92" t="s">
        <v>121</v>
      </c>
      <c r="I3" s="1"/>
      <c r="J3" s="1"/>
      <c r="K3" s="1"/>
      <c r="L3" s="1"/>
      <c r="M3" s="1"/>
      <c r="N3" s="1"/>
    </row>
    <row r="4" spans="2:14" ht="26.25" x14ac:dyDescent="0.25">
      <c r="B4" s="18" t="s">
        <v>0</v>
      </c>
      <c r="C4" s="17" t="s">
        <v>1</v>
      </c>
      <c r="D4" s="17" t="s">
        <v>2</v>
      </c>
      <c r="E4" s="93"/>
      <c r="F4" s="95"/>
      <c r="G4" s="97"/>
      <c r="H4" s="93"/>
      <c r="I4" s="1"/>
      <c r="J4" s="1"/>
      <c r="K4" s="88" t="s">
        <v>122</v>
      </c>
      <c r="L4" s="88"/>
      <c r="M4" s="88"/>
      <c r="N4" s="9"/>
    </row>
    <row r="5" spans="2:14" ht="12" customHeight="1" x14ac:dyDescent="0.25">
      <c r="B5" s="20" t="s">
        <v>4</v>
      </c>
      <c r="C5" s="20">
        <v>40</v>
      </c>
      <c r="D5" s="20"/>
      <c r="E5" s="35">
        <f>Invullen_5dBklasse!E25</f>
        <v>344249.44300000003</v>
      </c>
      <c r="F5" s="35">
        <f>E5*Bevolkingsgegevens!L$7</f>
        <v>279337.72252262715</v>
      </c>
      <c r="G5" s="21"/>
      <c r="H5" s="32"/>
      <c r="I5" s="1"/>
      <c r="J5" s="1"/>
      <c r="K5" s="89" t="s">
        <v>158</v>
      </c>
      <c r="L5" s="89"/>
      <c r="M5" s="89"/>
      <c r="N5" s="34">
        <f>SUM(E9:E13)</f>
        <v>1850</v>
      </c>
    </row>
    <row r="6" spans="2:14" ht="12" customHeight="1" x14ac:dyDescent="0.25">
      <c r="B6" s="20">
        <v>40</v>
      </c>
      <c r="C6" s="20">
        <v>45</v>
      </c>
      <c r="D6" s="20">
        <v>42.5</v>
      </c>
      <c r="E6" s="35">
        <f>Invullen_5dBklasse!E26</f>
        <v>6444.598</v>
      </c>
      <c r="F6" s="35">
        <f>E6*Bevolkingsgegevens!L$7</f>
        <v>5229.4037492280786</v>
      </c>
      <c r="G6" s="36">
        <f t="shared" ref="G6:G10" si="0">((EXP(-7.713+0.126*D6))/(1+(EXP(-7.713+0.126*D6))))*100</f>
        <v>8.6431986924638569</v>
      </c>
      <c r="H6" s="32">
        <f t="shared" ref="H6:H14" si="1">(F6/100)*G6</f>
        <v>451.98775647693719</v>
      </c>
      <c r="I6" s="1"/>
      <c r="J6" s="1"/>
      <c r="K6" s="89" t="s">
        <v>159</v>
      </c>
      <c r="L6" s="89"/>
      <c r="M6" s="89"/>
      <c r="N6" s="49">
        <f>E15</f>
        <v>359370.00000000006</v>
      </c>
    </row>
    <row r="7" spans="2:14" ht="12" customHeight="1" x14ac:dyDescent="0.25">
      <c r="B7" s="20">
        <v>45</v>
      </c>
      <c r="C7" s="20">
        <v>50</v>
      </c>
      <c r="D7" s="20">
        <v>47.5</v>
      </c>
      <c r="E7" s="35">
        <f>Invullen_5dBklasse!E27</f>
        <v>4400.1840000000002</v>
      </c>
      <c r="F7" s="35">
        <f>E7*Bevolkingsgegevens!L$7</f>
        <v>3570.4847233129835</v>
      </c>
      <c r="G7" s="36">
        <f t="shared" si="0"/>
        <v>15.084358048132781</v>
      </c>
      <c r="H7" s="32">
        <f t="shared" si="1"/>
        <v>538.5846997184135</v>
      </c>
      <c r="I7" s="1"/>
      <c r="J7" s="1"/>
      <c r="K7" s="89" t="s">
        <v>160</v>
      </c>
      <c r="L7" s="89"/>
      <c r="M7" s="89"/>
      <c r="N7" s="49">
        <f>H15</f>
        <v>2171.2120232391376</v>
      </c>
    </row>
    <row r="8" spans="2:14" ht="12" customHeight="1" x14ac:dyDescent="0.25">
      <c r="B8" s="20">
        <v>50</v>
      </c>
      <c r="C8" s="20">
        <v>55</v>
      </c>
      <c r="D8" s="20">
        <v>52.5</v>
      </c>
      <c r="E8" s="35">
        <f>Invullen_5dBklasse!E28</f>
        <v>2425.7749999999996</v>
      </c>
      <c r="F8" s="35">
        <f>E8*Bevolkingsgegevens!L$7</f>
        <v>1968.370545344138</v>
      </c>
      <c r="G8" s="36">
        <f t="shared" si="0"/>
        <v>25.011482169768946</v>
      </c>
      <c r="H8" s="32">
        <f t="shared" si="1"/>
        <v>492.31864798373283</v>
      </c>
      <c r="I8" s="1"/>
      <c r="J8" s="1"/>
      <c r="K8" s="89" t="s">
        <v>161</v>
      </c>
      <c r="L8" s="89"/>
      <c r="M8" s="89"/>
      <c r="N8" s="49">
        <f>SUM(H9:H14)</f>
        <v>688.32091906005451</v>
      </c>
    </row>
    <row r="9" spans="2:14" ht="12" customHeight="1" x14ac:dyDescent="0.25">
      <c r="B9" s="20">
        <v>55</v>
      </c>
      <c r="C9" s="20">
        <v>60</v>
      </c>
      <c r="D9" s="20">
        <v>57.5</v>
      </c>
      <c r="E9" s="35">
        <f>Invullen_5dBklasse!E29</f>
        <v>1000</v>
      </c>
      <c r="F9" s="35">
        <f>E9*Bevolkingsgegevens!L$7</f>
        <v>811.43986781302397</v>
      </c>
      <c r="G9" s="36">
        <f t="shared" si="0"/>
        <v>38.508972589284156</v>
      </c>
      <c r="H9" s="32">
        <f t="shared" si="1"/>
        <v>312.477156274641</v>
      </c>
      <c r="I9" s="1"/>
      <c r="J9" s="1"/>
      <c r="K9" s="1"/>
      <c r="L9" s="1"/>
      <c r="M9" s="1"/>
      <c r="N9" s="1"/>
    </row>
    <row r="10" spans="2:14" ht="12" customHeight="1" x14ac:dyDescent="0.25">
      <c r="B10" s="20">
        <v>60</v>
      </c>
      <c r="C10" s="20">
        <v>65</v>
      </c>
      <c r="D10" s="20">
        <v>62.5</v>
      </c>
      <c r="E10" s="35">
        <f>Invullen_5dBklasse!E30</f>
        <v>800</v>
      </c>
      <c r="F10" s="35">
        <f>E10*Bevolkingsgegevens!L$7</f>
        <v>649.15189425041922</v>
      </c>
      <c r="G10" s="36">
        <f t="shared" si="0"/>
        <v>54.041165833661999</v>
      </c>
      <c r="H10" s="32">
        <f t="shared" si="1"/>
        <v>350.80925168422721</v>
      </c>
      <c r="I10" s="1"/>
      <c r="J10" s="1"/>
      <c r="K10" s="1"/>
      <c r="L10" s="1"/>
      <c r="M10" s="1"/>
      <c r="N10" s="1"/>
    </row>
    <row r="11" spans="2:14" ht="12" customHeight="1" x14ac:dyDescent="0.25">
      <c r="B11" s="20">
        <v>65</v>
      </c>
      <c r="C11" s="20">
        <v>70</v>
      </c>
      <c r="D11" s="20">
        <v>67.5</v>
      </c>
      <c r="E11" s="35">
        <f>Invullen_5dBklasse!E31</f>
        <v>50</v>
      </c>
      <c r="F11" s="35">
        <f>E11*Bevolkingsgegevens!L$7</f>
        <v>40.571993390651201</v>
      </c>
      <c r="G11" s="36">
        <f>((EXP(-7.713+0.126*65))/(1+(EXP(-7.713+0.126*65))))*100</f>
        <v>61.703921865852585</v>
      </c>
      <c r="H11" s="32">
        <f t="shared" si="1"/>
        <v>25.034511101186293</v>
      </c>
      <c r="I11" s="1"/>
      <c r="J11" s="1"/>
      <c r="K11" s="1"/>
      <c r="L11" s="1"/>
      <c r="M11" s="1"/>
      <c r="N11" s="1"/>
    </row>
    <row r="12" spans="2:14" ht="12" customHeight="1" x14ac:dyDescent="0.25">
      <c r="B12" s="20">
        <v>70</v>
      </c>
      <c r="C12" s="20">
        <v>75</v>
      </c>
      <c r="D12" s="20">
        <v>72.5</v>
      </c>
      <c r="E12" s="35">
        <f>Invullen_5dBklasse!E32</f>
        <v>0</v>
      </c>
      <c r="F12" s="35">
        <f>E12*Bevolkingsgegevens!L$7</f>
        <v>0</v>
      </c>
      <c r="G12" s="36">
        <f t="shared" ref="G12:G14" si="2">((EXP(-7.713+0.126*65))/(1+(EXP(-7.713+0.126*65))))*100</f>
        <v>61.703921865852585</v>
      </c>
      <c r="H12" s="32">
        <f t="shared" si="1"/>
        <v>0</v>
      </c>
      <c r="I12" s="1"/>
      <c r="J12" s="1"/>
      <c r="K12" s="1"/>
      <c r="L12" s="1"/>
      <c r="M12" s="1"/>
      <c r="N12" s="1"/>
    </row>
    <row r="13" spans="2:14" ht="12" customHeight="1" x14ac:dyDescent="0.25">
      <c r="B13" s="20">
        <v>75</v>
      </c>
      <c r="C13" s="20">
        <v>80</v>
      </c>
      <c r="D13" s="20">
        <v>77.5</v>
      </c>
      <c r="E13" s="35">
        <f>Invullen_5dBklasse!E33</f>
        <v>0</v>
      </c>
      <c r="F13" s="35">
        <f>E13*Bevolkingsgegevens!L$7</f>
        <v>0</v>
      </c>
      <c r="G13" s="36">
        <f t="shared" si="2"/>
        <v>61.703921865852585</v>
      </c>
      <c r="H13" s="32">
        <f t="shared" si="1"/>
        <v>0</v>
      </c>
      <c r="I13" s="1"/>
      <c r="J13" s="1"/>
      <c r="K13" s="1"/>
      <c r="L13" s="1"/>
      <c r="M13" s="1"/>
      <c r="N13" s="1"/>
    </row>
    <row r="14" spans="2:14" ht="12" customHeight="1" x14ac:dyDescent="0.25">
      <c r="B14" s="20">
        <v>80</v>
      </c>
      <c r="C14" s="20"/>
      <c r="D14" s="20">
        <v>82.5</v>
      </c>
      <c r="E14" s="35">
        <f>Invullen_5dBklasse!E34</f>
        <v>0</v>
      </c>
      <c r="F14" s="35">
        <f>E14*Bevolkingsgegevens!L$7</f>
        <v>0</v>
      </c>
      <c r="G14" s="36">
        <f t="shared" si="2"/>
        <v>61.703921865852585</v>
      </c>
      <c r="H14" s="32">
        <f t="shared" si="1"/>
        <v>0</v>
      </c>
      <c r="I14" s="1"/>
      <c r="J14" s="1"/>
      <c r="K14" s="1"/>
      <c r="L14" s="1"/>
      <c r="M14" s="1"/>
      <c r="N14" s="1"/>
    </row>
    <row r="15" spans="2:14" ht="12" customHeight="1" x14ac:dyDescent="0.25">
      <c r="B15" s="20" t="s">
        <v>113</v>
      </c>
      <c r="C15" s="20"/>
      <c r="D15" s="20"/>
      <c r="E15" s="35">
        <f>SUM(E5:E14)</f>
        <v>359370.00000000006</v>
      </c>
      <c r="F15" s="35">
        <f>SUM(F5:F14)</f>
        <v>291607.14529596642</v>
      </c>
      <c r="G15" s="20"/>
      <c r="H15" s="32">
        <f>SUM(H5:H14)</f>
        <v>2171.2120232391376</v>
      </c>
      <c r="I15" s="1"/>
      <c r="J15" s="1"/>
      <c r="K15" s="1"/>
      <c r="L15" s="1"/>
      <c r="M15" s="1"/>
      <c r="N15" s="1"/>
    </row>
    <row r="16" spans="2:14" ht="12" customHeight="1" x14ac:dyDescent="0.25">
      <c r="B16" s="3"/>
      <c r="C16" s="3"/>
      <c r="D16" s="3"/>
      <c r="E16" s="16"/>
      <c r="F16" s="16"/>
      <c r="G16" s="3"/>
      <c r="H16" s="16"/>
      <c r="I16" s="1"/>
      <c r="J16" s="1"/>
      <c r="K16" s="1"/>
      <c r="L16" s="1"/>
      <c r="M16" s="1"/>
      <c r="N16" s="1"/>
    </row>
  </sheetData>
  <mergeCells count="10">
    <mergeCell ref="B3:D3"/>
    <mergeCell ref="E3:E4"/>
    <mergeCell ref="F3:F4"/>
    <mergeCell ref="G3:G4"/>
    <mergeCell ref="H3:H4"/>
    <mergeCell ref="K5:M5"/>
    <mergeCell ref="K6:M6"/>
    <mergeCell ref="K7:M7"/>
    <mergeCell ref="K8:M8"/>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8664-189A-43A7-9BA7-A0004B2C8481}">
  <sheetPr>
    <tabColor theme="5" tint="0.39997558519241921"/>
  </sheetPr>
  <dimension ref="B1:N17"/>
  <sheetViews>
    <sheetView workbookViewId="0">
      <selection activeCell="B2" sqref="B2:E13"/>
    </sheetView>
  </sheetViews>
  <sheetFormatPr defaultRowHeight="15" x14ac:dyDescent="0.25"/>
  <cols>
    <col min="2" max="2" width="21.85546875" customWidth="1"/>
    <col min="3" max="3" width="14.85546875" customWidth="1"/>
    <col min="4" max="4" width="16.140625" customWidth="1"/>
    <col min="5" max="5" width="15.28515625" customWidth="1"/>
    <col min="6" max="6" width="19" customWidth="1"/>
    <col min="7" max="7" width="17.7109375" customWidth="1"/>
    <col min="8" max="8" width="16.42578125" customWidth="1"/>
    <col min="11" max="11" width="27.140625" customWidth="1"/>
    <col min="12" max="12" width="15" customWidth="1"/>
    <col min="13" max="13" width="17.42578125" customWidth="1"/>
    <col min="15" max="15" width="16.42578125" customWidth="1"/>
    <col min="16" max="16" width="18.5703125" customWidth="1"/>
    <col min="17" max="17" width="16" customWidth="1"/>
  </cols>
  <sheetData>
    <row r="1" spans="2:14" ht="18" x14ac:dyDescent="0.25">
      <c r="B1" s="4" t="s">
        <v>119</v>
      </c>
      <c r="C1" s="4" t="s">
        <v>169</v>
      </c>
    </row>
    <row r="3" spans="2:14" x14ac:dyDescent="0.25">
      <c r="B3" s="98" t="s">
        <v>123</v>
      </c>
      <c r="C3" s="98"/>
      <c r="D3" s="98"/>
      <c r="E3" s="99" t="s">
        <v>3</v>
      </c>
      <c r="F3" s="99" t="s">
        <v>118</v>
      </c>
      <c r="G3" s="99" t="s">
        <v>124</v>
      </c>
      <c r="H3" s="99" t="s">
        <v>125</v>
      </c>
      <c r="I3" s="1"/>
      <c r="J3" s="1"/>
      <c r="K3" s="88" t="s">
        <v>122</v>
      </c>
      <c r="L3" s="88"/>
      <c r="M3" s="88"/>
      <c r="N3" s="9"/>
    </row>
    <row r="4" spans="2:14" ht="26.25" x14ac:dyDescent="0.25">
      <c r="B4" s="67" t="s">
        <v>0</v>
      </c>
      <c r="C4" s="67" t="s">
        <v>1</v>
      </c>
      <c r="D4" s="67" t="s">
        <v>2</v>
      </c>
      <c r="E4" s="99"/>
      <c r="F4" s="99"/>
      <c r="G4" s="99"/>
      <c r="H4" s="99"/>
      <c r="I4" s="1"/>
      <c r="J4" s="1"/>
      <c r="K4" s="89" t="s">
        <v>164</v>
      </c>
      <c r="L4" s="89"/>
      <c r="M4" s="89"/>
      <c r="N4" s="34">
        <f>SUM(E10:E12)</f>
        <v>300</v>
      </c>
    </row>
    <row r="5" spans="2:14" ht="12.75" customHeight="1" x14ac:dyDescent="0.25">
      <c r="B5" s="20"/>
      <c r="C5" s="20">
        <v>30</v>
      </c>
      <c r="D5" s="20"/>
      <c r="E5" s="35">
        <f>Invullen_5dBklasse!L25</f>
        <v>349131.43530000001</v>
      </c>
      <c r="F5" s="35">
        <f>E5*Bevolkingsgegevens!L$7</f>
        <v>283299.16570920334</v>
      </c>
      <c r="G5" s="36"/>
      <c r="H5" s="32"/>
      <c r="I5" s="1"/>
      <c r="J5" s="1"/>
      <c r="K5" s="89" t="s">
        <v>159</v>
      </c>
      <c r="L5" s="89"/>
      <c r="M5" s="89"/>
      <c r="N5" s="49">
        <f>E13</f>
        <v>359370.00000000006</v>
      </c>
    </row>
    <row r="6" spans="2:14" ht="12.75" customHeight="1" x14ac:dyDescent="0.25">
      <c r="B6" s="20">
        <v>30</v>
      </c>
      <c r="C6" s="20">
        <v>35</v>
      </c>
      <c r="D6" s="20">
        <v>32.5</v>
      </c>
      <c r="E6" s="35">
        <f>Invullen_5dBklasse!L26</f>
        <v>4546.7610000000004</v>
      </c>
      <c r="F6" s="35">
        <f>E6*Bevolkingsgegevens!L$7</f>
        <v>3689.4231448174132</v>
      </c>
      <c r="G6" s="36">
        <f t="shared" ref="G6:G10" si="0">((EXP(-6.2952+0.096*D6))/(1+(EXP(-6.2952+0.096*D6))))*100</f>
        <v>4.0109731061650686</v>
      </c>
      <c r="H6" s="32">
        <f t="shared" ref="H6:H12" si="1">(F6/100)*G6</f>
        <v>147.98177011125597</v>
      </c>
      <c r="I6" s="1"/>
      <c r="J6" s="1"/>
      <c r="K6" s="89" t="s">
        <v>165</v>
      </c>
      <c r="L6" s="89"/>
      <c r="M6" s="89"/>
      <c r="N6" s="49">
        <f>H13</f>
        <v>593.24816084094732</v>
      </c>
    </row>
    <row r="7" spans="2:14" ht="12.75" customHeight="1" x14ac:dyDescent="0.25">
      <c r="B7" s="20">
        <v>35</v>
      </c>
      <c r="C7" s="20">
        <v>40</v>
      </c>
      <c r="D7" s="20">
        <v>37.5</v>
      </c>
      <c r="E7" s="35">
        <f>Invullen_5dBklasse!L27</f>
        <v>2782.6167</v>
      </c>
      <c r="F7" s="35">
        <f>E7*Bevolkingsgegevens!L$7</f>
        <v>2257.926127222313</v>
      </c>
      <c r="G7" s="36">
        <f t="shared" si="0"/>
        <v>6.3257187934007018</v>
      </c>
      <c r="H7" s="32">
        <f t="shared" si="1"/>
        <v>142.83005737080649</v>
      </c>
      <c r="I7" s="1"/>
      <c r="J7" s="1"/>
      <c r="K7" s="89" t="s">
        <v>166</v>
      </c>
      <c r="L7" s="89"/>
      <c r="M7" s="89"/>
      <c r="N7" s="49">
        <f>SUM(H10:H12)</f>
        <v>60.751480111615571</v>
      </c>
    </row>
    <row r="8" spans="2:14" ht="12.75" customHeight="1" x14ac:dyDescent="0.25">
      <c r="B8" s="20">
        <v>40</v>
      </c>
      <c r="C8" s="20">
        <v>45</v>
      </c>
      <c r="D8" s="20">
        <v>42.5</v>
      </c>
      <c r="E8" s="35">
        <f>Invullen_5dBklasse!L28</f>
        <v>1811.2209</v>
      </c>
      <c r="F8" s="35">
        <f>E8*Bevolkingsgegevens!L$7</f>
        <v>1469.6968476761865</v>
      </c>
      <c r="G8" s="36">
        <f t="shared" si="0"/>
        <v>9.8393804029550669</v>
      </c>
      <c r="H8" s="32">
        <f t="shared" si="1"/>
        <v>144.60906361309907</v>
      </c>
      <c r="I8" s="1"/>
      <c r="J8" s="1"/>
      <c r="K8" s="1"/>
      <c r="L8" s="1"/>
      <c r="M8" s="1"/>
      <c r="N8" s="1"/>
    </row>
    <row r="9" spans="2:14" ht="12.75" customHeight="1" x14ac:dyDescent="0.25">
      <c r="B9" s="20">
        <v>45</v>
      </c>
      <c r="C9" s="20">
        <v>50</v>
      </c>
      <c r="D9" s="20">
        <v>47.5</v>
      </c>
      <c r="E9" s="35">
        <f>Invullen_5dBklasse!L29</f>
        <v>797.96609999999998</v>
      </c>
      <c r="F9" s="35">
        <f>E9*Bevolkingsgegevens!L$7</f>
        <v>647.50150670327434</v>
      </c>
      <c r="G9" s="36">
        <f t="shared" si="0"/>
        <v>14.992365056944404</v>
      </c>
      <c r="H9" s="32">
        <f t="shared" si="1"/>
        <v>97.075789634170235</v>
      </c>
      <c r="I9" s="1"/>
      <c r="J9" s="1"/>
      <c r="K9" s="1"/>
      <c r="L9" s="1"/>
      <c r="M9" s="1"/>
      <c r="N9" s="1"/>
    </row>
    <row r="10" spans="2:14" ht="12.75" customHeight="1" x14ac:dyDescent="0.25">
      <c r="B10" s="20">
        <v>50</v>
      </c>
      <c r="C10" s="20">
        <v>55</v>
      </c>
      <c r="D10" s="20">
        <v>52.5</v>
      </c>
      <c r="E10" s="35">
        <f>Invullen_5dBklasse!L30</f>
        <v>200</v>
      </c>
      <c r="F10" s="35">
        <f>E10*Bevolkingsgegevens!L$7</f>
        <v>162.2879735626048</v>
      </c>
      <c r="G10" s="36">
        <f t="shared" si="0"/>
        <v>22.180129205878284</v>
      </c>
      <c r="H10" s="32">
        <f t="shared" si="1"/>
        <v>35.995682221787334</v>
      </c>
      <c r="I10" s="1"/>
      <c r="J10" s="1"/>
      <c r="K10" s="1"/>
      <c r="L10" s="1"/>
      <c r="M10" s="1"/>
      <c r="N10" s="1"/>
    </row>
    <row r="11" spans="2:14" ht="12.75" customHeight="1" x14ac:dyDescent="0.25">
      <c r="B11" s="20">
        <v>55</v>
      </c>
      <c r="C11" s="20">
        <v>60</v>
      </c>
      <c r="D11" s="20">
        <v>57.5</v>
      </c>
      <c r="E11" s="35">
        <f>Invullen_5dBklasse!L31</f>
        <v>100</v>
      </c>
      <c r="F11" s="35">
        <f>E11*Bevolkingsgegevens!L$7</f>
        <v>81.143986781302402</v>
      </c>
      <c r="G11" s="36">
        <f>((EXP(-6.2952+0.096*57))/(1+(EXP(-6.2952+0.096*57))))*100</f>
        <v>30.508481123252611</v>
      </c>
      <c r="H11" s="32">
        <f t="shared" si="1"/>
        <v>24.755797889828237</v>
      </c>
      <c r="I11" s="1"/>
      <c r="J11" s="1"/>
      <c r="K11" s="1"/>
      <c r="L11" s="1"/>
      <c r="M11" s="1"/>
      <c r="N11" s="1"/>
    </row>
    <row r="12" spans="2:14" ht="12.75" customHeight="1" x14ac:dyDescent="0.25">
      <c r="B12" s="20">
        <v>60</v>
      </c>
      <c r="C12" s="20"/>
      <c r="D12" s="20">
        <v>62.5</v>
      </c>
      <c r="E12" s="35">
        <f>Invullen_5dBklasse!L32</f>
        <v>0</v>
      </c>
      <c r="F12" s="35">
        <f>E12*Bevolkingsgegevens!L$7</f>
        <v>0</v>
      </c>
      <c r="G12" s="36">
        <f>((EXP(-6.2952+0.096*57))/(1+(EXP(-6.2952+0.096*57))))*100</f>
        <v>30.508481123252611</v>
      </c>
      <c r="H12" s="32">
        <f t="shared" si="1"/>
        <v>0</v>
      </c>
      <c r="I12" s="1"/>
      <c r="J12" s="1"/>
      <c r="K12" s="1"/>
      <c r="L12" s="1"/>
      <c r="M12" s="1"/>
      <c r="N12" s="1"/>
    </row>
    <row r="13" spans="2:14" ht="12.75" customHeight="1" x14ac:dyDescent="0.25">
      <c r="B13" s="20" t="s">
        <v>113</v>
      </c>
      <c r="C13" s="20"/>
      <c r="D13" s="20"/>
      <c r="E13" s="35">
        <f>SUM(E5:E12)</f>
        <v>359370.00000000006</v>
      </c>
      <c r="F13" s="35">
        <f>SUM(F5:F12)</f>
        <v>291607.14529596642</v>
      </c>
      <c r="G13" s="20"/>
      <c r="H13" s="32">
        <f>SUM(H5:H12)</f>
        <v>593.24816084094732</v>
      </c>
      <c r="I13" s="1"/>
      <c r="J13" s="1"/>
      <c r="K13" s="1"/>
      <c r="L13" s="1"/>
      <c r="M13" s="1"/>
      <c r="N13" s="1"/>
    </row>
    <row r="14" spans="2:14" ht="12.75" customHeight="1" x14ac:dyDescent="0.25">
      <c r="I14" s="1"/>
      <c r="J14" s="1"/>
      <c r="K14" s="1"/>
      <c r="L14" s="1"/>
      <c r="M14" s="1"/>
      <c r="N14" s="1"/>
    </row>
    <row r="15" spans="2:14" x14ac:dyDescent="0.25">
      <c r="B15" s="1"/>
      <c r="C15" s="1"/>
      <c r="D15" s="1"/>
      <c r="E15" s="1"/>
      <c r="F15" s="1"/>
      <c r="G15" s="1"/>
      <c r="H15" s="1"/>
      <c r="I15" s="1"/>
      <c r="J15" s="1"/>
      <c r="K15" s="1"/>
      <c r="L15" s="1"/>
      <c r="M15" s="1"/>
      <c r="N15" s="1"/>
    </row>
    <row r="16" spans="2:14" x14ac:dyDescent="0.25">
      <c r="B16" s="1"/>
      <c r="C16" s="1"/>
      <c r="D16" s="1"/>
      <c r="E16" s="1"/>
      <c r="F16" s="1"/>
      <c r="G16" s="1"/>
      <c r="H16" s="1"/>
      <c r="I16" s="1"/>
      <c r="J16" s="1"/>
      <c r="K16" s="1"/>
      <c r="L16" s="1"/>
      <c r="M16" s="1"/>
      <c r="N16" s="1"/>
    </row>
    <row r="17" spans="2:14" x14ac:dyDescent="0.25">
      <c r="B17" s="1"/>
      <c r="C17" s="1"/>
      <c r="D17" s="1"/>
      <c r="E17" s="1"/>
      <c r="F17" s="1"/>
      <c r="G17" s="1"/>
      <c r="H17" s="1"/>
      <c r="I17" s="1"/>
      <c r="J17" s="1"/>
      <c r="K17" s="1"/>
      <c r="L17" s="1"/>
      <c r="M17" s="1"/>
      <c r="N17" s="1"/>
    </row>
  </sheetData>
  <mergeCells count="10">
    <mergeCell ref="B3:D3"/>
    <mergeCell ref="E3:E4"/>
    <mergeCell ref="F3:F4"/>
    <mergeCell ref="G3:G4"/>
    <mergeCell ref="H3:H4"/>
    <mergeCell ref="K5:M5"/>
    <mergeCell ref="K6:M6"/>
    <mergeCell ref="K7:M7"/>
    <mergeCell ref="K3:M3"/>
    <mergeCell ref="K4:M4"/>
  </mergeCells>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Samenvatting_resultaten</vt:lpstr>
      <vt:lpstr>Invullen_5dBklasse</vt:lpstr>
      <vt:lpstr>Wegverkeer hinder</vt:lpstr>
      <vt:lpstr>Wegverkeer slaapverstoring</vt:lpstr>
      <vt:lpstr>Wegverkeer IHZ</vt:lpstr>
      <vt:lpstr>Railverkeer hinder</vt:lpstr>
      <vt:lpstr>Railverkeer slaapverstoring</vt:lpstr>
      <vt:lpstr>Hinder vliegverkeer</vt:lpstr>
      <vt:lpstr>Slaapverstoring vliegverkeer</vt:lpstr>
      <vt:lpstr>Bevolkingsgegevens</vt:lpstr>
      <vt:lpstr>coronaire hartziekten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van Kempen</dc:creator>
  <cp:lastModifiedBy>Kockx, Raymond (RWS WVL)</cp:lastModifiedBy>
  <dcterms:created xsi:type="dcterms:W3CDTF">2024-01-23T12:05:40Z</dcterms:created>
  <dcterms:modified xsi:type="dcterms:W3CDTF">2026-03-30T09:40:21Z</dcterms:modified>
</cp:coreProperties>
</file>