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wvl\LO_IM\Algemeen\OpdrachtenKR\Luchtkwaliteit\Handreikingen\Handleiding_NIBM-tool\NIBM-tool 2026\"/>
    </mc:Choice>
  </mc:AlternateContent>
  <xr:revisionPtr revIDLastSave="0" documentId="8_{C5CA3EB1-7FAB-4847-B94C-ADB3E09D9AC6}" xr6:coauthVersionLast="47" xr6:coauthVersionMax="47" xr10:uidLastSave="{00000000-0000-0000-0000-000000000000}"/>
  <bookViews>
    <workbookView xWindow="19090" yWindow="-800" windowWidth="25820" windowHeight="13900" xr2:uid="{00000000-000D-0000-FFFF-FFFF00000000}"/>
  </bookViews>
  <sheets>
    <sheet name="Invoer en conclusie" sheetId="1" r:id="rId1"/>
    <sheet name="Bereken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E32" i="2"/>
  <c r="D32" i="2"/>
  <c r="D13" i="2"/>
  <c r="G13" i="2"/>
  <c r="D38" i="2" l="1"/>
  <c r="D37" i="2"/>
  <c r="D22" i="2"/>
  <c r="D21" i="2"/>
  <c r="D20" i="2"/>
  <c r="E19" i="2" l="1"/>
  <c r="E20" i="2"/>
  <c r="D5" i="2" l="1"/>
  <c r="E5" i="2" l="1"/>
  <c r="D15" i="2" l="1"/>
  <c r="D16" i="2"/>
  <c r="E16" i="2" s="1"/>
  <c r="E9" i="2"/>
  <c r="E6" i="2"/>
  <c r="E7" i="2"/>
  <c r="E10" i="2"/>
  <c r="D9" i="2"/>
  <c r="D8" i="2"/>
  <c r="D10" i="2"/>
  <c r="C18" i="2"/>
  <c r="C17" i="2"/>
  <c r="F11" i="1"/>
  <c r="E8" i="2" l="1"/>
  <c r="E12" i="2"/>
  <c r="D12" i="2"/>
  <c r="D26" i="2"/>
  <c r="D27" i="2"/>
  <c r="D23" i="2"/>
  <c r="D35" i="2" s="1"/>
  <c r="D17" i="2"/>
  <c r="D18" i="2" s="1"/>
  <c r="E15" i="2"/>
  <c r="E24" i="2" s="1"/>
  <c r="D24" i="2"/>
  <c r="E42" i="2" l="1"/>
  <c r="D9" i="1" s="1"/>
  <c r="D25" i="2"/>
  <c r="D36" i="2" s="1"/>
  <c r="D30" i="2"/>
  <c r="D28" i="2"/>
  <c r="D40" i="2" s="1"/>
  <c r="D39" i="2" s="1"/>
  <c r="D29" i="2"/>
  <c r="D41" i="2" l="1"/>
  <c r="D42" i="2" s="1"/>
  <c r="D8" i="1" s="1"/>
  <c r="B13" i="1" l="1"/>
  <c r="B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wjb</author>
    <author>amme0002</author>
    <author>Gerlof Wijnja</author>
    <author>han</author>
  </authors>
  <commentList>
    <comment ref="B6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Volgens de Regeling beoordeling luchtkwaliteit mag 10 meter worden aangehouden (tenzij bebouwing binnen die 10 meter aanwezig is). Voor de worst-case benadering is uitgegaan van een smalle weg met bebouwing op 5 meter.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1" shapeId="0" xr:uid="{00000000-0006-0000-0100-000002000000}">
      <text>
        <r>
          <rPr>
            <sz val="8"/>
            <color indexed="81"/>
            <rFont val="Tahoma"/>
            <family val="2"/>
          </rPr>
          <t xml:space="preserve">parameters uit RBL2007 bijlage 1.5, tabel kleine letters wegtype 2. </t>
        </r>
      </text>
    </comment>
    <comment ref="C12" authorId="2" shapeId="0" xr:uid="{00000000-0006-0000-0100-000003000000}">
      <text>
        <r>
          <rPr>
            <sz val="8"/>
            <color indexed="81"/>
            <rFont val="Tahoma"/>
            <family val="2"/>
          </rPr>
          <t>Formule 1.13 RBL2007</t>
        </r>
      </text>
    </comment>
    <comment ref="B13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Uitgangspunt voor de worst-case benadering is dat de jaargemiddelde concentratie NO2 ter hoogte van het beoordelingspunt ten gevolge van het autonome verkeer precies gelijk is aan 40,5 microgram/m3. Voor de bijdrage PM10 is de omvang van het autonome verkeer niet relevant.
</t>
        </r>
      </text>
    </comment>
    <comment ref="B19" authorId="0" shapeId="0" xr:uid="{00000000-0006-0000-0100-000005000000}">
      <text>
        <r>
          <rPr>
            <sz val="8"/>
            <color indexed="81"/>
            <rFont val="Tahoma"/>
            <family val="2"/>
          </rPr>
          <t>Voor de worst-case benadering zijn de emissiefactoren gekozen die gelden voor 'stagnerend stadsverkeer'. 
Voor vrachtverkeer is de hoogste emissiefactor voor middelzwaar en zwaar verkeer gekozen.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0" shapeId="0" xr:uid="{00000000-0006-0000-0100-000006000000}">
      <text>
        <r>
          <rPr>
            <sz val="8"/>
            <color indexed="81"/>
            <rFont val="Tahoma"/>
            <family val="2"/>
          </rPr>
          <t>Voor de worst-case benadering zijn de emissiefactoren gekozen die gelden voor 'stagnerend stadsverkeer'. 
Voor vrachtverkeer is de hoogste emissiefactor voor middelzwaar en zwaar verkeer gekozen.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3" authorId="1" shapeId="0" xr:uid="{00000000-0006-0000-0100-000007000000}">
      <text>
        <r>
          <rPr>
            <sz val="8"/>
            <color indexed="81"/>
            <rFont val="Tahoma"/>
            <family val="2"/>
          </rPr>
          <t xml:space="preserve">RBL2007, bijlage 1.4, formule 1.10 </t>
        </r>
      </text>
    </comment>
    <comment ref="B26" authorId="3" shapeId="0" xr:uid="{00000000-0006-0000-0100-000008000000}">
      <text>
        <r>
          <rPr>
            <sz val="8"/>
            <color indexed="81"/>
            <rFont val="Tahoma"/>
            <family val="2"/>
          </rPr>
          <t>RBL2007 bijlage 1.6 formule1.14
Emissiefactor NO2 (g/km) gedeeld door emissiefactor NOx in NO2-equivalenten (g/km)</t>
        </r>
      </text>
    </comment>
    <comment ref="B28" authorId="1" shapeId="0" xr:uid="{00000000-0006-0000-0100-000009000000}">
      <text>
        <r>
          <rPr>
            <sz val="8"/>
            <color indexed="81"/>
            <rFont val="Tahoma"/>
            <family val="2"/>
          </rPr>
          <t>RBL2007 bijlage 1
Formule nr 1.17 en 1.3</t>
        </r>
      </text>
    </comment>
    <comment ref="B31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Voor de worst-case benadering is op basis van meerjarige meteogegevens gekozen voor  een windsnelheid  van 4.61
 m/s (windsnelheid van de gridcel). Vanaf 2025 moet nieuw bestand worden gebruikt. WV14-23.asc Website IenW
</t>
        </r>
      </text>
    </comment>
    <comment ref="B33" authorId="1" shapeId="0" xr:uid="{00000000-0006-0000-0100-00000B000000}">
      <text>
        <r>
          <rPr>
            <sz val="8"/>
            <color indexed="81"/>
            <rFont val="Tahoma"/>
            <family val="2"/>
          </rPr>
          <t>RBL2007 bijlage 1
tabel onder formule 1.3</t>
        </r>
      </text>
    </comment>
    <comment ref="B35" authorId="1" shapeId="0" xr:uid="{00000000-0006-0000-0100-00000C000000}">
      <text>
        <r>
          <rPr>
            <sz val="8"/>
            <color indexed="81"/>
            <rFont val="Tahoma"/>
            <family val="2"/>
          </rPr>
          <t xml:space="preserve">RBL2007, bijlage 1
formule 1.2
</t>
        </r>
      </text>
    </comment>
    <comment ref="B37" authorId="0" shapeId="0" xr:uid="{00000000-0006-0000-0100-00000D000000}">
      <text>
        <r>
          <rPr>
            <sz val="8"/>
            <color indexed="81"/>
            <rFont val="Tahoma"/>
            <family val="2"/>
          </rPr>
          <t>Voor de worst-case benadering is gekozen voor de gridcel waar de stedelijke achtergrondconcentratie het hoogste is. Dit is een gridcel in centrum Rotterdam
(x 92.000-93.000 y 437.000-438.000)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9" authorId="1" shapeId="0" xr:uid="{00000000-0006-0000-0100-00000E000000}">
      <text>
        <r>
          <rPr>
            <sz val="8"/>
            <color indexed="81"/>
            <rFont val="Tahoma"/>
            <family val="2"/>
          </rPr>
          <t>RBL2007, bijlage 1
Formule 1.18</t>
        </r>
      </text>
    </comment>
  </commentList>
</comments>
</file>

<file path=xl/sharedStrings.xml><?xml version="1.0" encoding="utf-8"?>
<sst xmlns="http://schemas.openxmlformats.org/spreadsheetml/2006/main" count="99" uniqueCount="69">
  <si>
    <t>Extra verkeer</t>
  </si>
  <si>
    <t>Autonoom + extra verkeer</t>
  </si>
  <si>
    <t>Autonoom verkeer</t>
  </si>
  <si>
    <t>Vrachtverkeer</t>
  </si>
  <si>
    <t>Autonoom</t>
  </si>
  <si>
    <t>Overige invoergegevens</t>
  </si>
  <si>
    <t>Parameters</t>
  </si>
  <si>
    <t>Autonoom + Extra verkeer</t>
  </si>
  <si>
    <t>Locatiespecifieke achtergrondconcentraties</t>
  </si>
  <si>
    <t>nvt</t>
  </si>
  <si>
    <t>Weggegevens</t>
  </si>
  <si>
    <r>
      <t>Emissiefactoren NO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en 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(gram/km)</t>
    </r>
  </si>
  <si>
    <r>
      <t>Emissies NO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en 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(microgram/m/s)</t>
    </r>
  </si>
  <si>
    <r>
      <t>Fractie direct uitgestoten NO</t>
    </r>
    <r>
      <rPr>
        <b/>
        <vertAlign val="subscript"/>
        <sz val="10"/>
        <rFont val="Arial"/>
        <family val="2"/>
      </rPr>
      <t>2</t>
    </r>
  </si>
  <si>
    <r>
      <t>Gemiddelde fractie direct uitgestoten NO</t>
    </r>
    <r>
      <rPr>
        <b/>
        <vertAlign val="subscript"/>
        <sz val="10"/>
        <rFont val="Arial"/>
        <family val="2"/>
      </rPr>
      <t>2</t>
    </r>
  </si>
  <si>
    <r>
      <t>Jaargemiddelde bijdrage NO</t>
    </r>
    <r>
      <rPr>
        <b/>
        <vertAlign val="subscript"/>
        <sz val="10"/>
        <rFont val="Arial"/>
        <family val="2"/>
      </rPr>
      <t>X</t>
    </r>
  </si>
  <si>
    <t>Breedte van de ontsluitingsweg</t>
  </si>
  <si>
    <t>Afstand van het rekenpunt tot de wegrand</t>
  </si>
  <si>
    <t>Afstand van het rekenpunt tot de wegas</t>
  </si>
  <si>
    <t>verdunningsfactor</t>
  </si>
  <si>
    <t>Licht verkeer</t>
  </si>
  <si>
    <r>
      <t>Vracht</t>
    </r>
    <r>
      <rPr>
        <sz val="10"/>
        <rFont val="Arial"/>
        <family val="2"/>
      </rPr>
      <t>verkeer</t>
    </r>
  </si>
  <si>
    <t>Bomenfactor</t>
  </si>
  <si>
    <t>Regiofactor meteorologie</t>
  </si>
  <si>
    <t>B</t>
  </si>
  <si>
    <t>K</t>
  </si>
  <si>
    <t>rekenparameter a</t>
  </si>
  <si>
    <t>rekenparameter b</t>
  </si>
  <si>
    <t>rekenparameter c</t>
  </si>
  <si>
    <r>
      <t>Maximale bijdrage extra verkeer in μg/m</t>
    </r>
    <r>
      <rPr>
        <b/>
        <vertAlign val="superscript"/>
        <sz val="10"/>
        <rFont val="Arial"/>
        <family val="2"/>
      </rPr>
      <t>3</t>
    </r>
  </si>
  <si>
    <t>Percentage vrachtverkeer</t>
  </si>
  <si>
    <r>
      <t>NO</t>
    </r>
    <r>
      <rPr>
        <b/>
        <vertAlign val="subscript"/>
        <sz val="12"/>
        <rFont val="Arial"/>
        <family val="2"/>
      </rPr>
      <t>2</t>
    </r>
  </si>
  <si>
    <r>
      <t>PM</t>
    </r>
    <r>
      <rPr>
        <b/>
        <vertAlign val="subscript"/>
        <sz val="12"/>
        <rFont val="Arial"/>
        <family val="2"/>
      </rPr>
      <t>10</t>
    </r>
  </si>
  <si>
    <r>
      <t xml:space="preserve">Jaargemiddelde </t>
    </r>
    <r>
      <rPr>
        <sz val="10"/>
        <rFont val="Arial"/>
        <family val="2"/>
      </rPr>
      <t>in μg 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/m</t>
    </r>
    <r>
      <rPr>
        <vertAlign val="superscript"/>
        <sz val="10"/>
        <rFont val="Arial"/>
        <family val="2"/>
      </rPr>
      <t>3</t>
    </r>
  </si>
  <si>
    <r>
      <t>Jaargemiddelde in μg 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/m</t>
    </r>
    <r>
      <rPr>
        <vertAlign val="superscript"/>
        <sz val="10"/>
        <rFont val="Arial"/>
        <family val="2"/>
      </rPr>
      <t>3</t>
    </r>
  </si>
  <si>
    <r>
      <t>Totaal autonoom jaargemiddelde in μg/m</t>
    </r>
    <r>
      <rPr>
        <vertAlign val="superscript"/>
        <sz val="10"/>
        <rFont val="Arial"/>
        <family val="2"/>
      </rPr>
      <t>3</t>
    </r>
  </si>
  <si>
    <r>
      <t>Bijdrage autonome verkeer in μg/m</t>
    </r>
    <r>
      <rPr>
        <vertAlign val="superscript"/>
        <sz val="10"/>
        <rFont val="Arial"/>
        <family val="2"/>
      </rPr>
      <t>3</t>
    </r>
  </si>
  <si>
    <r>
      <t>Bijdrage autonome+extra verkeer in μg/m</t>
    </r>
    <r>
      <rPr>
        <vertAlign val="superscript"/>
        <sz val="10"/>
        <rFont val="Arial"/>
        <family val="2"/>
      </rPr>
      <t>3</t>
    </r>
  </si>
  <si>
    <t>Type gegevens</t>
  </si>
  <si>
    <t>Aandeel vrachtverkeer</t>
  </si>
  <si>
    <t>Maximale bijdrage extra verkeer</t>
  </si>
  <si>
    <r>
      <t>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in μg/m</t>
    </r>
    <r>
      <rPr>
        <vertAlign val="super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</si>
  <si>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in μg/m</t>
    </r>
    <r>
      <rPr>
        <vertAlign val="superscript"/>
        <sz val="10"/>
        <rFont val="Arial"/>
        <family val="2"/>
      </rPr>
      <t>3</t>
    </r>
  </si>
  <si>
    <r>
      <t>Grens voor "Niet In Betekenende Mate" in μg/m</t>
    </r>
    <r>
      <rPr>
        <vertAlign val="superscript"/>
        <sz val="10"/>
        <rFont val="Arial"/>
        <family val="2"/>
      </rPr>
      <t>3</t>
    </r>
  </si>
  <si>
    <t>Extra verkeer als gevolg van het plan</t>
  </si>
  <si>
    <t>Conclusie</t>
  </si>
  <si>
    <t>De bijdrage van het extra verkeer is mogelijk in betekenende mate;</t>
  </si>
  <si>
    <t>geen nader onderzoek nodig</t>
  </si>
  <si>
    <t>Extra voertuigbewegingen (weekdaggemiddelde)</t>
  </si>
  <si>
    <t>Aantal voertuigbewegingen</t>
  </si>
  <si>
    <t>Aantal voertuigbewegingen (weekdaggemiddelde)</t>
  </si>
  <si>
    <t>Jaargemiddelde NO2 concentraties</t>
  </si>
  <si>
    <r>
      <t>Emissiefactoren NO2</t>
    </r>
    <r>
      <rPr>
        <b/>
        <sz val="10"/>
        <rFont val="Arial"/>
        <family val="2"/>
      </rPr>
      <t xml:space="preserve"> </t>
    </r>
    <r>
      <rPr>
        <b/>
        <sz val="10"/>
        <rFont val="Arial"/>
        <family val="2"/>
      </rPr>
      <t>(gram/km)</t>
    </r>
  </si>
  <si>
    <t>Jaar van planrealisatie</t>
  </si>
  <si>
    <t>NO2</t>
  </si>
  <si>
    <t>PM10</t>
  </si>
  <si>
    <t>JAAR:</t>
  </si>
  <si>
    <t>Rekenjaar</t>
  </si>
  <si>
    <t>De bijdrage van het extra verkeer is niet-in-betekenende-mate;</t>
  </si>
  <si>
    <t>Vrachtverkeer staat op 0%. Dat is het meest ongunstige. Probeer maar eens om die hoger te zetten dan neemt de maximale bijdrage af.</t>
  </si>
  <si>
    <t>Hoeveelheid autonoom verkeer berekend met "Gegevens -&gt; Wat-als-analyse &gt; Doelzoeken" waarbij cel D39 precies op 40.5 uitkomt door aanpassing van cellen I13 t/m Q13. Zet keuze jaar in 1e tabblad op het jaar waar voor je gaat doelzoeken, als je verkeerde jaar hebt vindt Excel geen oplossing.</t>
  </si>
  <si>
    <t>Implementatie van Standaard Rekenmethode Luchtkwaliteit 1 op basis van de worst-case benadering</t>
  </si>
  <si>
    <t>nieuw</t>
  </si>
  <si>
    <t>Emissiefactoren overgenomen uit de publicatie "TNOEmissiefactoren-tm-2035-Nox-NO2-PM10-OM2-5-CO-datum" - stagnerend verkeer</t>
  </si>
  <si>
    <t>Concentraties uit de GCN 2024, 2025, 2030 en 2035 (zonder correcties), Rotterdam Centrum Hoogste NO2 lag niet in alle jaren op zelfde plaats.</t>
  </si>
  <si>
    <t>oud 2023</t>
  </si>
  <si>
    <t>oud 2024</t>
  </si>
  <si>
    <t>Worst-case berekening voor de bijdrage van het extra verkeer als gevolg van een plan op de luchtkwaliteit, GCN2024</t>
  </si>
  <si>
    <t>Langjarige windsnelheid 2014-2023  (van de GCN gridcel Rotterdam Centrum). Volgens Handleiding gemiddelde windsnelheid en niet meest ongunstige.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</si>
</sst>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"/>
    <numFmt numFmtId="167" formatCode="0.0%"/>
    <numFmt numFmtId="168" formatCode=";;;"/>
  </numFmts>
  <fonts count="19" x14ac:knownFonts="1">
    <font>
      <sz val="10"/>
      <name val="Arial"/>
    </font>
    <font>
      <sz val="9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vertAlign val="subscript"/>
      <sz val="10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2" fontId="6" fillId="0" borderId="0" xfId="0" applyNumberFormat="1" applyFont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" fontId="0" fillId="2" borderId="3" xfId="0" applyNumberFormat="1" applyFill="1" applyBorder="1" applyAlignment="1">
      <alignment vertical="center"/>
    </xf>
    <xf numFmtId="2" fontId="0" fillId="2" borderId="3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2" borderId="2" xfId="0" applyNumberFormat="1" applyFill="1" applyBorder="1" applyAlignment="1">
      <alignment vertical="center"/>
    </xf>
    <xf numFmtId="165" fontId="0" fillId="2" borderId="3" xfId="0" applyNumberFormat="1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164" fontId="0" fillId="2" borderId="3" xfId="0" applyNumberFormat="1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2" borderId="7" xfId="0" applyFill="1" applyBorder="1" applyAlignment="1" applyProtection="1">
      <alignment horizontal="right" vertical="center"/>
      <protection hidden="1"/>
    </xf>
    <xf numFmtId="0" fontId="4" fillId="2" borderId="3" xfId="0" applyFont="1" applyFill="1" applyBorder="1" applyAlignment="1" applyProtection="1">
      <alignment horizontal="right" vertical="center"/>
      <protection locked="0"/>
    </xf>
    <xf numFmtId="9" fontId="0" fillId="2" borderId="2" xfId="1" applyFont="1" applyFill="1" applyBorder="1" applyAlignment="1" applyProtection="1">
      <alignment vertical="center"/>
    </xf>
    <xf numFmtId="167" fontId="0" fillId="2" borderId="2" xfId="1" applyNumberFormat="1" applyFont="1" applyFill="1" applyBorder="1" applyAlignment="1" applyProtection="1">
      <alignment vertical="center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 applyProtection="1">
      <alignment vertical="center"/>
      <protection hidden="1"/>
    </xf>
    <xf numFmtId="2" fontId="10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 applyProtection="1">
      <alignment horizontal="right" vertical="center"/>
      <protection locked="0"/>
    </xf>
    <xf numFmtId="0" fontId="3" fillId="2" borderId="10" xfId="0" applyFont="1" applyFill="1" applyBorder="1" applyAlignment="1">
      <alignment horizontal="right" vertical="center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 wrapText="1"/>
    </xf>
    <xf numFmtId="2" fontId="0" fillId="2" borderId="13" xfId="0" applyNumberFormat="1" applyFill="1" applyBorder="1" applyAlignment="1">
      <alignment horizontal="right" vertical="center"/>
    </xf>
    <xf numFmtId="0" fontId="0" fillId="2" borderId="14" xfId="0" applyFill="1" applyBorder="1" applyAlignment="1">
      <alignment vertical="center"/>
    </xf>
    <xf numFmtId="1" fontId="0" fillId="2" borderId="14" xfId="0" applyNumberFormat="1" applyFill="1" applyBorder="1" applyAlignment="1">
      <alignment horizontal="right" vertical="center"/>
    </xf>
    <xf numFmtId="166" fontId="0" fillId="2" borderId="13" xfId="0" applyNumberForma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2" fontId="0" fillId="2" borderId="14" xfId="0" applyNumberFormat="1" applyFill="1" applyBorder="1" applyAlignment="1">
      <alignment horizontal="right" vertical="center"/>
    </xf>
    <xf numFmtId="2" fontId="0" fillId="2" borderId="11" xfId="0" applyNumberFormat="1" applyFill="1" applyBorder="1" applyAlignment="1">
      <alignment vertical="center"/>
    </xf>
    <xf numFmtId="165" fontId="0" fillId="2" borderId="14" xfId="0" applyNumberFormat="1" applyFill="1" applyBorder="1" applyAlignment="1">
      <alignment horizontal="right" vertical="center"/>
    </xf>
    <xf numFmtId="165" fontId="0" fillId="2" borderId="13" xfId="0" applyNumberFormat="1" applyFill="1" applyBorder="1" applyAlignment="1">
      <alignment horizontal="right" vertical="center"/>
    </xf>
    <xf numFmtId="165" fontId="0" fillId="2" borderId="11" xfId="0" applyNumberForma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0" fillId="2" borderId="13" xfId="0" applyFill="1" applyBorder="1" applyAlignment="1">
      <alignment vertical="center"/>
    </xf>
    <xf numFmtId="0" fontId="3" fillId="2" borderId="8" xfId="0" applyFont="1" applyFill="1" applyBorder="1" applyAlignment="1" applyProtection="1">
      <alignment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164" fontId="0" fillId="2" borderId="14" xfId="0" applyNumberFormat="1" applyFill="1" applyBorder="1" applyAlignment="1">
      <alignment horizontal="right" vertical="center"/>
    </xf>
    <xf numFmtId="164" fontId="0" fillId="2" borderId="13" xfId="0" applyNumberFormat="1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2" fontId="4" fillId="2" borderId="11" xfId="0" applyNumberFormat="1" applyFont="1" applyFill="1" applyBorder="1" applyAlignment="1">
      <alignment horizontal="right"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right" vertical="center"/>
    </xf>
    <xf numFmtId="2" fontId="3" fillId="3" borderId="17" xfId="0" applyNumberFormat="1" applyFont="1" applyFill="1" applyBorder="1" applyAlignment="1">
      <alignment vertical="center"/>
    </xf>
    <xf numFmtId="2" fontId="3" fillId="3" borderId="18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4" borderId="11" xfId="0" applyFont="1" applyFill="1" applyBorder="1" applyAlignment="1" applyProtection="1">
      <alignment vertical="center"/>
      <protection locked="0"/>
    </xf>
    <xf numFmtId="167" fontId="4" fillId="4" borderId="13" xfId="0" applyNumberFormat="1" applyFont="1" applyFill="1" applyBorder="1" applyAlignment="1" applyProtection="1">
      <alignment vertical="center"/>
      <protection locked="0"/>
    </xf>
    <xf numFmtId="0" fontId="0" fillId="5" borderId="3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9" fontId="0" fillId="7" borderId="2" xfId="0" applyNumberFormat="1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9" fontId="16" fillId="7" borderId="13" xfId="1" applyFont="1" applyFill="1" applyBorder="1" applyAlignment="1" applyProtection="1">
      <alignment vertical="center"/>
    </xf>
    <xf numFmtId="2" fontId="0" fillId="8" borderId="3" xfId="0" applyNumberFormat="1" applyFill="1" applyBorder="1" applyAlignment="1">
      <alignment vertical="center"/>
    </xf>
    <xf numFmtId="2" fontId="0" fillId="8" borderId="2" xfId="0" applyNumberFormat="1" applyFill="1" applyBorder="1" applyAlignment="1">
      <alignment vertical="center"/>
    </xf>
    <xf numFmtId="2" fontId="0" fillId="9" borderId="2" xfId="0" applyNumberForma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4" fillId="2" borderId="27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2" fontId="0" fillId="9" borderId="13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3" fillId="0" borderId="0" xfId="0" applyFont="1" applyAlignment="1">
      <alignment vertical="center"/>
    </xf>
    <xf numFmtId="1" fontId="0" fillId="5" borderId="3" xfId="0" applyNumberFormat="1" applyFill="1" applyBorder="1" applyAlignment="1">
      <alignment vertical="center"/>
    </xf>
    <xf numFmtId="0" fontId="3" fillId="8" borderId="10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21" xfId="0" applyFont="1" applyFill="1" applyBorder="1" applyAlignment="1">
      <alignment horizontal="right" vertical="center"/>
    </xf>
    <xf numFmtId="0" fontId="14" fillId="3" borderId="29" xfId="0" applyFont="1" applyFill="1" applyBorder="1" applyAlignment="1">
      <alignment horizontal="left" vertical="center"/>
    </xf>
    <xf numFmtId="0" fontId="0" fillId="3" borderId="30" xfId="0" applyFill="1" applyBorder="1" applyAlignment="1">
      <alignment vertical="center"/>
    </xf>
    <xf numFmtId="0" fontId="14" fillId="3" borderId="31" xfId="0" applyFont="1" applyFill="1" applyBorder="1" applyAlignment="1">
      <alignment horizontal="right" vertical="center"/>
    </xf>
    <xf numFmtId="0" fontId="14" fillId="3" borderId="32" xfId="0" applyFont="1" applyFill="1" applyBorder="1" applyAlignment="1">
      <alignment horizontal="right" vertical="center"/>
    </xf>
    <xf numFmtId="0" fontId="0" fillId="7" borderId="28" xfId="0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2" fontId="3" fillId="2" borderId="14" xfId="0" applyNumberFormat="1" applyFont="1" applyFill="1" applyBorder="1" applyAlignment="1">
      <alignment vertical="center"/>
    </xf>
    <xf numFmtId="2" fontId="3" fillId="2" borderId="13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68" fontId="4" fillId="2" borderId="0" xfId="0" applyNumberFormat="1" applyFont="1" applyFill="1" applyAlignment="1">
      <alignment vertical="center"/>
    </xf>
    <xf numFmtId="168" fontId="0" fillId="2" borderId="0" xfId="0" applyNumberForma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1" fontId="4" fillId="10" borderId="0" xfId="0" applyNumberFormat="1" applyFont="1" applyFill="1" applyAlignment="1">
      <alignment vertical="center"/>
    </xf>
    <xf numFmtId="1" fontId="0" fillId="10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0" fontId="17" fillId="0" borderId="0" xfId="3"/>
    <xf numFmtId="0" fontId="0" fillId="7" borderId="0" xfId="0" applyFill="1" applyAlignment="1">
      <alignment vertical="center"/>
    </xf>
    <xf numFmtId="0" fontId="0" fillId="7" borderId="0" xfId="0" applyFill="1" applyAlignment="1" applyProtection="1">
      <alignment vertical="center"/>
      <protection hidden="1"/>
    </xf>
    <xf numFmtId="0" fontId="2" fillId="7" borderId="0" xfId="0" applyFont="1" applyFill="1" applyAlignment="1">
      <alignment vertical="center"/>
    </xf>
    <xf numFmtId="2" fontId="0" fillId="7" borderId="0" xfId="0" applyNumberFormat="1" applyFill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</cellXfs>
  <cellStyles count="5">
    <cellStyle name="Hyperlink" xfId="4" xr:uid="{541B1403-90FD-4ED5-AB85-B9FB0D1FB032}"/>
    <cellStyle name="Normal 2" xfId="2" xr:uid="{00000000-0005-0000-0000-000000000000}"/>
    <cellStyle name="Procent" xfId="1" builtinId="5"/>
    <cellStyle name="Standaard" xfId="0" builtinId="0"/>
    <cellStyle name="Standaard 2" xfId="3" xr:uid="{814FCE5B-A7B4-47D8-968E-65FB59015496}"/>
  </cellStyles>
  <dxfs count="3">
    <dxf>
      <fill>
        <patternFill>
          <bgColor rgb="FFFF9900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mruColors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F1048576"/>
  <sheetViews>
    <sheetView tabSelected="1" workbookViewId="0">
      <selection activeCell="D4" sqref="D4"/>
    </sheetView>
  </sheetViews>
  <sheetFormatPr defaultColWidth="0" defaultRowHeight="15.9" customHeight="1" zeroHeight="1" x14ac:dyDescent="0.25"/>
  <cols>
    <col min="1" max="1" width="2.5546875" style="30" customWidth="1"/>
    <col min="2" max="2" width="27.109375" style="30" customWidth="1"/>
    <col min="3" max="3" width="29.109375" style="30" bestFit="1" customWidth="1"/>
    <col min="4" max="4" width="13.5546875" style="30" customWidth="1"/>
    <col min="5" max="5" width="2.6640625" style="30" customWidth="1"/>
    <col min="6" max="16384" width="9.109375" style="30" hidden="1"/>
  </cols>
  <sheetData>
    <row r="1" spans="2:6" ht="15.9" customHeight="1" x14ac:dyDescent="0.25"/>
    <row r="2" spans="2:6" ht="31.5" customHeight="1" x14ac:dyDescent="0.25">
      <c r="B2" s="125" t="s">
        <v>67</v>
      </c>
      <c r="C2" s="125"/>
      <c r="D2" s="125"/>
      <c r="F2" s="76"/>
    </row>
    <row r="3" spans="2:6" ht="15.9" customHeight="1" thickBot="1" x14ac:dyDescent="0.3"/>
    <row r="4" spans="2:6" ht="15.9" customHeight="1" x14ac:dyDescent="0.25">
      <c r="B4" s="94"/>
      <c r="C4" s="95" t="s">
        <v>53</v>
      </c>
      <c r="D4" s="109">
        <v>2025</v>
      </c>
    </row>
    <row r="5" spans="2:6" ht="15.9" customHeight="1" x14ac:dyDescent="0.25">
      <c r="B5" s="92" t="s">
        <v>44</v>
      </c>
      <c r="C5" s="93"/>
      <c r="D5" s="41"/>
    </row>
    <row r="6" spans="2:6" ht="15.9" customHeight="1" x14ac:dyDescent="0.25">
      <c r="B6" s="80"/>
      <c r="C6" s="74" t="s">
        <v>48</v>
      </c>
      <c r="D6" s="82">
        <v>1500</v>
      </c>
    </row>
    <row r="7" spans="2:6" ht="15.9" customHeight="1" x14ac:dyDescent="0.25">
      <c r="B7" s="81"/>
      <c r="C7" s="75" t="s">
        <v>39</v>
      </c>
      <c r="D7" s="83">
        <v>0.1</v>
      </c>
    </row>
    <row r="8" spans="2:6" ht="15.9" customHeight="1" x14ac:dyDescent="0.25">
      <c r="B8" s="77" t="s">
        <v>40</v>
      </c>
      <c r="C8" s="20" t="s">
        <v>41</v>
      </c>
      <c r="D8" s="111">
        <f>Berekening!D42</f>
        <v>1.9261646361634668</v>
      </c>
    </row>
    <row r="9" spans="2:6" ht="15.9" customHeight="1" x14ac:dyDescent="0.25">
      <c r="B9" s="78"/>
      <c r="C9" s="75" t="s">
        <v>42</v>
      </c>
      <c r="D9" s="112">
        <f>Berekening!E42</f>
        <v>0.23191933664361888</v>
      </c>
    </row>
    <row r="10" spans="2:6" ht="15.9" customHeight="1" x14ac:dyDescent="0.25">
      <c r="B10" s="135" t="s">
        <v>43</v>
      </c>
      <c r="C10" s="136"/>
      <c r="D10" s="79">
        <v>1.2</v>
      </c>
      <c r="E10" s="113"/>
      <c r="F10" s="114" t="s">
        <v>46</v>
      </c>
    </row>
    <row r="11" spans="2:6" ht="15.9" customHeight="1" x14ac:dyDescent="0.25">
      <c r="B11" s="126" t="s">
        <v>45</v>
      </c>
      <c r="C11" s="127"/>
      <c r="D11" s="128"/>
      <c r="E11" s="113"/>
      <c r="F11" s="115" t="str">
        <f>"nader onderzoek noodzakelijk"</f>
        <v>nader onderzoek noodzakelijk</v>
      </c>
    </row>
    <row r="12" spans="2:6" ht="15.9" customHeight="1" x14ac:dyDescent="0.25">
      <c r="B12" s="129" t="str">
        <f>IF(AND(D8&lt;=D10,D9&lt;=D10),F12,F10)</f>
        <v>De bijdrage van het extra verkeer is mogelijk in betekenende mate;</v>
      </c>
      <c r="C12" s="130"/>
      <c r="D12" s="131"/>
      <c r="E12" s="113"/>
      <c r="F12" s="116" t="s">
        <v>58</v>
      </c>
    </row>
    <row r="13" spans="2:6" ht="15.9" customHeight="1" thickBot="1" x14ac:dyDescent="0.3">
      <c r="B13" s="132" t="str">
        <f>IF(AND(D8&lt;=D10,D9&lt;=D10),F13,F11)</f>
        <v>nader onderzoek noodzakelijk</v>
      </c>
      <c r="C13" s="133"/>
      <c r="D13" s="134"/>
      <c r="E13" s="113"/>
      <c r="F13" s="115" t="s">
        <v>47</v>
      </c>
    </row>
    <row r="14" spans="2:6" ht="15.9" customHeight="1" x14ac:dyDescent="0.25">
      <c r="B14" s="72"/>
      <c r="D14" s="73"/>
    </row>
    <row r="15" spans="2:6" ht="15.9" hidden="1" customHeight="1" x14ac:dyDescent="0.25">
      <c r="D15" s="73"/>
    </row>
    <row r="1048576" ht="15.45" hidden="1" customHeight="1" x14ac:dyDescent="0.25"/>
  </sheetData>
  <sheetProtection algorithmName="SHA-512" hashValue="hmiqPnrKGupo5H59PatFWd4C6tHwEmpYhn2g7yPHKjYV+ViNSCwhZXXobebe1+jO8oi6QfF8a0oiBfc4DqWLlQ==" saltValue="OowJ9yTwW6P25f7IoGPkqQ==" spinCount="100000" sheet="1" formatCells="0" formatColumns="0" formatRows="0" insertColumns="0" insertRows="0" insertHyperlinks="0" deleteColumns="0" deleteRows="0" sort="0" autoFilter="0" pivotTables="0"/>
  <mergeCells count="5">
    <mergeCell ref="B2:D2"/>
    <mergeCell ref="B11:D11"/>
    <mergeCell ref="B12:D12"/>
    <mergeCell ref="B13:D13"/>
    <mergeCell ref="B10:C10"/>
  </mergeCells>
  <phoneticPr fontId="0" type="noConversion"/>
  <conditionalFormatting sqref="B12:D12">
    <cfRule type="cellIs" dxfId="2" priority="4" stopIfTrue="1" operator="equal">
      <formula>$F$10</formula>
    </cfRule>
  </conditionalFormatting>
  <conditionalFormatting sqref="D8 B13:D13">
    <cfRule type="cellIs" dxfId="1" priority="5" stopIfTrue="1" operator="equal">
      <formula>$F$11</formula>
    </cfRule>
  </conditionalFormatting>
  <conditionalFormatting sqref="D8">
    <cfRule type="cellIs" dxfId="0" priority="1" operator="greaterThan">
      <formula>1.2</formula>
    </cfRule>
  </conditionalFormatting>
  <dataValidations count="1">
    <dataValidation type="decimal" showInputMessage="1" showErrorMessage="1" errorTitle="Aandeel vrachtverkeer" error="Percentage tussen 0.0% en 100.0%_x000a_(ook % teken invoeren)" promptTitle="Aandeel vrachtverkeer" sqref="D7" xr:uid="{00000000-0002-0000-0000-000000000000}">
      <formula1>0</formula1>
      <formula2>1</formula2>
    </dataValidation>
  </dataValidations>
  <pageMargins left="0.75" right="0.75" top="1" bottom="1" header="0.5" footer="0.5"/>
  <pageSetup paperSize="9" scale="5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Jaar van realisatie" prompt="Kies het jaar waarin het plan gerealiseerd zal worden." xr:uid="{00000000-0002-0000-0000-000001000000}">
          <x14:formula1>
            <xm:f>Berekening!$I$4:$S$4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44"/>
  <sheetViews>
    <sheetView zoomScale="85" zoomScaleNormal="85" workbookViewId="0">
      <selection activeCell="G1" sqref="G1:AF1048576"/>
    </sheetView>
  </sheetViews>
  <sheetFormatPr defaultColWidth="5.6640625" defaultRowHeight="0" customHeight="1" zeroHeight="1" x14ac:dyDescent="0.25"/>
  <cols>
    <col min="1" max="1" width="2.6640625" style="1" customWidth="1"/>
    <col min="2" max="2" width="41.5546875" style="1" bestFit="1" customWidth="1"/>
    <col min="3" max="3" width="43.88671875" style="1" customWidth="1"/>
    <col min="4" max="4" width="12.6640625" style="1" customWidth="1"/>
    <col min="5" max="5" width="14.109375" style="1" customWidth="1"/>
    <col min="6" max="6" width="8.88671875" style="1" customWidth="1"/>
    <col min="7" max="7" width="6.109375" style="1" hidden="1" customWidth="1"/>
    <col min="8" max="8" width="9.5546875" style="1" hidden="1" customWidth="1"/>
    <col min="9" max="9" width="9" style="1" hidden="1" customWidth="1"/>
    <col min="10" max="16" width="6.6640625" style="1" hidden="1" customWidth="1"/>
    <col min="17" max="17" width="10.33203125" style="1" hidden="1" customWidth="1"/>
    <col min="18" max="30" width="6.6640625" style="1" hidden="1" customWidth="1"/>
    <col min="31" max="32" width="5.6640625" style="1" hidden="1" customWidth="1"/>
    <col min="33" max="16381" width="5.6640625" style="1" customWidth="1"/>
    <col min="16382" max="16384" width="5.6640625" style="1"/>
  </cols>
  <sheetData>
    <row r="1" spans="1:30" ht="13.2" x14ac:dyDescent="0.25">
      <c r="A1" s="30"/>
      <c r="B1" s="30"/>
      <c r="C1" s="30"/>
      <c r="D1" s="30"/>
      <c r="E1" s="30"/>
    </row>
    <row r="2" spans="1:30" ht="21" customHeight="1" x14ac:dyDescent="0.25">
      <c r="A2" s="30"/>
      <c r="B2" s="139" t="s">
        <v>61</v>
      </c>
      <c r="C2" s="139"/>
      <c r="D2" s="139"/>
      <c r="E2" s="139"/>
      <c r="F2" s="30"/>
      <c r="I2" s="99"/>
      <c r="J2" s="99"/>
    </row>
    <row r="3" spans="1:30" ht="15.9" customHeight="1" thickBot="1" x14ac:dyDescent="0.3">
      <c r="A3" s="30"/>
      <c r="B3" s="36"/>
      <c r="C3" s="30"/>
      <c r="D3" s="30"/>
      <c r="E3" s="30"/>
      <c r="F3" s="30"/>
      <c r="I3" s="110" t="s">
        <v>54</v>
      </c>
      <c r="J3" s="110"/>
      <c r="T3" s="96" t="s">
        <v>55</v>
      </c>
    </row>
    <row r="4" spans="1:30" ht="18.600000000000001" thickBot="1" x14ac:dyDescent="0.3">
      <c r="A4" s="30"/>
      <c r="B4" s="105" t="s">
        <v>38</v>
      </c>
      <c r="C4" s="106"/>
      <c r="D4" s="107" t="s">
        <v>31</v>
      </c>
      <c r="E4" s="108" t="s">
        <v>32</v>
      </c>
      <c r="F4" s="31"/>
      <c r="H4" s="99" t="s">
        <v>56</v>
      </c>
      <c r="I4" s="1">
        <v>2025</v>
      </c>
      <c r="J4" s="1">
        <v>2026</v>
      </c>
      <c r="K4" s="1">
        <v>2027</v>
      </c>
      <c r="L4" s="1">
        <v>2028</v>
      </c>
      <c r="M4" s="1">
        <v>2029</v>
      </c>
      <c r="N4" s="1">
        <v>2030</v>
      </c>
      <c r="O4" s="1">
        <v>2031</v>
      </c>
      <c r="P4" s="1">
        <v>2032</v>
      </c>
      <c r="Q4" s="1">
        <v>2033</v>
      </c>
      <c r="R4" s="1">
        <v>2034</v>
      </c>
      <c r="S4" s="1">
        <v>2035</v>
      </c>
      <c r="T4" s="1">
        <v>2025</v>
      </c>
      <c r="U4" s="1">
        <v>2026</v>
      </c>
      <c r="V4" s="1">
        <v>2027</v>
      </c>
      <c r="W4" s="1">
        <v>2028</v>
      </c>
      <c r="X4" s="1">
        <v>2029</v>
      </c>
      <c r="Y4" s="1">
        <v>2030</v>
      </c>
      <c r="Z4" s="1">
        <v>2031</v>
      </c>
      <c r="AA4" s="1">
        <v>2032</v>
      </c>
      <c r="AB4" s="1">
        <v>2033</v>
      </c>
      <c r="AC4" s="1">
        <v>2034</v>
      </c>
      <c r="AD4" s="1">
        <v>2035</v>
      </c>
    </row>
    <row r="5" spans="1:30" ht="17.399999999999999" x14ac:dyDescent="0.25">
      <c r="A5" s="30"/>
      <c r="B5" s="101" t="s">
        <v>57</v>
      </c>
      <c r="C5" s="102" t="s">
        <v>53</v>
      </c>
      <c r="D5" s="103">
        <f>+'Invoer en conclusie'!D4</f>
        <v>2025</v>
      </c>
      <c r="E5" s="104">
        <f>+'Invoer en conclusie'!D4</f>
        <v>2025</v>
      </c>
      <c r="F5" s="31"/>
      <c r="H5" s="99"/>
    </row>
    <row r="6" spans="1:30" ht="15.9" customHeight="1" x14ac:dyDescent="0.25">
      <c r="A6" s="30"/>
      <c r="B6" s="37" t="s">
        <v>10</v>
      </c>
      <c r="C6" s="20" t="s">
        <v>16</v>
      </c>
      <c r="D6" s="27">
        <v>5</v>
      </c>
      <c r="E6" s="38">
        <f>D6</f>
        <v>5</v>
      </c>
      <c r="F6" s="32"/>
    </row>
    <row r="7" spans="1:30" ht="15.9" customHeight="1" x14ac:dyDescent="0.25">
      <c r="A7" s="30"/>
      <c r="B7" s="39"/>
      <c r="C7" s="21" t="s">
        <v>17</v>
      </c>
      <c r="D7" s="4">
        <v>5</v>
      </c>
      <c r="E7" s="40">
        <f>D7</f>
        <v>5</v>
      </c>
      <c r="F7" s="137"/>
    </row>
    <row r="8" spans="1:30" ht="15.9" customHeight="1" x14ac:dyDescent="0.25">
      <c r="A8" s="30"/>
      <c r="B8" s="39"/>
      <c r="C8" s="21" t="s">
        <v>18</v>
      </c>
      <c r="D8" s="7">
        <f>0.5*D6+D7</f>
        <v>7.5</v>
      </c>
      <c r="E8" s="41">
        <f>0.5*E6+E7</f>
        <v>7.5</v>
      </c>
      <c r="F8" s="137"/>
    </row>
    <row r="9" spans="1:30" ht="15.9" customHeight="1" x14ac:dyDescent="0.25">
      <c r="A9" s="30"/>
      <c r="B9" s="42"/>
      <c r="C9" s="23" t="s">
        <v>26</v>
      </c>
      <c r="D9" s="7">
        <f>4.88*POWER(10,-4)</f>
        <v>4.8799999999999999E-4</v>
      </c>
      <c r="E9" s="41">
        <f>4.88*POWER(10,-4)</f>
        <v>4.8799999999999999E-4</v>
      </c>
      <c r="F9" s="32"/>
    </row>
    <row r="10" spans="1:30" ht="15.9" customHeight="1" x14ac:dyDescent="0.25">
      <c r="A10" s="30"/>
      <c r="B10" s="42"/>
      <c r="C10" s="23" t="s">
        <v>27</v>
      </c>
      <c r="D10" s="7">
        <f>-3.08*POWER(10,-2)</f>
        <v>-3.0800000000000001E-2</v>
      </c>
      <c r="E10" s="41">
        <f>-3.08*POWER(10,-2)</f>
        <v>-3.0800000000000001E-2</v>
      </c>
      <c r="F10" s="32"/>
      <c r="H10" s="1" t="s">
        <v>66</v>
      </c>
      <c r="I10" s="117">
        <v>18880.957699055252</v>
      </c>
      <c r="J10" s="117">
        <v>19432.297310676531</v>
      </c>
      <c r="K10" s="118">
        <v>17335.252333113236</v>
      </c>
      <c r="L10" s="118">
        <v>22387.183851944963</v>
      </c>
      <c r="M10" s="118">
        <v>24841.981695055052</v>
      </c>
      <c r="N10" s="118">
        <v>36954.200394080639</v>
      </c>
      <c r="O10" s="118">
        <v>40094.397963595533</v>
      </c>
      <c r="P10" s="118">
        <v>43823.834784754763</v>
      </c>
      <c r="Q10" s="118">
        <v>48399.211510235938</v>
      </c>
      <c r="R10" s="118">
        <v>53952.292115851196</v>
      </c>
      <c r="S10" s="118">
        <v>74677.388930613437</v>
      </c>
    </row>
    <row r="11" spans="1:30" ht="15.9" customHeight="1" x14ac:dyDescent="0.25">
      <c r="A11" s="30"/>
      <c r="B11" s="42"/>
      <c r="C11" s="23" t="s">
        <v>28</v>
      </c>
      <c r="D11" s="7">
        <v>0.59</v>
      </c>
      <c r="E11" s="41">
        <v>0.59</v>
      </c>
      <c r="F11" s="32"/>
      <c r="H11" s="1" t="s">
        <v>65</v>
      </c>
      <c r="I11" s="117">
        <v>21684.563066187558</v>
      </c>
      <c r="J11" s="117">
        <v>22050.437045396691</v>
      </c>
      <c r="K11" s="118">
        <v>25761.478386015249</v>
      </c>
      <c r="L11" s="118">
        <v>18379</v>
      </c>
      <c r="M11" s="118">
        <v>19552</v>
      </c>
      <c r="N11" s="118">
        <v>27997</v>
      </c>
      <c r="O11" s="118">
        <v>28471</v>
      </c>
      <c r="P11" s="118">
        <v>29023</v>
      </c>
      <c r="Q11" s="118">
        <v>29599</v>
      </c>
      <c r="R11" s="118">
        <v>30276</v>
      </c>
      <c r="S11" s="118">
        <v>38887</v>
      </c>
    </row>
    <row r="12" spans="1:30" ht="15.9" customHeight="1" x14ac:dyDescent="0.25">
      <c r="A12" s="30"/>
      <c r="B12" s="43"/>
      <c r="C12" s="24" t="s">
        <v>19</v>
      </c>
      <c r="D12" s="8">
        <f>D9*D8*D8+D10*D8+D11</f>
        <v>0.38644999999999996</v>
      </c>
      <c r="E12" s="44">
        <f>E9*E8*E8+E10*E8+E11</f>
        <v>0.38644999999999996</v>
      </c>
      <c r="F12" s="32"/>
      <c r="H12" s="110" t="s">
        <v>60</v>
      </c>
    </row>
    <row r="13" spans="1:30" ht="15.9" customHeight="1" x14ac:dyDescent="0.25">
      <c r="A13" s="30"/>
      <c r="B13" s="45" t="s">
        <v>2</v>
      </c>
      <c r="C13" s="22" t="s">
        <v>49</v>
      </c>
      <c r="D13" s="100">
        <f>HLOOKUP('Invoer en conclusie'!$D$4,Berekening!$I$4:$S$42,ROW()-ROW(I$3),FALSE)</f>
        <v>37661.849421887171</v>
      </c>
      <c r="E13" s="46" t="s">
        <v>9</v>
      </c>
      <c r="F13" s="137"/>
      <c r="G13" s="1">
        <f>HLOOKUP('Invoer en conclusie'!$D$4,Berekening!$I$4:$S$42,ROW()-ROW(I$3),FALSE)</f>
        <v>37661.849421887171</v>
      </c>
      <c r="H13" s="1" t="s">
        <v>62</v>
      </c>
      <c r="I13" s="117">
        <v>37661.849421887171</v>
      </c>
      <c r="J13" s="117">
        <v>40915.462840883469</v>
      </c>
      <c r="K13" s="118">
        <v>44794.88431868195</v>
      </c>
      <c r="L13" s="118">
        <v>49582.536580117412</v>
      </c>
      <c r="M13" s="118">
        <v>55447.998840194254</v>
      </c>
      <c r="N13" s="118">
        <v>83464.009365120597</v>
      </c>
      <c r="O13" s="118">
        <v>91454.031987943061</v>
      </c>
      <c r="P13" s="118">
        <v>101161.03545757702</v>
      </c>
      <c r="Q13" s="118">
        <v>113606.18363876866</v>
      </c>
      <c r="R13" s="118">
        <v>129125.20340207993</v>
      </c>
      <c r="S13" s="118">
        <v>189359.33600278324</v>
      </c>
    </row>
    <row r="14" spans="1:30" ht="15.9" customHeight="1" x14ac:dyDescent="0.25">
      <c r="A14" s="30"/>
      <c r="B14" s="47"/>
      <c r="C14" s="24" t="s">
        <v>30</v>
      </c>
      <c r="D14" s="28">
        <v>0</v>
      </c>
      <c r="E14" s="48" t="s">
        <v>9</v>
      </c>
      <c r="F14" s="138"/>
      <c r="G14" s="119"/>
      <c r="H14" s="110" t="s">
        <v>59</v>
      </c>
      <c r="I14" s="96"/>
      <c r="J14" s="96"/>
    </row>
    <row r="15" spans="1:30" ht="15.9" customHeight="1" x14ac:dyDescent="0.25">
      <c r="A15" s="30"/>
      <c r="B15" s="45" t="s">
        <v>0</v>
      </c>
      <c r="C15" s="22" t="s">
        <v>50</v>
      </c>
      <c r="D15" s="85">
        <f>'Invoer en conclusie'!D6</f>
        <v>1500</v>
      </c>
      <c r="E15" s="87">
        <f>D15</f>
        <v>1500</v>
      </c>
      <c r="F15" s="32"/>
      <c r="I15" s="96"/>
      <c r="J15" s="96"/>
    </row>
    <row r="16" spans="1:30" ht="15.9" customHeight="1" x14ac:dyDescent="0.25">
      <c r="A16" s="30"/>
      <c r="B16" s="47"/>
      <c r="C16" s="24" t="s">
        <v>30</v>
      </c>
      <c r="D16" s="86">
        <f>'Invoer en conclusie'!D7</f>
        <v>0.1</v>
      </c>
      <c r="E16" s="88">
        <f>D16</f>
        <v>0.1</v>
      </c>
      <c r="F16" s="32"/>
    </row>
    <row r="17" spans="1:30" ht="15.9" customHeight="1" x14ac:dyDescent="0.25">
      <c r="A17" s="30"/>
      <c r="B17" s="45" t="s">
        <v>1</v>
      </c>
      <c r="C17" s="22" t="str">
        <f>C15</f>
        <v>Aantal voertuigbewegingen (weekdaggemiddelde)</v>
      </c>
      <c r="D17" s="9">
        <f>D13+D15</f>
        <v>39161.849421887171</v>
      </c>
      <c r="E17" s="50" t="s">
        <v>9</v>
      </c>
      <c r="F17" s="32"/>
    </row>
    <row r="18" spans="1:30" ht="15.9" customHeight="1" x14ac:dyDescent="0.25">
      <c r="A18" s="30"/>
      <c r="B18" s="47"/>
      <c r="C18" s="24" t="str">
        <f>C16</f>
        <v>Percentage vrachtverkeer</v>
      </c>
      <c r="D18" s="29">
        <f>(D14*D13+D16*D15)/D17</f>
        <v>3.8302583308582583E-3</v>
      </c>
      <c r="E18" s="51" t="s">
        <v>9</v>
      </c>
      <c r="F18" s="32"/>
      <c r="H18" s="110" t="s">
        <v>63</v>
      </c>
    </row>
    <row r="19" spans="1:30" ht="15.9" customHeight="1" x14ac:dyDescent="0.3">
      <c r="A19" s="30"/>
      <c r="B19" s="52" t="s">
        <v>11</v>
      </c>
      <c r="C19" s="22" t="s">
        <v>20</v>
      </c>
      <c r="D19" s="84">
        <f>HLOOKUP('Invoer en conclusie'!$D$4,Berekening!$I$4:$S$42,ROW()-ROW(I$3),FALSE)</f>
        <v>0.39639999999999997</v>
      </c>
      <c r="E19" s="84">
        <f>HLOOKUP('Invoer en conclusie'!$D$4,Berekening!$T$4:$AD$42,ROW()-ROW(T$3),FALSE)</f>
        <v>1.9E-2</v>
      </c>
      <c r="F19" s="32"/>
      <c r="I19" s="120">
        <v>0.39639999999999997</v>
      </c>
      <c r="J19" s="120">
        <v>0.37130000000000002</v>
      </c>
      <c r="K19" s="120">
        <v>0.34620000000000001</v>
      </c>
      <c r="L19" s="120">
        <v>0.3211</v>
      </c>
      <c r="M19" s="120">
        <v>0.29599999999999999</v>
      </c>
      <c r="N19" s="120">
        <v>0.27089999999999997</v>
      </c>
      <c r="O19" s="120">
        <v>0.25140000000000001</v>
      </c>
      <c r="P19" s="120">
        <v>0.2319</v>
      </c>
      <c r="Q19" s="120">
        <v>0.21240000000000001</v>
      </c>
      <c r="R19" s="120">
        <v>0.19289999999999999</v>
      </c>
      <c r="S19" s="120">
        <v>0.1734</v>
      </c>
      <c r="T19" s="120">
        <v>1.9E-2</v>
      </c>
      <c r="U19" s="120">
        <v>1.8800000000000001E-2</v>
      </c>
      <c r="V19" s="120">
        <v>1.8599999999999998E-2</v>
      </c>
      <c r="W19" s="120">
        <v>1.84E-2</v>
      </c>
      <c r="X19" s="120">
        <v>1.8200000000000001E-2</v>
      </c>
      <c r="Y19" s="120">
        <v>1.7999999999999999E-2</v>
      </c>
      <c r="Z19" s="120">
        <v>1.7899999999999999E-2</v>
      </c>
      <c r="AA19" s="120">
        <v>1.7899999999999999E-2</v>
      </c>
      <c r="AB19" s="120">
        <v>1.78E-2</v>
      </c>
      <c r="AC19" s="120">
        <v>1.78E-2</v>
      </c>
      <c r="AD19" s="120">
        <v>1.77E-2</v>
      </c>
    </row>
    <row r="20" spans="1:30" ht="15.9" customHeight="1" x14ac:dyDescent="0.3">
      <c r="A20" s="30"/>
      <c r="B20" s="43"/>
      <c r="C20" s="24" t="s">
        <v>21</v>
      </c>
      <c r="D20" s="98">
        <f>HLOOKUP('Invoer en conclusie'!$D$4,Berekening!$I$4:$S$42,ROW()-ROW(I$3),FALSE)</f>
        <v>6.476</v>
      </c>
      <c r="E20" s="98">
        <f>HLOOKUP('Invoer en conclusie'!$D$4,Berekening!$T$4:$AD$42,ROW()-ROW(T$3),FALSE)</f>
        <v>0.17169999999999999</v>
      </c>
      <c r="F20" s="32"/>
      <c r="I20" s="120">
        <v>6.476</v>
      </c>
      <c r="J20" s="120">
        <v>6.1717000000000004</v>
      </c>
      <c r="K20" s="120">
        <v>5.8674999999999997</v>
      </c>
      <c r="L20" s="120">
        <v>5.5632000000000001</v>
      </c>
      <c r="M20" s="120">
        <v>5.2590000000000003</v>
      </c>
      <c r="N20" s="120">
        <v>4.9546999999999999</v>
      </c>
      <c r="O20" s="120">
        <v>4.4589999999999996</v>
      </c>
      <c r="P20" s="120">
        <v>3.9632999999999998</v>
      </c>
      <c r="Q20" s="120">
        <v>3.4676</v>
      </c>
      <c r="R20" s="120">
        <v>2.9719000000000002</v>
      </c>
      <c r="S20" s="120">
        <v>2.4762</v>
      </c>
      <c r="T20" s="120">
        <v>0.17169999999999999</v>
      </c>
      <c r="U20" s="120">
        <v>0.16919999999999999</v>
      </c>
      <c r="V20" s="120">
        <v>0.16669999999999999</v>
      </c>
      <c r="W20" s="120">
        <v>0.16420000000000001</v>
      </c>
      <c r="X20" s="120">
        <v>0.16170000000000001</v>
      </c>
      <c r="Y20" s="120">
        <v>0.15920000000000001</v>
      </c>
      <c r="Z20" s="120">
        <v>0.1545</v>
      </c>
      <c r="AA20" s="120">
        <v>0.14979999999999999</v>
      </c>
      <c r="AB20" s="120">
        <v>0.14510000000000001</v>
      </c>
      <c r="AC20" s="120">
        <v>0.1404</v>
      </c>
      <c r="AD20" s="120">
        <v>0.13569999999999999</v>
      </c>
    </row>
    <row r="21" spans="1:30" ht="15.9" customHeight="1" x14ac:dyDescent="0.3">
      <c r="A21" s="30"/>
      <c r="B21" s="52" t="s">
        <v>52</v>
      </c>
      <c r="C21" s="22" t="s">
        <v>20</v>
      </c>
      <c r="D21" s="84">
        <f>HLOOKUP('Invoer en conclusie'!$D$4,Berekening!$I$4:$S$42,ROW()-ROW(I$3),FALSE)</f>
        <v>3.8100000000000002E-2</v>
      </c>
      <c r="E21" s="55" t="s">
        <v>9</v>
      </c>
      <c r="F21" s="32"/>
      <c r="I21" s="120">
        <v>3.8100000000000002E-2</v>
      </c>
      <c r="J21" s="120">
        <v>3.4299999999999997E-2</v>
      </c>
      <c r="K21" s="120">
        <v>3.0499999999999999E-2</v>
      </c>
      <c r="L21" s="120">
        <v>2.6599999999999999E-2</v>
      </c>
      <c r="M21" s="120">
        <v>2.2800000000000001E-2</v>
      </c>
      <c r="N21" s="120">
        <v>1.9E-2</v>
      </c>
      <c r="O21" s="120">
        <v>1.7000000000000001E-2</v>
      </c>
      <c r="P21" s="120">
        <v>1.4999999999999999E-2</v>
      </c>
      <c r="Q21" s="120">
        <v>1.29E-2</v>
      </c>
      <c r="R21" s="120">
        <v>1.09E-2</v>
      </c>
      <c r="S21" s="120">
        <v>8.8999999999999999E-3</v>
      </c>
      <c r="T21" s="96"/>
      <c r="U21" s="96"/>
      <c r="V21" s="96"/>
      <c r="W21" s="96"/>
      <c r="X21" s="96"/>
      <c r="Y21" s="96"/>
      <c r="Z21" s="96"/>
      <c r="AA21" s="96"/>
      <c r="AB21" s="96"/>
    </row>
    <row r="22" spans="1:30" ht="15.9" customHeight="1" x14ac:dyDescent="0.3">
      <c r="A22" s="30"/>
      <c r="B22" s="43"/>
      <c r="C22" s="24" t="s">
        <v>21</v>
      </c>
      <c r="D22" s="98">
        <f>HLOOKUP('Invoer en conclusie'!$D$4,Berekening!$I$4:$S$42,ROW()-ROW(I$3),FALSE)</f>
        <v>1.6638999999999999</v>
      </c>
      <c r="E22" s="56" t="s">
        <v>9</v>
      </c>
      <c r="F22" s="32"/>
      <c r="I22" s="120">
        <v>1.6638999999999999</v>
      </c>
      <c r="J22" s="120">
        <v>1.6145</v>
      </c>
      <c r="K22" s="120">
        <v>1.5650999999999999</v>
      </c>
      <c r="L22" s="120">
        <v>1.5158</v>
      </c>
      <c r="M22" s="120">
        <v>1.4663999999999999</v>
      </c>
      <c r="N22" s="120">
        <v>1.417</v>
      </c>
      <c r="O22" s="120">
        <v>1.3025</v>
      </c>
      <c r="P22" s="120">
        <v>1.1879999999999999</v>
      </c>
      <c r="Q22" s="120">
        <v>1.0734999999999999</v>
      </c>
      <c r="R22" s="120">
        <v>0.95899999999999996</v>
      </c>
      <c r="S22" s="120">
        <v>0.84450000000000003</v>
      </c>
      <c r="T22" s="96"/>
      <c r="U22" s="96"/>
      <c r="V22" s="96"/>
      <c r="W22" s="96"/>
      <c r="X22" s="96"/>
      <c r="Y22" s="96"/>
      <c r="Z22" s="96"/>
      <c r="AA22" s="96"/>
      <c r="AB22" s="96"/>
    </row>
    <row r="23" spans="1:30" ht="15.9" customHeight="1" x14ac:dyDescent="0.25">
      <c r="A23" s="30"/>
      <c r="B23" s="52" t="s">
        <v>12</v>
      </c>
      <c r="C23" s="22" t="s">
        <v>4</v>
      </c>
      <c r="D23" s="10">
        <f>((1-D14)*D19+D14*D20)*((1000*D13)/(24*3600))</f>
        <v>172.79117026430643</v>
      </c>
      <c r="E23" s="53" t="s">
        <v>9</v>
      </c>
      <c r="F23" s="32"/>
    </row>
    <row r="24" spans="1:30" ht="15.9" customHeight="1" x14ac:dyDescent="0.25">
      <c r="A24" s="30"/>
      <c r="B24" s="42"/>
      <c r="C24" s="23" t="s">
        <v>0</v>
      </c>
      <c r="D24" s="11">
        <f>((1-D16)*D19+D16*D20)*((1000*D15)/(24*3600))</f>
        <v>17.436805555555559</v>
      </c>
      <c r="E24" s="54">
        <f>((1-E16)*E19+E16*E20)*((1000*E15)/(24*3600))</f>
        <v>0.59496527777777775</v>
      </c>
      <c r="F24" s="32"/>
    </row>
    <row r="25" spans="1:30" ht="15.9" customHeight="1" x14ac:dyDescent="0.25">
      <c r="A25" s="30"/>
      <c r="B25" s="43"/>
      <c r="C25" s="24" t="s">
        <v>7</v>
      </c>
      <c r="D25" s="12">
        <f>D23+D24</f>
        <v>190.227975819862</v>
      </c>
      <c r="E25" s="48" t="s">
        <v>9</v>
      </c>
      <c r="F25" s="32"/>
    </row>
    <row r="26" spans="1:30" ht="15.9" customHeight="1" x14ac:dyDescent="0.25">
      <c r="A26" s="30"/>
      <c r="B26" s="52" t="s">
        <v>13</v>
      </c>
      <c r="C26" s="22" t="s">
        <v>20</v>
      </c>
      <c r="D26" s="89">
        <f>D21/D19</f>
        <v>9.6115035317860753E-2</v>
      </c>
      <c r="E26" s="55" t="s">
        <v>9</v>
      </c>
      <c r="F26" s="33"/>
    </row>
    <row r="27" spans="1:30" ht="15.9" customHeight="1" x14ac:dyDescent="0.25">
      <c r="A27" s="30"/>
      <c r="B27" s="43"/>
      <c r="C27" s="24" t="s">
        <v>3</v>
      </c>
      <c r="D27" s="90">
        <f>D22/D20</f>
        <v>0.25693329215565164</v>
      </c>
      <c r="E27" s="56" t="s">
        <v>9</v>
      </c>
      <c r="F27" s="33"/>
    </row>
    <row r="28" spans="1:30" ht="15.9" customHeight="1" x14ac:dyDescent="0.25">
      <c r="A28" s="30"/>
      <c r="B28" s="52" t="s">
        <v>14</v>
      </c>
      <c r="C28" s="22" t="s">
        <v>4</v>
      </c>
      <c r="D28" s="13">
        <f>((1-D14)*D26*D19+D14*D27*D20)/((1-D14)*D19+D14*D20)</f>
        <v>9.6115035317860753E-2</v>
      </c>
      <c r="E28" s="55" t="s">
        <v>9</v>
      </c>
      <c r="F28" s="32"/>
    </row>
    <row r="29" spans="1:30" ht="15.9" customHeight="1" x14ac:dyDescent="0.25">
      <c r="A29" s="30"/>
      <c r="B29" s="42"/>
      <c r="C29" s="23" t="s">
        <v>0</v>
      </c>
      <c r="D29" s="15">
        <f>((1-D16)*D26*D19+D16*D27*D20)/((1-D16)*D19+D16*D20)</f>
        <v>0.19980883348600104</v>
      </c>
      <c r="E29" s="57" t="s">
        <v>9</v>
      </c>
      <c r="F29" s="32"/>
    </row>
    <row r="30" spans="1:30" ht="15.9" customHeight="1" x14ac:dyDescent="0.25">
      <c r="A30" s="30"/>
      <c r="B30" s="43"/>
      <c r="C30" s="24" t="s">
        <v>7</v>
      </c>
      <c r="D30" s="14">
        <f>((1-D18)*D26*D19+D18*D27*D20)/((1-D18)*D19+D18*D20)</f>
        <v>0.10561988647438608</v>
      </c>
      <c r="E30" s="56" t="s">
        <v>9</v>
      </c>
      <c r="F30" s="32"/>
    </row>
    <row r="31" spans="1:30" ht="15.9" customHeight="1" x14ac:dyDescent="0.25">
      <c r="A31" s="30"/>
      <c r="B31" s="52" t="s">
        <v>5</v>
      </c>
      <c r="C31" s="22" t="s">
        <v>22</v>
      </c>
      <c r="D31" s="16">
        <v>1.5</v>
      </c>
      <c r="E31" s="58">
        <v>1.5</v>
      </c>
      <c r="F31" s="32"/>
    </row>
    <row r="32" spans="1:30" ht="15.9" customHeight="1" x14ac:dyDescent="0.25">
      <c r="A32" s="30"/>
      <c r="B32" s="43"/>
      <c r="C32" s="24" t="s">
        <v>23</v>
      </c>
      <c r="D32" s="91">
        <f>5/4.61</f>
        <v>1.0845986984815617</v>
      </c>
      <c r="E32" s="97">
        <f>5/4.61</f>
        <v>1.0845986984815617</v>
      </c>
      <c r="F32" s="32"/>
      <c r="H32" s="121" t="s">
        <v>68</v>
      </c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</row>
    <row r="33" spans="1:30" s="2" customFormat="1" ht="15.9" customHeight="1" x14ac:dyDescent="0.25">
      <c r="A33" s="30"/>
      <c r="B33" s="60" t="s">
        <v>6</v>
      </c>
      <c r="C33" s="25" t="s">
        <v>24</v>
      </c>
      <c r="D33" s="6">
        <v>0.6</v>
      </c>
      <c r="E33" s="49">
        <v>0.6</v>
      </c>
      <c r="F33" s="34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</row>
    <row r="34" spans="1:30" s="2" customFormat="1" ht="15.9" customHeight="1" x14ac:dyDescent="0.25">
      <c r="A34" s="30"/>
      <c r="B34" s="61"/>
      <c r="C34" s="26" t="s">
        <v>25</v>
      </c>
      <c r="D34" s="5">
        <v>100</v>
      </c>
      <c r="E34" s="59">
        <v>100</v>
      </c>
      <c r="F34" s="34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</row>
    <row r="35" spans="1:30" s="2" customFormat="1" ht="15.9" customHeight="1" x14ac:dyDescent="0.25">
      <c r="A35" s="30"/>
      <c r="B35" s="60" t="s">
        <v>15</v>
      </c>
      <c r="C35" s="22" t="s">
        <v>4</v>
      </c>
      <c r="D35" s="17">
        <f>0.62*D12*D23*D31*D32</f>
        <v>67.354541655353927</v>
      </c>
      <c r="E35" s="62" t="s">
        <v>9</v>
      </c>
      <c r="F35" s="3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</row>
    <row r="36" spans="1:30" ht="15.9" customHeight="1" x14ac:dyDescent="0.25">
      <c r="A36" s="30"/>
      <c r="B36" s="43"/>
      <c r="C36" s="24" t="s">
        <v>7</v>
      </c>
      <c r="D36" s="18">
        <f>0.62*D12*D25*D31*D32</f>
        <v>74.151463305525652</v>
      </c>
      <c r="E36" s="63" t="s">
        <v>9</v>
      </c>
      <c r="F36" s="32"/>
      <c r="H36" s="123" t="s">
        <v>64</v>
      </c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</row>
    <row r="37" spans="1:30" ht="15.9" customHeight="1" x14ac:dyDescent="0.25">
      <c r="A37" s="30"/>
      <c r="B37" s="52" t="s">
        <v>8</v>
      </c>
      <c r="C37" s="22" t="s">
        <v>33</v>
      </c>
      <c r="D37" s="84">
        <f>HLOOKUP('Invoer en conclusie'!$D$4,Berekening!$I$4:$S$42,ROW()-ROW(I$3),FALSE)</f>
        <v>23.45</v>
      </c>
      <c r="E37" s="46" t="s">
        <v>9</v>
      </c>
      <c r="F37" s="138"/>
      <c r="H37" s="121"/>
      <c r="I37" s="124">
        <v>23.45</v>
      </c>
      <c r="J37" s="124">
        <v>23.45</v>
      </c>
      <c r="K37" s="124">
        <v>23.45</v>
      </c>
      <c r="L37" s="124">
        <v>23.45</v>
      </c>
      <c r="M37" s="124">
        <v>23.45</v>
      </c>
      <c r="N37" s="124">
        <v>19.27</v>
      </c>
      <c r="O37" s="124">
        <v>19.27</v>
      </c>
      <c r="P37" s="124">
        <v>19.27</v>
      </c>
      <c r="Q37" s="124">
        <v>19.27</v>
      </c>
      <c r="R37" s="124">
        <v>19.27</v>
      </c>
      <c r="S37" s="124">
        <v>15.33</v>
      </c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</row>
    <row r="38" spans="1:30" ht="15.9" customHeight="1" x14ac:dyDescent="0.25">
      <c r="A38" s="30"/>
      <c r="B38" s="43"/>
      <c r="C38" s="24" t="s">
        <v>34</v>
      </c>
      <c r="D38" s="98">
        <f>HLOOKUP('Invoer en conclusie'!$D$4,Berekening!$I$4:$S$42,ROW()-ROW(I$3),FALSE)</f>
        <v>46.58</v>
      </c>
      <c r="E38" s="64" t="s">
        <v>9</v>
      </c>
      <c r="F38" s="138"/>
      <c r="H38" s="121"/>
      <c r="I38" s="124">
        <v>46.58</v>
      </c>
      <c r="J38" s="124">
        <v>46.58</v>
      </c>
      <c r="K38" s="124">
        <v>46.58</v>
      </c>
      <c r="L38" s="124">
        <v>46.58</v>
      </c>
      <c r="M38" s="124">
        <v>46.58</v>
      </c>
      <c r="N38" s="124">
        <v>48.19</v>
      </c>
      <c r="O38" s="124">
        <v>48.19</v>
      </c>
      <c r="P38" s="124">
        <v>48.19</v>
      </c>
      <c r="Q38" s="124">
        <v>48.19</v>
      </c>
      <c r="R38" s="124">
        <v>48.19</v>
      </c>
      <c r="S38" s="124">
        <v>50.11</v>
      </c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</row>
    <row r="39" spans="1:30" ht="15.9" customHeight="1" x14ac:dyDescent="0.25">
      <c r="A39" s="30"/>
      <c r="B39" s="52" t="s">
        <v>51</v>
      </c>
      <c r="C39" s="22" t="s">
        <v>35</v>
      </c>
      <c r="D39" s="70">
        <f>D37+D40</f>
        <v>40.499911694067912</v>
      </c>
      <c r="E39" s="71" t="s">
        <v>9</v>
      </c>
      <c r="F39" s="35"/>
      <c r="G39" s="3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</row>
    <row r="40" spans="1:30" ht="15.9" customHeight="1" x14ac:dyDescent="0.25">
      <c r="A40" s="30"/>
      <c r="B40" s="42"/>
      <c r="C40" s="23" t="s">
        <v>36</v>
      </c>
      <c r="D40" s="19">
        <f>D28*D35+((D33*D38*D35*(1-D28))/(D35*(1-D28)+D34))</f>
        <v>17.049911694067912</v>
      </c>
      <c r="E40" s="65" t="s">
        <v>9</v>
      </c>
      <c r="F40" s="32"/>
    </row>
    <row r="41" spans="1:30" ht="15.9" customHeight="1" x14ac:dyDescent="0.25">
      <c r="A41" s="30"/>
      <c r="B41" s="42"/>
      <c r="C41" s="23" t="s">
        <v>37</v>
      </c>
      <c r="D41" s="19">
        <f>D30*D36+((D33*D38*D36*(1-D30))/(D36*(1-D30)+D34))</f>
        <v>18.976076330231379</v>
      </c>
      <c r="E41" s="65" t="s">
        <v>9</v>
      </c>
      <c r="F41" s="32"/>
    </row>
    <row r="42" spans="1:30" ht="15.9" customHeight="1" thickBot="1" x14ac:dyDescent="0.3">
      <c r="A42" s="30"/>
      <c r="B42" s="66"/>
      <c r="C42" s="67" t="s">
        <v>29</v>
      </c>
      <c r="D42" s="68">
        <f>D41-D40</f>
        <v>1.9261646361634668</v>
      </c>
      <c r="E42" s="69">
        <f>0.62*E24*E12*E31*E32</f>
        <v>0.23191933664361888</v>
      </c>
      <c r="F42" s="30"/>
    </row>
    <row r="43" spans="1:30" ht="13.2" x14ac:dyDescent="0.25">
      <c r="A43" s="30"/>
      <c r="B43" s="30"/>
      <c r="C43" s="30"/>
      <c r="D43" s="30"/>
      <c r="E43" s="30"/>
      <c r="F43" s="30"/>
    </row>
    <row r="44" spans="1:30" ht="13.2" x14ac:dyDescent="0.25"/>
  </sheetData>
  <sheetProtection algorithmName="SHA-512" hashValue="ZRI/ktjOTrEJXDBasPZJ369UI+ivjzTIFrsyfPPp0hhfsTcmU8OotaOn0bWwc61SOrjy/wUQmQy0TEl3wHWhXA==" saltValue="0LDxYiRvPPtMAJUlE/NFAQ==" spinCount="100000" sheet="1" formatCells="0" formatColumns="0" formatRows="0" insertColumns="0" insertRows="0" insertHyperlinks="0" deleteColumns="0" deleteRows="0" sort="0" autoFilter="0" pivotTables="0"/>
  <mergeCells count="4">
    <mergeCell ref="F13:F14"/>
    <mergeCell ref="F37:F38"/>
    <mergeCell ref="F7:F8"/>
    <mergeCell ref="B2:E2"/>
  </mergeCells>
  <phoneticPr fontId="0" type="noConversion"/>
  <pageMargins left="0.23" right="0.2" top="1" bottom="1" header="0.5" footer="0.5"/>
  <pageSetup paperSize="9" scale="86" orientation="portrait" r:id="rId1"/>
  <headerFooter alignWithMargins="0"/>
  <legacyDrawing r:id="rId2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Invoer en conclusie</vt:lpstr>
      <vt:lpstr>Berekening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Diederik Metz;Gerlof Wijnja</dc:creator>
  <cp:lastModifiedBy>Koop, Kelvin (RWS WVL)</cp:lastModifiedBy>
  <cp:lastPrinted>2011-06-09T09:01:07Z</cp:lastPrinted>
  <dcterms:created xsi:type="dcterms:W3CDTF">2006-09-08T08:08:17Z</dcterms:created>
  <dcterms:modified xsi:type="dcterms:W3CDTF">2026-04-21T06:52:13Z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nibm-tool_versie_27-03-2020-onbeveiligd.xlsx</vt:lpwstr>
  </property>
</Properties>
</file>