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wvl\LO_IM\Algemeen\OpdrachtenKR\Luchtkwaliteit\Handreikingen\Handleiding_NIBM-tool\NIBM-tool 2024\"/>
    </mc:Choice>
  </mc:AlternateContent>
  <bookViews>
    <workbookView xWindow="0" yWindow="0" windowWidth="10620" windowHeight="6375"/>
  </bookViews>
  <sheets>
    <sheet name="Invoer en conclusie" sheetId="1" r:id="rId1"/>
    <sheet name="Berekening" sheetId="2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2" l="1"/>
  <c r="G13" i="2"/>
  <c r="E32" i="2" l="1"/>
  <c r="D32" i="2"/>
  <c r="D38" i="2" l="1"/>
  <c r="D37" i="2"/>
  <c r="D22" i="2"/>
  <c r="D21" i="2"/>
  <c r="D20" i="2"/>
  <c r="D19" i="2"/>
  <c r="E19" i="2" l="1"/>
  <c r="E20" i="2"/>
  <c r="D5" i="2" l="1"/>
  <c r="E5" i="2" l="1"/>
  <c r="D15" i="2" l="1"/>
  <c r="D16" i="2"/>
  <c r="E16" i="2" s="1"/>
  <c r="E9" i="2"/>
  <c r="E6" i="2"/>
  <c r="E8" i="2" s="1"/>
  <c r="E7" i="2"/>
  <c r="E10" i="2"/>
  <c r="D9" i="2"/>
  <c r="D8" i="2"/>
  <c r="D10" i="2"/>
  <c r="C18" i="2"/>
  <c r="C17" i="2"/>
  <c r="F11" i="1"/>
  <c r="E12" i="2" l="1"/>
  <c r="D12" i="2"/>
  <c r="D26" i="2"/>
  <c r="D27" i="2"/>
  <c r="D23" i="2"/>
  <c r="D35" i="2" s="1"/>
  <c r="D17" i="2"/>
  <c r="D18" i="2" s="1"/>
  <c r="E15" i="2"/>
  <c r="E24" i="2" s="1"/>
  <c r="D24" i="2"/>
  <c r="E42" i="2" l="1"/>
  <c r="D9" i="1" s="1"/>
  <c r="D25" i="2"/>
  <c r="D36" i="2" s="1"/>
  <c r="D30" i="2"/>
  <c r="D28" i="2"/>
  <c r="D40" i="2" s="1"/>
  <c r="D39" i="2" s="1"/>
  <c r="D29" i="2"/>
  <c r="D41" i="2" l="1"/>
  <c r="D42" i="2" s="1"/>
  <c r="D8" i="1" s="1"/>
  <c r="B13" i="1" l="1"/>
  <c r="B12" i="1"/>
</calcChain>
</file>

<file path=xl/comments1.xml><?xml version="1.0" encoding="utf-8"?>
<comments xmlns="http://schemas.openxmlformats.org/spreadsheetml/2006/main">
  <authors>
    <author>wjb</author>
    <author>amme0002</author>
    <author>Gerlof Wijnja</author>
    <author>han</author>
  </authors>
  <commentList>
    <comment ref="B6" authorId="0" shapeId="0">
      <text>
        <r>
          <rPr>
            <sz val="8"/>
            <color indexed="81"/>
            <rFont val="Tahoma"/>
            <family val="2"/>
          </rPr>
          <t xml:space="preserve">Volgens de Regeling beoordeling luchtkwaliteit mag 10 meter worden aangehouden (tenzij bebouwing binnen die 10 meter aanwezig is). Voor de worst-case benadering is uitgegaan van een smalle weg met bebouwing op 5 meter.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9" authorId="1" shapeId="0">
      <text>
        <r>
          <rPr>
            <sz val="8"/>
            <color indexed="81"/>
            <rFont val="Tahoma"/>
            <family val="2"/>
          </rPr>
          <t xml:space="preserve">parameters uit RBL2007 bijlage 1.5, tabel kleine letters wegtype 2. </t>
        </r>
      </text>
    </comment>
    <comment ref="C12" authorId="2" shapeId="0">
      <text>
        <r>
          <rPr>
            <sz val="8"/>
            <color indexed="81"/>
            <rFont val="Tahoma"/>
            <family val="2"/>
          </rPr>
          <t>Formule 1.13 RBL2007</t>
        </r>
      </text>
    </comment>
    <comment ref="B13" authorId="0" shapeId="0">
      <text>
        <r>
          <rPr>
            <sz val="8"/>
            <color indexed="81"/>
            <rFont val="Tahoma"/>
            <family val="2"/>
          </rPr>
          <t xml:space="preserve">Uitgangspunt voor de worst-case benadering is dat de jaargemiddelde concentratie NO2 ter hoogte van het beoordelingspunt ten gevolge van het autonome verkeer precies gelijk is aan 40,5 microgram/m3. Voor de bijdrage PM10 is de omvang van het autonome verkeer niet relevant.
</t>
        </r>
      </text>
    </comment>
    <comment ref="B19" authorId="0" shapeId="0">
      <text>
        <r>
          <rPr>
            <sz val="8"/>
            <color indexed="81"/>
            <rFont val="Tahoma"/>
            <family val="2"/>
          </rPr>
          <t>Voor de worst-case benadering zijn de emissiefactoren gekozen die gelden voor 'stagnerend stadsverkeer'. 
Voor vrachtverkeer is de hoogste emissiefactor voor middelzwaar en zwaar verkeer gekozen.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1" authorId="0" shapeId="0">
      <text>
        <r>
          <rPr>
            <sz val="8"/>
            <color indexed="81"/>
            <rFont val="Tahoma"/>
            <family val="2"/>
          </rPr>
          <t>Voor de worst-case benadering zijn de emissiefactoren gekozen die gelden voor 'stagnerend stadsverkeer'. 
Voor vrachtverkeer is de hoogste emissiefactor voor middelzwaar en zwaar verkeer gekozen.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3" authorId="1" shapeId="0">
      <text>
        <r>
          <rPr>
            <sz val="8"/>
            <color indexed="81"/>
            <rFont val="Tahoma"/>
            <family val="2"/>
          </rPr>
          <t xml:space="preserve">RBL2007, bijlage 1.4, formule 1.10 </t>
        </r>
      </text>
    </comment>
    <comment ref="B26" authorId="3" shapeId="0">
      <text>
        <r>
          <rPr>
            <sz val="8"/>
            <color indexed="81"/>
            <rFont val="Tahoma"/>
            <family val="2"/>
          </rPr>
          <t>RBL2007 bijlage 1.6 formule1.14
Emissiefactor NO2 (g/km) gedeeld door emissiefactor NOx in NO2-equivalenten (g/km)</t>
        </r>
      </text>
    </comment>
    <comment ref="B28" authorId="1" shapeId="0">
      <text>
        <r>
          <rPr>
            <sz val="8"/>
            <color indexed="81"/>
            <rFont val="Tahoma"/>
            <family val="2"/>
          </rPr>
          <t>RBL2007 bijlage 1
Formule nr 1.17 en 1.3</t>
        </r>
      </text>
    </comment>
    <comment ref="B31" authorId="0" shapeId="0">
      <text>
        <r>
          <rPr>
            <sz val="8"/>
            <color indexed="81"/>
            <rFont val="Tahoma"/>
            <family val="2"/>
          </rPr>
          <t>Voor de worst-case benadering is op basis van meerjarige meteogegevens gekozen voor  een windsnelheid  van 4.78
 m/s (windsnelheid van de gridcel)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3" authorId="1" shapeId="0">
      <text>
        <r>
          <rPr>
            <sz val="8"/>
            <color indexed="81"/>
            <rFont val="Tahoma"/>
            <family val="2"/>
          </rPr>
          <t>RBL2007 bijlage 1
tabel onder formule 1.3</t>
        </r>
      </text>
    </comment>
    <comment ref="B35" authorId="1" shapeId="0">
      <text>
        <r>
          <rPr>
            <sz val="8"/>
            <color indexed="81"/>
            <rFont val="Tahoma"/>
            <family val="2"/>
          </rPr>
          <t xml:space="preserve">RBL2007, bijlage 1
formule 1.2
</t>
        </r>
      </text>
    </comment>
    <comment ref="B37" authorId="0" shapeId="0">
      <text>
        <r>
          <rPr>
            <sz val="8"/>
            <color indexed="81"/>
            <rFont val="Tahoma"/>
            <family val="2"/>
          </rPr>
          <t>Voor de worst-case benadering is gekozen voor de gridcel waar de stedelijke achtergrondconcentratie het hoogste is. Dit is een gridcel in centrum Rotterdam
(x 92.000-93.000 y 437.000-438.000)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9" authorId="1" shapeId="0">
      <text>
        <r>
          <rPr>
            <sz val="8"/>
            <color indexed="81"/>
            <rFont val="Tahoma"/>
            <family val="2"/>
          </rPr>
          <t>RBL2007, bijlage 1
Formule 1.18</t>
        </r>
      </text>
    </comment>
  </commentList>
</comments>
</file>

<file path=xl/sharedStrings.xml><?xml version="1.0" encoding="utf-8"?>
<sst xmlns="http://schemas.openxmlformats.org/spreadsheetml/2006/main" count="99" uniqueCount="69">
  <si>
    <t>Extra verkeer</t>
  </si>
  <si>
    <t>Autonoom + extra verkeer</t>
  </si>
  <si>
    <t>Autonoom verkeer</t>
  </si>
  <si>
    <t>Vrachtverkeer</t>
  </si>
  <si>
    <t>Autonoom</t>
  </si>
  <si>
    <t>Overige invoergegevens</t>
  </si>
  <si>
    <t>Parameters</t>
  </si>
  <si>
    <t>Autonoom + Extra verkeer</t>
  </si>
  <si>
    <t>Locatiespecifieke achtergrondconcentraties</t>
  </si>
  <si>
    <t>nvt</t>
  </si>
  <si>
    <t>Weggegevens</t>
  </si>
  <si>
    <r>
      <t>Emissiefactoren NO</t>
    </r>
    <r>
      <rPr>
        <b/>
        <vertAlign val="subscript"/>
        <sz val="10"/>
        <rFont val="Arial"/>
        <family val="2"/>
      </rPr>
      <t>X</t>
    </r>
    <r>
      <rPr>
        <b/>
        <sz val="10"/>
        <rFont val="Arial"/>
        <family val="2"/>
      </rPr>
      <t xml:space="preserve"> en PM</t>
    </r>
    <r>
      <rPr>
        <b/>
        <vertAlign val="subscript"/>
        <sz val="10"/>
        <rFont val="Arial"/>
        <family val="2"/>
      </rPr>
      <t>10</t>
    </r>
    <r>
      <rPr>
        <b/>
        <sz val="10"/>
        <rFont val="Arial"/>
        <family val="2"/>
      </rPr>
      <t xml:space="preserve"> (gram/km)</t>
    </r>
  </si>
  <si>
    <r>
      <t>Emissies NO</t>
    </r>
    <r>
      <rPr>
        <b/>
        <vertAlign val="subscript"/>
        <sz val="10"/>
        <rFont val="Arial"/>
        <family val="2"/>
      </rPr>
      <t>X</t>
    </r>
    <r>
      <rPr>
        <b/>
        <sz val="10"/>
        <rFont val="Arial"/>
        <family val="2"/>
      </rPr>
      <t xml:space="preserve"> en PM</t>
    </r>
    <r>
      <rPr>
        <b/>
        <vertAlign val="subscript"/>
        <sz val="10"/>
        <rFont val="Arial"/>
        <family val="2"/>
      </rPr>
      <t>10</t>
    </r>
    <r>
      <rPr>
        <b/>
        <sz val="10"/>
        <rFont val="Arial"/>
        <family val="2"/>
      </rPr>
      <t xml:space="preserve"> (microgram/m/s)</t>
    </r>
  </si>
  <si>
    <r>
      <t>Fractie direct uitgestoten NO</t>
    </r>
    <r>
      <rPr>
        <b/>
        <vertAlign val="subscript"/>
        <sz val="10"/>
        <rFont val="Arial"/>
        <family val="2"/>
      </rPr>
      <t>2</t>
    </r>
  </si>
  <si>
    <r>
      <t>Gemiddelde fractie direct uitgestoten NO</t>
    </r>
    <r>
      <rPr>
        <b/>
        <vertAlign val="subscript"/>
        <sz val="10"/>
        <rFont val="Arial"/>
        <family val="2"/>
      </rPr>
      <t>2</t>
    </r>
  </si>
  <si>
    <r>
      <t>Jaargemiddelde bijdrage NO</t>
    </r>
    <r>
      <rPr>
        <b/>
        <vertAlign val="subscript"/>
        <sz val="10"/>
        <rFont val="Arial"/>
        <family val="2"/>
      </rPr>
      <t>X</t>
    </r>
  </si>
  <si>
    <t>Breedte van de ontsluitingsweg</t>
  </si>
  <si>
    <t>Afstand van het rekenpunt tot de wegrand</t>
  </si>
  <si>
    <t>Afstand van het rekenpunt tot de wegas</t>
  </si>
  <si>
    <t>verdunningsfactor</t>
  </si>
  <si>
    <t>Licht verkeer</t>
  </si>
  <si>
    <r>
      <t>Vracht</t>
    </r>
    <r>
      <rPr>
        <sz val="10"/>
        <rFont val="Arial"/>
        <family val="2"/>
      </rPr>
      <t>verkeer</t>
    </r>
  </si>
  <si>
    <t>Bomenfactor</t>
  </si>
  <si>
    <t>Regiofactor meteorologie</t>
  </si>
  <si>
    <t>B</t>
  </si>
  <si>
    <t>K</t>
  </si>
  <si>
    <t>rekenparameter a</t>
  </si>
  <si>
    <t>rekenparameter b</t>
  </si>
  <si>
    <t>rekenparameter c</t>
  </si>
  <si>
    <r>
      <t>Maximale bijdrage extra verkeer in μg/m</t>
    </r>
    <r>
      <rPr>
        <b/>
        <vertAlign val="superscript"/>
        <sz val="10"/>
        <rFont val="Arial"/>
        <family val="2"/>
      </rPr>
      <t>3</t>
    </r>
  </si>
  <si>
    <t>Percentage vrachtverkeer</t>
  </si>
  <si>
    <r>
      <t>NO</t>
    </r>
    <r>
      <rPr>
        <b/>
        <vertAlign val="subscript"/>
        <sz val="12"/>
        <rFont val="Arial"/>
        <family val="2"/>
      </rPr>
      <t>2</t>
    </r>
  </si>
  <si>
    <r>
      <t>PM</t>
    </r>
    <r>
      <rPr>
        <b/>
        <vertAlign val="subscript"/>
        <sz val="12"/>
        <rFont val="Arial"/>
        <family val="2"/>
      </rPr>
      <t>10</t>
    </r>
  </si>
  <si>
    <r>
      <t xml:space="preserve">Jaargemiddelde </t>
    </r>
    <r>
      <rPr>
        <sz val="10"/>
        <rFont val="Arial"/>
        <family val="2"/>
      </rPr>
      <t>in μg NO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/m</t>
    </r>
    <r>
      <rPr>
        <vertAlign val="superscript"/>
        <sz val="10"/>
        <rFont val="Arial"/>
        <family val="2"/>
      </rPr>
      <t>3</t>
    </r>
  </si>
  <si>
    <r>
      <t>Jaargemiddelde in μg O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/m</t>
    </r>
    <r>
      <rPr>
        <vertAlign val="superscript"/>
        <sz val="10"/>
        <rFont val="Arial"/>
        <family val="2"/>
      </rPr>
      <t>3</t>
    </r>
  </si>
  <si>
    <r>
      <t>Totaal autonoom jaargemiddelde in μg/m</t>
    </r>
    <r>
      <rPr>
        <vertAlign val="superscript"/>
        <sz val="10"/>
        <rFont val="Arial"/>
        <family val="2"/>
      </rPr>
      <t>3</t>
    </r>
  </si>
  <si>
    <r>
      <t>Bijdrage autonome verkeer in μg/m</t>
    </r>
    <r>
      <rPr>
        <vertAlign val="superscript"/>
        <sz val="10"/>
        <rFont val="Arial"/>
        <family val="2"/>
      </rPr>
      <t>3</t>
    </r>
  </si>
  <si>
    <r>
      <t>Bijdrage autonome+extra verkeer in μg/m</t>
    </r>
    <r>
      <rPr>
        <vertAlign val="superscript"/>
        <sz val="10"/>
        <rFont val="Arial"/>
        <family val="2"/>
      </rPr>
      <t>3</t>
    </r>
  </si>
  <si>
    <t>Type gegevens</t>
  </si>
  <si>
    <t>Aandeel vrachtverkeer</t>
  </si>
  <si>
    <t>Maximale bijdrage extra verkeer</t>
  </si>
  <si>
    <r>
      <t>NO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in μg/m</t>
    </r>
    <r>
      <rPr>
        <vertAlign val="superscript"/>
        <sz val="10"/>
        <rFont val="Arial"/>
        <family val="2"/>
      </rPr>
      <t>3</t>
    </r>
  </si>
  <si>
    <r>
      <t>PM</t>
    </r>
    <r>
      <rPr>
        <vertAlign val="subscript"/>
        <sz val="10"/>
        <rFont val="Arial"/>
        <family val="2"/>
      </rPr>
      <t>10</t>
    </r>
    <r>
      <rPr>
        <sz val="10"/>
        <rFont val="Arial"/>
        <family val="2"/>
      </rPr>
      <t xml:space="preserve"> in μg/m</t>
    </r>
    <r>
      <rPr>
        <vertAlign val="superscript"/>
        <sz val="10"/>
        <rFont val="Arial"/>
        <family val="2"/>
      </rPr>
      <t>3</t>
    </r>
  </si>
  <si>
    <r>
      <t>Grens voor "Niet In Betekenende Mate" in μg/m</t>
    </r>
    <r>
      <rPr>
        <vertAlign val="superscript"/>
        <sz val="10"/>
        <rFont val="Arial"/>
        <family val="2"/>
      </rPr>
      <t>3</t>
    </r>
  </si>
  <si>
    <t>Extra verkeer als gevolg van het plan</t>
  </si>
  <si>
    <t>Conclusie</t>
  </si>
  <si>
    <t>De bijdrage van het extra verkeer is mogelijk in betekenende mate;</t>
  </si>
  <si>
    <t>geen nader onderzoek nodig</t>
  </si>
  <si>
    <t>Extra voertuigbewegingen (weekdaggemiddelde)</t>
  </si>
  <si>
    <t>Aantal voertuigbewegingen</t>
  </si>
  <si>
    <t>Aantal voertuigbewegingen (weekdaggemiddelde)</t>
  </si>
  <si>
    <t>Jaargemiddelde NO2 concentraties</t>
  </si>
  <si>
    <r>
      <t>Emissiefactoren NO2</t>
    </r>
    <r>
      <rPr>
        <b/>
        <sz val="10"/>
        <rFont val="Arial"/>
        <family val="2"/>
      </rPr>
      <t xml:space="preserve"> </t>
    </r>
    <r>
      <rPr>
        <b/>
        <sz val="10"/>
        <rFont val="Arial"/>
        <family val="2"/>
      </rPr>
      <t>(gram/km)</t>
    </r>
  </si>
  <si>
    <t>Jaar van planrealisatie</t>
  </si>
  <si>
    <t>NO2</t>
  </si>
  <si>
    <t>PM10</t>
  </si>
  <si>
    <t>JAAR:</t>
  </si>
  <si>
    <t>Rekenjaar</t>
  </si>
  <si>
    <t>De bijdrage van het extra verkeer is niet-in-betekenende-mate;</t>
  </si>
  <si>
    <t>Vrachtverkeer staat op 0%. Dat is het meest ongunstige. Probeer maar eens om die hoger te zetten dan neemt de maximale bijdrage af.</t>
  </si>
  <si>
    <t>Hoeveelheid autonoom verkeer berekend met "Gegevens -&gt; Wat-als-analyse &gt; Doelzoeken" waarbij cel D39 precies op 40.5 uitkomt door aanpassing van cellen I13 t/m Q13. Zet keuze jaar in 1e tabblad op het jaar waar voor je gaat doelzoeken, als je verkeerde jaar hebt vindt Excel geen oplossing.</t>
  </si>
  <si>
    <t>Implementatie van Standaard Rekenmethode Luchtkwaliteit 1 op basis van de worst-case benadering</t>
  </si>
  <si>
    <t>Ongunstige windsnelheid 2003 (van de GCN gridcel Rotterdam Centrum - Hofplein). Blijkt aps-bestand waardoor niet mogelijk te actualiseren over 2022.</t>
  </si>
  <si>
    <t>oud</t>
  </si>
  <si>
    <t>nieuw</t>
  </si>
  <si>
    <t>Worst-case berekening voor de bijdrage van het extra verkeer als gevolg van een plan op de luchtkwaliteit, GCN2023</t>
  </si>
  <si>
    <t>Emissiefactoren overgenomen uit de publicatie "TNOEmissiefactoren-tm-2030-Nox-NO2-PM10-OM2-5-CO-2023-03-13" - stagnerend verkeer</t>
  </si>
  <si>
    <t>Concentraties uit de GCN 2023 (zonder correcties), gridcel x 92.000-93.000, y 437.000-438.000 = Rotterdam Centrum - Hofplein - onbekend hoe gritcel kan worden bepaald. Daarom oude tekst laten staan.</t>
  </si>
  <si>
    <t>RIVM levert voor GCN alleen 2023, 2025 en 2030 aan.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</si>
</sst>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0.000"/>
    <numFmt numFmtId="166" formatCode="0.00000"/>
    <numFmt numFmtId="167" formatCode="0.0%"/>
    <numFmt numFmtId="168" formatCode=";;;"/>
    <numFmt numFmtId="169" formatCode="0.0000"/>
  </numFmts>
  <fonts count="17" x14ac:knownFonts="1">
    <font>
      <sz val="10"/>
      <name val="Arial"/>
    </font>
    <font>
      <sz val="9"/>
      <color theme="1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i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vertAlign val="subscript"/>
      <sz val="10"/>
      <name val="Arial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b/>
      <vertAlign val="subscript"/>
      <sz val="12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14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hidden="1"/>
    </xf>
    <xf numFmtId="2" fontId="6" fillId="0" borderId="0" xfId="0" applyNumberFormat="1" applyFont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</xf>
    <xf numFmtId="0" fontId="0" fillId="2" borderId="3" xfId="0" applyFill="1" applyBorder="1" applyAlignment="1" applyProtection="1">
      <alignment vertical="center"/>
    </xf>
    <xf numFmtId="0" fontId="0" fillId="2" borderId="1" xfId="0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1" fontId="0" fillId="2" borderId="3" xfId="0" applyNumberFormat="1" applyFill="1" applyBorder="1" applyAlignment="1" applyProtection="1">
      <alignment vertical="center"/>
    </xf>
    <xf numFmtId="2" fontId="0" fillId="2" borderId="3" xfId="0" applyNumberFormat="1" applyFill="1" applyBorder="1" applyAlignment="1" applyProtection="1">
      <alignment vertical="center"/>
    </xf>
    <xf numFmtId="2" fontId="0" fillId="2" borderId="1" xfId="0" applyNumberFormat="1" applyFill="1" applyBorder="1" applyAlignment="1" applyProtection="1">
      <alignment vertical="center"/>
    </xf>
    <xf numFmtId="2" fontId="0" fillId="2" borderId="2" xfId="0" applyNumberFormat="1" applyFill="1" applyBorder="1" applyAlignment="1" applyProtection="1">
      <alignment vertical="center"/>
    </xf>
    <xf numFmtId="165" fontId="0" fillId="2" borderId="3" xfId="0" applyNumberFormat="1" applyFill="1" applyBorder="1" applyAlignment="1" applyProtection="1">
      <alignment vertical="center"/>
    </xf>
    <xf numFmtId="165" fontId="0" fillId="2" borderId="2" xfId="0" applyNumberFormat="1" applyFill="1" applyBorder="1" applyAlignment="1" applyProtection="1">
      <alignment vertical="center"/>
    </xf>
    <xf numFmtId="165" fontId="0" fillId="2" borderId="1" xfId="0" applyNumberForma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horizontal="right" vertical="center"/>
    </xf>
    <xf numFmtId="164" fontId="0" fillId="2" borderId="3" xfId="0" applyNumberFormat="1" applyFill="1" applyBorder="1" applyAlignment="1" applyProtection="1">
      <alignment vertical="center"/>
    </xf>
    <xf numFmtId="164" fontId="0" fillId="2" borderId="2" xfId="0" applyNumberFormat="1" applyFill="1" applyBorder="1" applyAlignment="1" applyProtection="1">
      <alignment vertical="center"/>
    </xf>
    <xf numFmtId="2" fontId="4" fillId="2" borderId="1" xfId="0" applyNumberFormat="1" applyFont="1" applyFill="1" applyBorder="1" applyAlignment="1" applyProtection="1">
      <alignment vertical="center"/>
    </xf>
    <xf numFmtId="0" fontId="4" fillId="2" borderId="5" xfId="0" applyFon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 vertical="center"/>
      <protection hidden="1"/>
    </xf>
    <xf numFmtId="0" fontId="0" fillId="2" borderId="7" xfId="0" applyFill="1" applyBorder="1" applyAlignment="1" applyProtection="1">
      <alignment horizontal="right" vertical="center"/>
      <protection hidden="1"/>
    </xf>
    <xf numFmtId="0" fontId="4" fillId="2" borderId="3" xfId="0" applyFont="1" applyFill="1" applyBorder="1" applyAlignment="1" applyProtection="1">
      <alignment horizontal="right" vertical="center"/>
      <protection locked="0"/>
    </xf>
    <xf numFmtId="9" fontId="0" fillId="2" borderId="2" xfId="1" applyFont="1" applyFill="1" applyBorder="1" applyAlignment="1" applyProtection="1">
      <alignment vertical="center"/>
    </xf>
    <xf numFmtId="167" fontId="0" fillId="2" borderId="2" xfId="1" applyNumberFormat="1" applyFont="1" applyFill="1" applyBorder="1" applyAlignment="1" applyProtection="1">
      <alignment vertical="center"/>
    </xf>
    <xf numFmtId="0" fontId="0" fillId="2" borderId="0" xfId="0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 applyProtection="1">
      <alignment vertical="center"/>
      <protection hidden="1"/>
    </xf>
    <xf numFmtId="2" fontId="10" fillId="2" borderId="0" xfId="0" applyNumberFormat="1" applyFont="1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 applyProtection="1">
      <alignment horizontal="right" vertical="center"/>
      <protection locked="0"/>
    </xf>
    <xf numFmtId="0" fontId="3" fillId="2" borderId="10" xfId="0" applyFont="1" applyFill="1" applyBorder="1" applyAlignment="1">
      <alignment horizontal="right" vertical="center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4" fillId="2" borderId="13" xfId="0" applyFont="1" applyFill="1" applyBorder="1" applyAlignment="1" applyProtection="1">
      <alignment vertical="center"/>
    </xf>
    <xf numFmtId="0" fontId="3" fillId="2" borderId="8" xfId="0" applyFont="1" applyFill="1" applyBorder="1" applyAlignment="1">
      <alignment vertical="center" wrapText="1"/>
    </xf>
    <xf numFmtId="0" fontId="0" fillId="2" borderId="14" xfId="0" applyFill="1" applyBorder="1" applyAlignment="1" applyProtection="1">
      <alignment horizontal="right" vertical="center"/>
    </xf>
    <xf numFmtId="0" fontId="3" fillId="2" borderId="12" xfId="0" applyFont="1" applyFill="1" applyBorder="1" applyAlignment="1">
      <alignment vertical="center" wrapText="1"/>
    </xf>
    <xf numFmtId="2" fontId="0" fillId="2" borderId="13" xfId="0" applyNumberFormat="1" applyFill="1" applyBorder="1" applyAlignment="1" applyProtection="1">
      <alignment horizontal="right" vertical="center"/>
    </xf>
    <xf numFmtId="0" fontId="0" fillId="2" borderId="14" xfId="0" applyFill="1" applyBorder="1" applyAlignment="1" applyProtection="1">
      <alignment vertical="center"/>
    </xf>
    <xf numFmtId="1" fontId="0" fillId="2" borderId="14" xfId="0" applyNumberFormat="1" applyFill="1" applyBorder="1" applyAlignment="1" applyProtection="1">
      <alignment horizontal="right" vertical="center"/>
    </xf>
    <xf numFmtId="166" fontId="0" fillId="2" borderId="13" xfId="0" applyNumberFormat="1" applyFill="1" applyBorder="1" applyAlignment="1" applyProtection="1">
      <alignment horizontal="right" vertical="center"/>
    </xf>
    <xf numFmtId="0" fontId="3" fillId="2" borderId="8" xfId="0" applyFont="1" applyFill="1" applyBorder="1" applyAlignment="1">
      <alignment vertical="center"/>
    </xf>
    <xf numFmtId="2" fontId="0" fillId="2" borderId="14" xfId="0" applyNumberFormat="1" applyFill="1" applyBorder="1" applyAlignment="1" applyProtection="1">
      <alignment horizontal="right" vertical="center"/>
    </xf>
    <xf numFmtId="2" fontId="0" fillId="2" borderId="11" xfId="0" applyNumberFormat="1" applyFill="1" applyBorder="1" applyAlignment="1" applyProtection="1">
      <alignment vertical="center"/>
    </xf>
    <xf numFmtId="165" fontId="0" fillId="2" borderId="14" xfId="0" applyNumberFormat="1" applyFill="1" applyBorder="1" applyAlignment="1" applyProtection="1">
      <alignment horizontal="right" vertical="center"/>
    </xf>
    <xf numFmtId="165" fontId="0" fillId="2" borderId="13" xfId="0" applyNumberFormat="1" applyFill="1" applyBorder="1" applyAlignment="1" applyProtection="1">
      <alignment horizontal="right" vertical="center"/>
    </xf>
    <xf numFmtId="165" fontId="0" fillId="2" borderId="11" xfId="0" applyNumberFormat="1" applyFill="1" applyBorder="1" applyAlignment="1" applyProtection="1">
      <alignment horizontal="right" vertical="center"/>
    </xf>
    <xf numFmtId="0" fontId="4" fillId="2" borderId="9" xfId="0" applyFont="1" applyFill="1" applyBorder="1" applyAlignment="1" applyProtection="1">
      <alignment horizontal="right" vertical="center"/>
    </xf>
    <xf numFmtId="0" fontId="0" fillId="2" borderId="13" xfId="0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164" fontId="0" fillId="2" borderId="14" xfId="0" applyNumberFormat="1" applyFill="1" applyBorder="1" applyAlignment="1" applyProtection="1">
      <alignment horizontal="right" vertical="center"/>
    </xf>
    <xf numFmtId="164" fontId="0" fillId="2" borderId="13" xfId="0" applyNumberFormat="1" applyFill="1" applyBorder="1" applyAlignment="1" applyProtection="1">
      <alignment horizontal="right" vertical="center"/>
    </xf>
    <xf numFmtId="0" fontId="0" fillId="2" borderId="13" xfId="0" applyFill="1" applyBorder="1" applyAlignment="1" applyProtection="1">
      <alignment horizontal="right" vertical="center"/>
    </xf>
    <xf numFmtId="2" fontId="4" fillId="2" borderId="11" xfId="0" applyNumberFormat="1" applyFont="1" applyFill="1" applyBorder="1" applyAlignment="1" applyProtection="1">
      <alignment horizontal="right" vertical="center"/>
    </xf>
    <xf numFmtId="0" fontId="3" fillId="3" borderId="15" xfId="0" applyFont="1" applyFill="1" applyBorder="1" applyAlignment="1">
      <alignment vertical="center"/>
    </xf>
    <xf numFmtId="0" fontId="3" fillId="3" borderId="16" xfId="0" applyFont="1" applyFill="1" applyBorder="1" applyAlignment="1">
      <alignment horizontal="right" vertical="center"/>
    </xf>
    <xf numFmtId="2" fontId="3" fillId="3" borderId="17" xfId="0" applyNumberFormat="1" applyFont="1" applyFill="1" applyBorder="1" applyAlignment="1" applyProtection="1">
      <alignment vertical="center"/>
    </xf>
    <xf numFmtId="2" fontId="3" fillId="3" borderId="18" xfId="0" applyNumberFormat="1" applyFont="1" applyFill="1" applyBorder="1" applyAlignment="1" applyProtection="1">
      <alignment vertical="center"/>
    </xf>
    <xf numFmtId="164" fontId="4" fillId="2" borderId="3" xfId="0" applyNumberFormat="1" applyFont="1" applyFill="1" applyBorder="1" applyAlignment="1" applyProtection="1">
      <alignment horizontal="right" vertical="center"/>
    </xf>
    <xf numFmtId="164" fontId="4" fillId="2" borderId="14" xfId="0" applyNumberFormat="1" applyFont="1" applyFill="1" applyBorder="1" applyAlignment="1" applyProtection="1">
      <alignment horizontal="right" vertical="center"/>
    </xf>
    <xf numFmtId="0" fontId="0" fillId="2" borderId="0" xfId="0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horizontal="right" vertical="center"/>
    </xf>
    <xf numFmtId="0" fontId="4" fillId="2" borderId="19" xfId="0" applyFont="1" applyFill="1" applyBorder="1" applyAlignment="1" applyProtection="1">
      <alignment horizontal="right" vertical="center"/>
    </xf>
    <xf numFmtId="0" fontId="4" fillId="2" borderId="5" xfId="0" applyFont="1" applyFill="1" applyBorder="1" applyAlignment="1" applyProtection="1">
      <alignment horizontal="right" vertical="center"/>
    </xf>
    <xf numFmtId="0" fontId="14" fillId="2" borderId="0" xfId="0" applyFont="1" applyFill="1" applyAlignment="1">
      <alignment vertical="center"/>
    </xf>
    <xf numFmtId="0" fontId="4" fillId="2" borderId="8" xfId="0" applyFont="1" applyFill="1" applyBorder="1" applyAlignment="1" applyProtection="1">
      <alignment vertical="center"/>
    </xf>
    <xf numFmtId="0" fontId="4" fillId="2" borderId="12" xfId="0" applyFont="1" applyFill="1" applyBorder="1" applyAlignment="1" applyProtection="1">
      <alignment vertical="center"/>
    </xf>
    <xf numFmtId="0" fontId="4" fillId="2" borderId="20" xfId="0" applyFont="1" applyFill="1" applyBorder="1" applyAlignment="1" applyProtection="1">
      <alignment vertical="center"/>
    </xf>
    <xf numFmtId="0" fontId="4" fillId="2" borderId="10" xfId="0" applyFont="1" applyFill="1" applyBorder="1" applyAlignment="1" applyProtection="1">
      <alignment vertical="center" wrapText="1"/>
    </xf>
    <xf numFmtId="0" fontId="4" fillId="2" borderId="12" xfId="0" applyFont="1" applyFill="1" applyBorder="1" applyAlignment="1" applyProtection="1">
      <alignment vertical="center" wrapText="1"/>
    </xf>
    <xf numFmtId="0" fontId="4" fillId="4" borderId="11" xfId="0" applyFont="1" applyFill="1" applyBorder="1" applyAlignment="1" applyProtection="1">
      <alignment vertical="center"/>
      <protection locked="0"/>
    </xf>
    <xf numFmtId="167" fontId="4" fillId="4" borderId="13" xfId="0" applyNumberFormat="1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0" fillId="7" borderId="3" xfId="0" applyFill="1" applyBorder="1" applyAlignment="1" applyProtection="1">
      <alignment vertical="center"/>
    </xf>
    <xf numFmtId="9" fontId="0" fillId="7" borderId="2" xfId="0" applyNumberFormat="1" applyFill="1" applyBorder="1" applyAlignment="1" applyProtection="1">
      <alignment vertical="center"/>
    </xf>
    <xf numFmtId="0" fontId="0" fillId="7" borderId="14" xfId="0" applyFill="1" applyBorder="1" applyAlignment="1" applyProtection="1">
      <alignment vertical="center"/>
    </xf>
    <xf numFmtId="9" fontId="16" fillId="7" borderId="13" xfId="1" applyFont="1" applyFill="1" applyBorder="1" applyAlignment="1" applyProtection="1">
      <alignment vertical="center"/>
    </xf>
    <xf numFmtId="2" fontId="0" fillId="8" borderId="3" xfId="0" applyNumberFormat="1" applyFill="1" applyBorder="1" applyAlignment="1" applyProtection="1">
      <alignment vertical="center"/>
    </xf>
    <xf numFmtId="2" fontId="0" fillId="8" borderId="2" xfId="0" applyNumberFormat="1" applyFill="1" applyBorder="1" applyAlignment="1" applyProtection="1">
      <alignment vertical="center"/>
    </xf>
    <xf numFmtId="2" fontId="0" fillId="9" borderId="2" xfId="0" applyNumberFormat="1" applyFill="1" applyBorder="1" applyAlignment="1" applyProtection="1">
      <alignment vertical="center"/>
    </xf>
    <xf numFmtId="0" fontId="4" fillId="2" borderId="1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vertical="center"/>
    </xf>
    <xf numFmtId="0" fontId="4" fillId="2" borderId="27" xfId="0" applyFont="1" applyFill="1" applyBorder="1" applyAlignment="1" applyProtection="1">
      <alignment horizontal="right" vertical="center"/>
    </xf>
    <xf numFmtId="0" fontId="4" fillId="0" borderId="0" xfId="0" applyFont="1" applyAlignment="1">
      <alignment vertical="center"/>
    </xf>
    <xf numFmtId="2" fontId="0" fillId="9" borderId="13" xfId="0" applyNumberFormat="1" applyFill="1" applyBorder="1" applyAlignment="1" applyProtection="1">
      <alignment vertical="center"/>
    </xf>
    <xf numFmtId="0" fontId="0" fillId="5" borderId="2" xfId="0" applyFill="1" applyBorder="1" applyAlignment="1" applyProtection="1">
      <alignment vertical="center"/>
    </xf>
    <xf numFmtId="0" fontId="3" fillId="0" borderId="0" xfId="0" applyFont="1" applyAlignment="1">
      <alignment vertical="center"/>
    </xf>
    <xf numFmtId="1" fontId="0" fillId="5" borderId="3" xfId="0" applyNumberFormat="1" applyFill="1" applyBorder="1" applyAlignment="1" applyProtection="1">
      <alignment vertical="center"/>
    </xf>
    <xf numFmtId="0" fontId="3" fillId="8" borderId="10" xfId="0" applyFont="1" applyFill="1" applyBorder="1" applyAlignment="1">
      <alignment horizontal="left" vertical="center"/>
    </xf>
    <xf numFmtId="0" fontId="2" fillId="8" borderId="0" xfId="0" applyFont="1" applyFill="1" applyBorder="1" applyAlignment="1">
      <alignment horizontal="right" vertical="center"/>
    </xf>
    <xf numFmtId="0" fontId="2" fillId="8" borderId="1" xfId="0" applyFont="1" applyFill="1" applyBorder="1" applyAlignment="1">
      <alignment horizontal="right" vertical="center"/>
    </xf>
    <xf numFmtId="0" fontId="2" fillId="8" borderId="21" xfId="0" applyFont="1" applyFill="1" applyBorder="1" applyAlignment="1">
      <alignment horizontal="right" vertical="center"/>
    </xf>
    <xf numFmtId="0" fontId="14" fillId="3" borderId="29" xfId="0" applyFont="1" applyFill="1" applyBorder="1" applyAlignment="1">
      <alignment horizontal="left" vertical="center"/>
    </xf>
    <xf numFmtId="0" fontId="0" fillId="3" borderId="30" xfId="0" applyFill="1" applyBorder="1" applyAlignment="1">
      <alignment vertical="center"/>
    </xf>
    <xf numFmtId="0" fontId="14" fillId="3" borderId="31" xfId="0" applyFont="1" applyFill="1" applyBorder="1" applyAlignment="1">
      <alignment horizontal="right" vertical="center"/>
    </xf>
    <xf numFmtId="0" fontId="14" fillId="3" borderId="32" xfId="0" applyFont="1" applyFill="1" applyBorder="1" applyAlignment="1">
      <alignment horizontal="right" vertical="center"/>
    </xf>
    <xf numFmtId="0" fontId="0" fillId="7" borderId="28" xfId="0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2" fontId="3" fillId="2" borderId="14" xfId="0" applyNumberFormat="1" applyFont="1" applyFill="1" applyBorder="1" applyAlignment="1" applyProtection="1">
      <alignment vertical="center"/>
    </xf>
    <xf numFmtId="2" fontId="3" fillId="2" borderId="13" xfId="0" applyNumberFormat="1" applyFont="1" applyFill="1" applyBorder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0" fillId="2" borderId="10" xfId="0" applyFill="1" applyBorder="1" applyAlignment="1" applyProtection="1">
      <alignment vertical="center"/>
    </xf>
    <xf numFmtId="168" fontId="4" fillId="2" borderId="0" xfId="0" applyNumberFormat="1" applyFont="1" applyFill="1" applyBorder="1" applyAlignment="1" applyProtection="1">
      <alignment vertical="center"/>
    </xf>
    <xf numFmtId="168" fontId="0" fillId="2" borderId="0" xfId="0" applyNumberFormat="1" applyFill="1" applyBorder="1" applyAlignment="1" applyProtection="1">
      <alignment vertical="center"/>
    </xf>
    <xf numFmtId="168" fontId="2" fillId="2" borderId="0" xfId="0" applyNumberFormat="1" applyFont="1" applyFill="1" applyBorder="1" applyAlignment="1" applyProtection="1">
      <alignment vertical="center"/>
    </xf>
    <xf numFmtId="0" fontId="2" fillId="0" borderId="0" xfId="0" applyFont="1" applyFill="1" applyAlignment="1">
      <alignment vertical="center"/>
    </xf>
    <xf numFmtId="1" fontId="4" fillId="10" borderId="0" xfId="0" applyNumberFormat="1" applyFont="1" applyFill="1" applyAlignment="1">
      <alignment vertical="center"/>
    </xf>
    <xf numFmtId="1" fontId="0" fillId="10" borderId="0" xfId="0" applyNumberFormat="1" applyFill="1" applyAlignment="1">
      <alignment vertical="center"/>
    </xf>
    <xf numFmtId="169" fontId="0" fillId="0" borderId="0" xfId="0" applyNumberFormat="1"/>
    <xf numFmtId="2" fontId="0" fillId="8" borderId="0" xfId="0" applyNumberFormat="1" applyFill="1" applyAlignment="1">
      <alignment vertical="center"/>
    </xf>
    <xf numFmtId="2" fontId="0" fillId="0" borderId="0" xfId="0" applyNumberFormat="1" applyFill="1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NumberFormat="1"/>
    <xf numFmtId="0" fontId="14" fillId="2" borderId="0" xfId="0" applyFont="1" applyFill="1" applyAlignment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6" borderId="10" xfId="0" applyFont="1" applyFill="1" applyBorder="1" applyAlignment="1" applyProtection="1">
      <alignment horizontal="center" vertical="center" wrapText="1"/>
    </xf>
    <xf numFmtId="0" fontId="3" fillId="6" borderId="0" xfId="0" applyFont="1" applyFill="1" applyBorder="1" applyAlignment="1" applyProtection="1">
      <alignment horizontal="center" vertical="center" wrapText="1"/>
    </xf>
    <xf numFmtId="0" fontId="3" fillId="6" borderId="21" xfId="0" applyFont="1" applyFill="1" applyBorder="1" applyAlignment="1" applyProtection="1">
      <alignment horizontal="center" vertical="center" wrapText="1"/>
    </xf>
    <xf numFmtId="0" fontId="3" fillId="6" borderId="15" xfId="0" applyFont="1" applyFill="1" applyBorder="1" applyAlignment="1" applyProtection="1">
      <alignment horizontal="center" vertical="center" wrapText="1"/>
    </xf>
    <xf numFmtId="0" fontId="3" fillId="6" borderId="22" xfId="0" applyFont="1" applyFill="1" applyBorder="1" applyAlignment="1" applyProtection="1">
      <alignment horizontal="center" vertical="center" wrapText="1"/>
    </xf>
    <xf numFmtId="0" fontId="3" fillId="6" borderId="23" xfId="0" applyFont="1" applyFill="1" applyBorder="1" applyAlignment="1" applyProtection="1">
      <alignment horizontal="center" vertical="center" wrapText="1"/>
    </xf>
    <xf numFmtId="0" fontId="4" fillId="2" borderId="24" xfId="0" applyFont="1" applyFill="1" applyBorder="1" applyAlignment="1" applyProtection="1">
      <alignment horizontal="left" vertical="center"/>
    </xf>
    <xf numFmtId="0" fontId="4" fillId="2" borderId="25" xfId="0" applyFont="1" applyFill="1" applyBorder="1" applyAlignment="1" applyProtection="1">
      <alignment horizontal="left" vertical="center"/>
    </xf>
    <xf numFmtId="0" fontId="10" fillId="2" borderId="0" xfId="0" applyNumberFormat="1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 vertical="center"/>
    </xf>
  </cellXfs>
  <cellStyles count="3">
    <cellStyle name="Normal 2" xfId="2"/>
    <cellStyle name="Procent" xfId="1" builtinId="5"/>
    <cellStyle name="Standaard" xfId="0" builtinId="0"/>
  </cellStyles>
  <dxfs count="3"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rgb="FFFF9900"/>
        </patternFill>
      </fill>
    </dxf>
  </dxfs>
  <tableStyles count="0" defaultTableStyle="TableStyleMedium2" defaultPivotStyle="PivotStyleLight16"/>
  <colors>
    <mruColors>
      <color rgb="FFFF99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F1048576"/>
  <sheetViews>
    <sheetView tabSelected="1" workbookViewId="0">
      <selection activeCell="D7" sqref="D7"/>
    </sheetView>
  </sheetViews>
  <sheetFormatPr defaultColWidth="0" defaultRowHeight="15.95" customHeight="1" zeroHeight="1" x14ac:dyDescent="0.2"/>
  <cols>
    <col min="1" max="1" width="2.5703125" style="72" customWidth="1"/>
    <col min="2" max="2" width="27.140625" style="72" customWidth="1"/>
    <col min="3" max="3" width="29.140625" style="72" bestFit="1" customWidth="1"/>
    <col min="4" max="4" width="13.5703125" style="72" customWidth="1"/>
    <col min="5" max="5" width="2.7109375" style="72" customWidth="1"/>
    <col min="6" max="16384" width="9.140625" style="72" hidden="1"/>
  </cols>
  <sheetData>
    <row r="1" spans="2:6" ht="15.95" customHeight="1" x14ac:dyDescent="0.2"/>
    <row r="2" spans="2:6" ht="31.5" customHeight="1" x14ac:dyDescent="0.2">
      <c r="B2" s="129" t="s">
        <v>65</v>
      </c>
      <c r="C2" s="129"/>
      <c r="D2" s="129"/>
      <c r="F2" s="78"/>
    </row>
    <row r="3" spans="2:6" ht="15.95" customHeight="1" thickBot="1" x14ac:dyDescent="0.25"/>
    <row r="4" spans="2:6" ht="15.95" customHeight="1" x14ac:dyDescent="0.2">
      <c r="B4" s="96"/>
      <c r="C4" s="97" t="s">
        <v>53</v>
      </c>
      <c r="D4" s="111">
        <v>2026</v>
      </c>
    </row>
    <row r="5" spans="2:6" ht="15.95" customHeight="1" x14ac:dyDescent="0.2">
      <c r="B5" s="94" t="s">
        <v>44</v>
      </c>
      <c r="C5" s="95"/>
      <c r="D5" s="41"/>
    </row>
    <row r="6" spans="2:6" ht="15.95" customHeight="1" x14ac:dyDescent="0.2">
      <c r="B6" s="82"/>
      <c r="C6" s="75" t="s">
        <v>48</v>
      </c>
      <c r="D6" s="84">
        <v>500</v>
      </c>
    </row>
    <row r="7" spans="2:6" ht="15.95" customHeight="1" x14ac:dyDescent="0.2">
      <c r="B7" s="83"/>
      <c r="C7" s="76" t="s">
        <v>39</v>
      </c>
      <c r="D7" s="85">
        <v>0.04</v>
      </c>
    </row>
    <row r="8" spans="2:6" ht="15.95" customHeight="1" x14ac:dyDescent="0.2">
      <c r="B8" s="79" t="s">
        <v>40</v>
      </c>
      <c r="C8" s="77" t="s">
        <v>41</v>
      </c>
      <c r="D8" s="114">
        <f>Berekening!D42</f>
        <v>0.39604411274014595</v>
      </c>
    </row>
    <row r="9" spans="2:6" ht="15.95" customHeight="1" x14ac:dyDescent="0.2">
      <c r="B9" s="80"/>
      <c r="C9" s="76" t="s">
        <v>42</v>
      </c>
      <c r="D9" s="115">
        <f>Berekening!E42</f>
        <v>5.6820412929205234E-2</v>
      </c>
    </row>
    <row r="10" spans="2:6" ht="15.95" customHeight="1" x14ac:dyDescent="0.2">
      <c r="B10" s="139" t="s">
        <v>43</v>
      </c>
      <c r="C10" s="140"/>
      <c r="D10" s="81">
        <v>1.2</v>
      </c>
      <c r="E10" s="117"/>
      <c r="F10" s="118" t="s">
        <v>46</v>
      </c>
    </row>
    <row r="11" spans="2:6" ht="15.95" customHeight="1" x14ac:dyDescent="0.2">
      <c r="B11" s="130" t="s">
        <v>45</v>
      </c>
      <c r="C11" s="131"/>
      <c r="D11" s="132"/>
      <c r="E11" s="117"/>
      <c r="F11" s="119" t="str">
        <f>"nader onderzoek noodzakelijk"</f>
        <v>nader onderzoek noodzakelijk</v>
      </c>
    </row>
    <row r="12" spans="2:6" ht="15.95" customHeight="1" x14ac:dyDescent="0.2">
      <c r="B12" s="133" t="str">
        <f>IF(AND(D8&lt;=D10,D9&lt;=D10),F12,F10)</f>
        <v>De bijdrage van het extra verkeer is niet-in-betekenende-mate;</v>
      </c>
      <c r="C12" s="134"/>
      <c r="D12" s="135"/>
      <c r="E12" s="117"/>
      <c r="F12" s="120" t="s">
        <v>58</v>
      </c>
    </row>
    <row r="13" spans="2:6" ht="15.95" customHeight="1" thickBot="1" x14ac:dyDescent="0.25">
      <c r="B13" s="136" t="str">
        <f>IF(AND(D8&lt;=D10,D9&lt;=D10),F13,F11)</f>
        <v>geen nader onderzoek nodig</v>
      </c>
      <c r="C13" s="137"/>
      <c r="D13" s="138"/>
      <c r="E13" s="117"/>
      <c r="F13" s="119" t="s">
        <v>47</v>
      </c>
    </row>
    <row r="14" spans="2:6" ht="15.95" customHeight="1" x14ac:dyDescent="0.2">
      <c r="B14" s="73"/>
      <c r="D14" s="74"/>
    </row>
    <row r="15" spans="2:6" ht="15.95" hidden="1" customHeight="1" x14ac:dyDescent="0.2">
      <c r="D15" s="74"/>
    </row>
    <row r="1048576" ht="15.4" hidden="1" customHeight="1" x14ac:dyDescent="0.2"/>
  </sheetData>
  <sheetProtection password="8F37" sheet="1" formatCells="0" formatColumns="0" formatRows="0" insertColumns="0" insertRows="0" insertHyperlinks="0" deleteColumns="0" deleteRows="0" sort="0" autoFilter="0" pivotTables="0"/>
  <mergeCells count="5">
    <mergeCell ref="B2:D2"/>
    <mergeCell ref="B11:D11"/>
    <mergeCell ref="B12:D12"/>
    <mergeCell ref="B13:D13"/>
    <mergeCell ref="B10:C10"/>
  </mergeCells>
  <phoneticPr fontId="0" type="noConversion"/>
  <conditionalFormatting sqref="D8">
    <cfRule type="cellIs" dxfId="2" priority="1" operator="greaterThan">
      <formula>1.2</formula>
    </cfRule>
  </conditionalFormatting>
  <conditionalFormatting sqref="B12:D12">
    <cfRule type="cellIs" dxfId="1" priority="4" stopIfTrue="1" operator="equal">
      <formula>$F$10</formula>
    </cfRule>
  </conditionalFormatting>
  <conditionalFormatting sqref="B13:D13 D8">
    <cfRule type="cellIs" dxfId="0" priority="5" stopIfTrue="1" operator="equal">
      <formula>$F$11</formula>
    </cfRule>
  </conditionalFormatting>
  <dataValidations count="1">
    <dataValidation type="decimal" showInputMessage="1" showErrorMessage="1" errorTitle="Aandeel vrachtverkeer" error="Percentage tussen 0.0% en 100.0%_x000a_(ook % teken invoeren)" promptTitle="Aandeel vrachtverkeer" sqref="D7">
      <formula1>0</formula1>
      <formula2>1</formula2>
    </dataValidation>
  </dataValidations>
  <pageMargins left="0.75" right="0.75" top="1" bottom="1" header="0.5" footer="0.5"/>
  <pageSetup paperSize="9" scale="54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Jaar van realisatie" prompt="Kies het jaar waarin het plan gerealiseerd zal worden.">
          <x14:formula1>
            <xm:f>Berekening!$I$4:$T$4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A44"/>
  <sheetViews>
    <sheetView topLeftCell="C1" zoomScaleNormal="100" workbookViewId="0">
      <selection activeCell="D13" sqref="D13"/>
    </sheetView>
  </sheetViews>
  <sheetFormatPr defaultColWidth="5.7109375" defaultRowHeight="0" customHeight="1" zeroHeight="1" x14ac:dyDescent="0.2"/>
  <cols>
    <col min="1" max="1" width="2.7109375" style="1" customWidth="1"/>
    <col min="2" max="2" width="41.5703125" style="1" bestFit="1" customWidth="1"/>
    <col min="3" max="3" width="43.85546875" style="1" customWidth="1"/>
    <col min="4" max="4" width="12.7109375" style="1" customWidth="1"/>
    <col min="5" max="5" width="14.140625" style="1" customWidth="1"/>
    <col min="6" max="6" width="8.85546875" style="1" customWidth="1"/>
    <col min="7" max="7" width="6.140625" style="1" hidden="1" customWidth="1"/>
    <col min="8" max="8" width="6.7109375" style="1" hidden="1" customWidth="1"/>
    <col min="9" max="9" width="9" style="1" hidden="1" customWidth="1"/>
    <col min="10" max="32" width="6.7109375" style="1" hidden="1" customWidth="1"/>
    <col min="33" max="53" width="5.7109375" style="1" hidden="1" customWidth="1"/>
    <col min="54" max="16383" width="5.7109375" style="1" customWidth="1"/>
    <col min="16384" max="16384" width="5.7109375" style="1"/>
  </cols>
  <sheetData>
    <row r="1" spans="1:32" ht="12.75" x14ac:dyDescent="0.2">
      <c r="A1" s="30"/>
      <c r="B1" s="30"/>
      <c r="C1" s="30"/>
      <c r="D1" s="30"/>
      <c r="E1" s="30"/>
    </row>
    <row r="2" spans="1:32" ht="21" customHeight="1" x14ac:dyDescent="0.2">
      <c r="A2" s="30"/>
      <c r="B2" s="145" t="s">
        <v>61</v>
      </c>
      <c r="C2" s="145"/>
      <c r="D2" s="145"/>
      <c r="E2" s="145"/>
      <c r="F2" s="30"/>
      <c r="I2" s="101"/>
      <c r="J2" s="101"/>
      <c r="K2" s="101"/>
    </row>
    <row r="3" spans="1:32" ht="15.95" customHeight="1" thickBot="1" x14ac:dyDescent="0.25">
      <c r="A3" s="30"/>
      <c r="B3" s="36"/>
      <c r="C3" s="30"/>
      <c r="D3" s="30"/>
      <c r="E3" s="30"/>
      <c r="F3" s="30"/>
      <c r="I3" s="112" t="s">
        <v>54</v>
      </c>
      <c r="J3" s="112"/>
      <c r="K3" s="112"/>
      <c r="U3" s="98" t="s">
        <v>55</v>
      </c>
    </row>
    <row r="4" spans="1:32" ht="19.5" thickBot="1" x14ac:dyDescent="0.25">
      <c r="A4" s="30"/>
      <c r="B4" s="107" t="s">
        <v>38</v>
      </c>
      <c r="C4" s="108"/>
      <c r="D4" s="109" t="s">
        <v>31</v>
      </c>
      <c r="E4" s="110" t="s">
        <v>32</v>
      </c>
      <c r="F4" s="31"/>
      <c r="H4" s="101" t="s">
        <v>56</v>
      </c>
      <c r="I4" s="1">
        <v>2019</v>
      </c>
      <c r="J4" s="1">
        <v>2020</v>
      </c>
      <c r="K4" s="1">
        <v>2021</v>
      </c>
      <c r="L4" s="1">
        <v>2022</v>
      </c>
      <c r="M4" s="1">
        <v>2023</v>
      </c>
      <c r="N4" s="1">
        <v>2024</v>
      </c>
      <c r="O4" s="1">
        <v>2025</v>
      </c>
      <c r="P4" s="1">
        <v>2026</v>
      </c>
      <c r="Q4" s="1">
        <v>2027</v>
      </c>
      <c r="R4" s="1">
        <v>2028</v>
      </c>
      <c r="S4" s="1">
        <v>2029</v>
      </c>
      <c r="T4" s="1">
        <v>2030</v>
      </c>
      <c r="U4" s="1">
        <v>2019</v>
      </c>
      <c r="V4" s="1">
        <v>2020</v>
      </c>
      <c r="W4" s="1">
        <v>2021</v>
      </c>
      <c r="X4" s="1">
        <v>2022</v>
      </c>
      <c r="Y4" s="1">
        <v>2023</v>
      </c>
      <c r="Z4" s="1">
        <v>2024</v>
      </c>
      <c r="AA4" s="1">
        <v>2025</v>
      </c>
      <c r="AB4" s="1">
        <v>2026</v>
      </c>
      <c r="AC4" s="1">
        <v>2027</v>
      </c>
      <c r="AD4" s="1">
        <v>2028</v>
      </c>
      <c r="AE4" s="1">
        <v>2029</v>
      </c>
      <c r="AF4" s="1">
        <v>2030</v>
      </c>
    </row>
    <row r="5" spans="1:32" ht="18" x14ac:dyDescent="0.2">
      <c r="A5" s="30"/>
      <c r="B5" s="103" t="s">
        <v>57</v>
      </c>
      <c r="C5" s="104" t="s">
        <v>53</v>
      </c>
      <c r="D5" s="105">
        <f>+'Invoer en conclusie'!D4</f>
        <v>2026</v>
      </c>
      <c r="E5" s="106">
        <f>+'Invoer en conclusie'!D4</f>
        <v>2026</v>
      </c>
      <c r="F5" s="31"/>
      <c r="H5" s="101"/>
    </row>
    <row r="6" spans="1:32" ht="15.95" customHeight="1" x14ac:dyDescent="0.2">
      <c r="A6" s="30"/>
      <c r="B6" s="37" t="s">
        <v>10</v>
      </c>
      <c r="C6" s="20" t="s">
        <v>16</v>
      </c>
      <c r="D6" s="27">
        <v>5</v>
      </c>
      <c r="E6" s="38">
        <f>D6</f>
        <v>5</v>
      </c>
      <c r="F6" s="32"/>
    </row>
    <row r="7" spans="1:32" ht="15.95" customHeight="1" x14ac:dyDescent="0.2">
      <c r="A7" s="30"/>
      <c r="B7" s="39"/>
      <c r="C7" s="21" t="s">
        <v>17</v>
      </c>
      <c r="D7" s="4">
        <v>5</v>
      </c>
      <c r="E7" s="40">
        <f>D7</f>
        <v>5</v>
      </c>
      <c r="F7" s="144"/>
    </row>
    <row r="8" spans="1:32" ht="15.95" customHeight="1" x14ac:dyDescent="0.2">
      <c r="A8" s="30"/>
      <c r="B8" s="39"/>
      <c r="C8" s="21" t="s">
        <v>18</v>
      </c>
      <c r="D8" s="7">
        <f>0.5*D6+D7</f>
        <v>7.5</v>
      </c>
      <c r="E8" s="41">
        <f>0.5*E6+E7</f>
        <v>7.5</v>
      </c>
      <c r="F8" s="144"/>
    </row>
    <row r="9" spans="1:32" ht="15.95" customHeight="1" x14ac:dyDescent="0.2">
      <c r="A9" s="30"/>
      <c r="B9" s="42"/>
      <c r="C9" s="23" t="s">
        <v>26</v>
      </c>
      <c r="D9" s="7">
        <f>4.88*POWER(10,-4)</f>
        <v>4.8799999999999999E-4</v>
      </c>
      <c r="E9" s="41">
        <f>4.88*POWER(10,-4)</f>
        <v>4.8799999999999999E-4</v>
      </c>
      <c r="F9" s="32"/>
    </row>
    <row r="10" spans="1:32" ht="15.95" customHeight="1" x14ac:dyDescent="0.2">
      <c r="A10" s="30"/>
      <c r="B10" s="42"/>
      <c r="C10" s="23" t="s">
        <v>27</v>
      </c>
      <c r="D10" s="7">
        <f>-3.08*POWER(10,-2)</f>
        <v>-3.0800000000000001E-2</v>
      </c>
      <c r="E10" s="41">
        <f>-3.08*POWER(10,-2)</f>
        <v>-3.0800000000000001E-2</v>
      </c>
      <c r="F10" s="32"/>
    </row>
    <row r="11" spans="1:32" ht="15.95" customHeight="1" x14ac:dyDescent="0.2">
      <c r="A11" s="30"/>
      <c r="B11" s="42"/>
      <c r="C11" s="23" t="s">
        <v>28</v>
      </c>
      <c r="D11" s="7">
        <v>0.59</v>
      </c>
      <c r="E11" s="41">
        <v>0.59</v>
      </c>
      <c r="F11" s="32"/>
      <c r="H11" s="1" t="s">
        <v>63</v>
      </c>
      <c r="I11" s="122">
        <v>16162.117767231053</v>
      </c>
      <c r="J11" s="122">
        <v>21684.563066187558</v>
      </c>
      <c r="K11" s="122">
        <v>22050.437045396691</v>
      </c>
      <c r="L11" s="123">
        <v>25761.478386015249</v>
      </c>
      <c r="M11" s="123">
        <v>18379</v>
      </c>
      <c r="N11" s="123">
        <v>19552</v>
      </c>
      <c r="O11" s="123">
        <v>27997</v>
      </c>
      <c r="P11" s="123">
        <v>28471</v>
      </c>
      <c r="Q11" s="123">
        <v>29023</v>
      </c>
      <c r="R11" s="123">
        <v>29599</v>
      </c>
      <c r="S11" s="123">
        <v>30276</v>
      </c>
      <c r="T11" s="123">
        <v>38887</v>
      </c>
    </row>
    <row r="12" spans="1:32" ht="15.95" customHeight="1" x14ac:dyDescent="0.2">
      <c r="A12" s="30"/>
      <c r="B12" s="43"/>
      <c r="C12" s="24" t="s">
        <v>19</v>
      </c>
      <c r="D12" s="8">
        <f>D9*D8*D8+D10*D8+D11</f>
        <v>0.38644999999999996</v>
      </c>
      <c r="E12" s="44">
        <f>E9*E8*E8+E10*E8+E11</f>
        <v>0.38644999999999996</v>
      </c>
      <c r="F12" s="32"/>
      <c r="H12" s="112" t="s">
        <v>60</v>
      </c>
    </row>
    <row r="13" spans="1:32" ht="15.95" customHeight="1" x14ac:dyDescent="0.2">
      <c r="A13" s="30"/>
      <c r="B13" s="45" t="s">
        <v>2</v>
      </c>
      <c r="C13" s="22" t="s">
        <v>49</v>
      </c>
      <c r="D13" s="102">
        <f>HLOOKUP('Invoer en conclusie'!$D$4,Berekening!$I$4:$T$42,ROW()-ROW(I$3),FALSE)</f>
        <v>40094.397963595533</v>
      </c>
      <c r="E13" s="46" t="s">
        <v>9</v>
      </c>
      <c r="F13" s="141"/>
      <c r="G13" s="1">
        <f>HLOOKUP('Invoer en conclusie'!$D$4,Berekening!$I$4:$T$42,ROW()-ROW(I$3),FALSE)</f>
        <v>40094.397963595533</v>
      </c>
      <c r="H13" s="1" t="s">
        <v>64</v>
      </c>
      <c r="I13" s="122">
        <v>13912.986489012012</v>
      </c>
      <c r="J13" s="122">
        <v>18880.957699055252</v>
      </c>
      <c r="K13" s="122">
        <v>19432.297310676531</v>
      </c>
      <c r="L13" s="123">
        <v>17335.252333113236</v>
      </c>
      <c r="M13" s="123">
        <v>22387.183851944963</v>
      </c>
      <c r="N13" s="123">
        <v>24841.981695055052</v>
      </c>
      <c r="O13" s="123">
        <v>36954.200394080639</v>
      </c>
      <c r="P13" s="123">
        <v>40094.397963595533</v>
      </c>
      <c r="Q13" s="123">
        <v>43823.834784754763</v>
      </c>
      <c r="R13" s="123">
        <v>48399.211510235938</v>
      </c>
      <c r="S13" s="123">
        <v>53952.292115851196</v>
      </c>
      <c r="T13" s="123">
        <v>74677.388930613437</v>
      </c>
    </row>
    <row r="14" spans="1:32" ht="15.95" customHeight="1" x14ac:dyDescent="0.2">
      <c r="A14" s="30"/>
      <c r="B14" s="47"/>
      <c r="C14" s="24" t="s">
        <v>30</v>
      </c>
      <c r="D14" s="28">
        <v>0</v>
      </c>
      <c r="E14" s="48" t="s">
        <v>9</v>
      </c>
      <c r="F14" s="142"/>
      <c r="G14" s="127"/>
      <c r="H14" s="112" t="s">
        <v>59</v>
      </c>
      <c r="I14" s="116"/>
      <c r="J14" s="116"/>
      <c r="K14" s="116"/>
      <c r="L14" s="113"/>
      <c r="M14" s="113"/>
      <c r="N14" s="113"/>
      <c r="O14" s="113"/>
      <c r="P14" s="113"/>
      <c r="Q14" s="113"/>
      <c r="R14" s="113"/>
      <c r="S14" s="113"/>
      <c r="T14" s="113"/>
      <c r="U14" s="121"/>
    </row>
    <row r="15" spans="1:32" ht="15.95" customHeight="1" x14ac:dyDescent="0.2">
      <c r="A15" s="30"/>
      <c r="B15" s="45" t="s">
        <v>0</v>
      </c>
      <c r="C15" s="22" t="s">
        <v>50</v>
      </c>
      <c r="D15" s="87">
        <f>'Invoer en conclusie'!D6</f>
        <v>500</v>
      </c>
      <c r="E15" s="89">
        <f>D15</f>
        <v>500</v>
      </c>
      <c r="F15" s="32"/>
      <c r="I15" s="116"/>
      <c r="J15" s="116"/>
      <c r="K15" s="116"/>
      <c r="L15" s="113"/>
      <c r="M15" s="113"/>
      <c r="N15" s="113"/>
      <c r="O15" s="113"/>
      <c r="P15" s="113"/>
      <c r="Q15" s="113"/>
      <c r="R15" s="113"/>
      <c r="S15" s="113"/>
      <c r="T15" s="113"/>
      <c r="U15" s="113"/>
    </row>
    <row r="16" spans="1:32" ht="15.95" customHeight="1" x14ac:dyDescent="0.2">
      <c r="A16" s="30"/>
      <c r="B16" s="47"/>
      <c r="C16" s="24" t="s">
        <v>30</v>
      </c>
      <c r="D16" s="88">
        <f>'Invoer en conclusie'!D7</f>
        <v>0.04</v>
      </c>
      <c r="E16" s="90">
        <f>D16</f>
        <v>0.04</v>
      </c>
      <c r="F16" s="32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</row>
    <row r="17" spans="1:32" ht="15.95" customHeight="1" x14ac:dyDescent="0.2">
      <c r="A17" s="30"/>
      <c r="B17" s="45" t="s">
        <v>1</v>
      </c>
      <c r="C17" s="22" t="str">
        <f>C15</f>
        <v>Aantal voertuigbewegingen (weekdaggemiddelde)</v>
      </c>
      <c r="D17" s="9">
        <f>D13+D15</f>
        <v>40594.397963595533</v>
      </c>
      <c r="E17" s="50" t="s">
        <v>9</v>
      </c>
      <c r="F17" s="32"/>
    </row>
    <row r="18" spans="1:32" ht="15.95" customHeight="1" x14ac:dyDescent="0.2">
      <c r="A18" s="30"/>
      <c r="B18" s="47"/>
      <c r="C18" s="24" t="str">
        <f>C16</f>
        <v>Percentage vrachtverkeer</v>
      </c>
      <c r="D18" s="29">
        <f>(D14*D13+D16*D15)/D17</f>
        <v>4.9267881784909604E-4</v>
      </c>
      <c r="E18" s="51" t="s">
        <v>9</v>
      </c>
      <c r="F18" s="32"/>
      <c r="H18" s="112" t="s">
        <v>66</v>
      </c>
    </row>
    <row r="19" spans="1:32" ht="15.95" customHeight="1" x14ac:dyDescent="0.2">
      <c r="A19" s="30"/>
      <c r="B19" s="52" t="s">
        <v>11</v>
      </c>
      <c r="C19" s="22" t="s">
        <v>20</v>
      </c>
      <c r="D19" s="86">
        <f>HLOOKUP('Invoer en conclusie'!$D$4,Berekening!$I$4:$T$42,ROW()-ROW(I$3),FALSE)</f>
        <v>0.32879999999999998</v>
      </c>
      <c r="E19" s="86">
        <f>HLOOKUP('Invoer en conclusie'!$D$4,Berekening!$U$4:$AF$42,ROW()-ROW(U$3),FALSE)</f>
        <v>1.8599999999999998E-2</v>
      </c>
      <c r="F19" s="32"/>
      <c r="I19" s="124"/>
      <c r="J19" s="124"/>
      <c r="K19" s="124"/>
      <c r="L19" s="124"/>
      <c r="M19" s="128">
        <v>0.43609999999999999</v>
      </c>
      <c r="N19" s="128">
        <v>0.39460000000000001</v>
      </c>
      <c r="O19" s="128">
        <v>0.35320000000000001</v>
      </c>
      <c r="P19" s="128">
        <v>0.32879999999999998</v>
      </c>
      <c r="Q19" s="128">
        <v>0.3044</v>
      </c>
      <c r="R19" s="128">
        <v>0.28000000000000003</v>
      </c>
      <c r="S19" s="128">
        <v>0.25559999999999999</v>
      </c>
      <c r="T19" s="128">
        <v>0.23119999999999999</v>
      </c>
      <c r="U19" s="124"/>
      <c r="V19" s="124"/>
      <c r="W19" s="124"/>
      <c r="X19" s="124"/>
      <c r="Y19" s="128">
        <v>1.95E-2</v>
      </c>
      <c r="Z19" s="128">
        <v>1.9099999999999999E-2</v>
      </c>
      <c r="AA19" s="128">
        <v>1.8800000000000001E-2</v>
      </c>
      <c r="AB19" s="128">
        <v>1.8599999999999998E-2</v>
      </c>
      <c r="AC19" s="128">
        <v>1.84E-2</v>
      </c>
      <c r="AD19" s="128">
        <v>1.8100000000000002E-2</v>
      </c>
      <c r="AE19" s="128">
        <v>1.7899999999999999E-2</v>
      </c>
      <c r="AF19" s="128">
        <v>1.77E-2</v>
      </c>
    </row>
    <row r="20" spans="1:32" ht="15.95" customHeight="1" x14ac:dyDescent="0.2">
      <c r="A20" s="30"/>
      <c r="B20" s="43"/>
      <c r="C20" s="24" t="s">
        <v>21</v>
      </c>
      <c r="D20" s="100">
        <f>HLOOKUP('Invoer en conclusie'!$D$4,Berekening!$I$4:$T$42,ROW()-ROW(I$3),FALSE)</f>
        <v>7.5860000000000003</v>
      </c>
      <c r="E20" s="100">
        <f>HLOOKUP('Invoer en conclusie'!$D$4,Berekening!$U$4:$AF$42,ROW()-ROW(U$3),FALSE)</f>
        <v>0.14369999999999999</v>
      </c>
      <c r="F20" s="32"/>
      <c r="I20" s="124"/>
      <c r="J20" s="124"/>
      <c r="K20" s="124"/>
      <c r="L20" s="124"/>
      <c r="M20" s="128">
        <v>7.4325000000000001</v>
      </c>
      <c r="N20" s="128">
        <v>7.5698999999999996</v>
      </c>
      <c r="O20" s="128">
        <v>7.7072000000000003</v>
      </c>
      <c r="P20" s="128">
        <v>7.5860000000000003</v>
      </c>
      <c r="Q20" s="128">
        <v>7.4648000000000003</v>
      </c>
      <c r="R20" s="128">
        <v>7.3434999999999997</v>
      </c>
      <c r="S20" s="128">
        <v>7.2222999999999997</v>
      </c>
      <c r="T20" s="128">
        <v>7.1010999999999997</v>
      </c>
      <c r="U20" s="124"/>
      <c r="V20" s="124"/>
      <c r="W20" s="124"/>
      <c r="X20" s="124"/>
      <c r="Y20" s="128">
        <v>0.15079999999999999</v>
      </c>
      <c r="Z20" s="128">
        <v>0.14760000000000001</v>
      </c>
      <c r="AA20" s="128">
        <v>0.1444</v>
      </c>
      <c r="AB20" s="128">
        <v>0.14369999999999999</v>
      </c>
      <c r="AC20" s="128">
        <v>0.14299999999999999</v>
      </c>
      <c r="AD20" s="128">
        <v>0.14219999999999999</v>
      </c>
      <c r="AE20" s="128">
        <v>0.14149999999999999</v>
      </c>
      <c r="AF20" s="128">
        <v>0.14080000000000001</v>
      </c>
    </row>
    <row r="21" spans="1:32" ht="15.95" customHeight="1" x14ac:dyDescent="0.2">
      <c r="A21" s="30"/>
      <c r="B21" s="52" t="s">
        <v>52</v>
      </c>
      <c r="C21" s="22" t="s">
        <v>20</v>
      </c>
      <c r="D21" s="86">
        <f>HLOOKUP('Invoer en conclusie'!$D$4,Berekening!$I$4:$T$42,ROW()-ROW(I$3),FALSE)</f>
        <v>3.61E-2</v>
      </c>
      <c r="E21" s="55" t="s">
        <v>9</v>
      </c>
      <c r="F21" s="32"/>
      <c r="I21" s="124"/>
      <c r="J21" s="124"/>
      <c r="K21" s="124"/>
      <c r="L21" s="124"/>
      <c r="M21" s="128">
        <v>0.05</v>
      </c>
      <c r="N21" s="128">
        <v>4.48E-2</v>
      </c>
      <c r="O21" s="128">
        <v>3.9600000000000003E-2</v>
      </c>
      <c r="P21" s="128">
        <v>3.61E-2</v>
      </c>
      <c r="Q21" s="128">
        <v>3.2599999999999997E-2</v>
      </c>
      <c r="R21" s="128">
        <v>2.9000000000000001E-2</v>
      </c>
      <c r="S21" s="128">
        <v>2.5499999999999998E-2</v>
      </c>
      <c r="T21" s="128">
        <v>2.1999999999999999E-2</v>
      </c>
      <c r="U21" s="98"/>
      <c r="V21" s="98"/>
      <c r="W21" s="98"/>
      <c r="X21" s="98"/>
      <c r="Y21" s="98"/>
      <c r="Z21" s="98"/>
      <c r="AA21" s="98"/>
      <c r="AB21" s="98"/>
      <c r="AC21" s="98"/>
      <c r="AD21" s="98"/>
    </row>
    <row r="22" spans="1:32" ht="15.95" customHeight="1" x14ac:dyDescent="0.2">
      <c r="A22" s="30"/>
      <c r="B22" s="43"/>
      <c r="C22" s="24" t="s">
        <v>21</v>
      </c>
      <c r="D22" s="100">
        <f>HLOOKUP('Invoer en conclusie'!$D$4,Berekening!$I$4:$T$42,ROW()-ROW(I$3),FALSE)</f>
        <v>1.8856999999999999</v>
      </c>
      <c r="E22" s="56" t="s">
        <v>9</v>
      </c>
      <c r="F22" s="32"/>
      <c r="I22" s="124"/>
      <c r="J22" s="124"/>
      <c r="K22" s="124"/>
      <c r="L22" s="124"/>
      <c r="M22" s="128">
        <v>1.5197000000000001</v>
      </c>
      <c r="N22" s="128">
        <v>1.7090000000000001</v>
      </c>
      <c r="O22" s="128">
        <v>1.8983000000000001</v>
      </c>
      <c r="P22" s="128">
        <v>1.8856999999999999</v>
      </c>
      <c r="Q22" s="128">
        <v>1.8731</v>
      </c>
      <c r="R22" s="128">
        <v>1.8606</v>
      </c>
      <c r="S22" s="128">
        <v>1.8480000000000001</v>
      </c>
      <c r="T22" s="128">
        <v>1.8353999999999999</v>
      </c>
      <c r="U22" s="98"/>
      <c r="V22" s="98"/>
      <c r="W22" s="98"/>
      <c r="X22" s="98"/>
      <c r="Y22" s="98"/>
      <c r="Z22" s="98"/>
      <c r="AA22" s="98"/>
      <c r="AB22" s="98"/>
      <c r="AC22" s="98"/>
      <c r="AD22" s="98"/>
    </row>
    <row r="23" spans="1:32" ht="15.95" customHeight="1" x14ac:dyDescent="0.2">
      <c r="A23" s="30"/>
      <c r="B23" s="52" t="s">
        <v>12</v>
      </c>
      <c r="C23" s="22" t="s">
        <v>4</v>
      </c>
      <c r="D23" s="10">
        <f>((1-D14)*D19+D14*D20)*((1000*D13)/(24*3600))</f>
        <v>152.58145891701633</v>
      </c>
      <c r="E23" s="53" t="s">
        <v>9</v>
      </c>
      <c r="F23" s="32"/>
    </row>
    <row r="24" spans="1:32" ht="15.95" customHeight="1" x14ac:dyDescent="0.2">
      <c r="A24" s="30"/>
      <c r="B24" s="42"/>
      <c r="C24" s="23" t="s">
        <v>0</v>
      </c>
      <c r="D24" s="11">
        <f>((1-D16)*D19+D16*D20)*((1000*D15)/(24*3600))</f>
        <v>3.582685185185186</v>
      </c>
      <c r="E24" s="54">
        <f>((1-E16)*E19+E16*E20)*((1000*E15)/(24*3600))</f>
        <v>0.1365972222222222</v>
      </c>
      <c r="F24" s="32"/>
    </row>
    <row r="25" spans="1:32" ht="15.95" customHeight="1" x14ac:dyDescent="0.2">
      <c r="A25" s="30"/>
      <c r="B25" s="43"/>
      <c r="C25" s="24" t="s">
        <v>7</v>
      </c>
      <c r="D25" s="12">
        <f>D23+D24</f>
        <v>156.16414410220153</v>
      </c>
      <c r="E25" s="48" t="s">
        <v>9</v>
      </c>
      <c r="F25" s="32"/>
    </row>
    <row r="26" spans="1:32" ht="15.95" customHeight="1" x14ac:dyDescent="0.2">
      <c r="A26" s="30"/>
      <c r="B26" s="52" t="s">
        <v>13</v>
      </c>
      <c r="C26" s="22" t="s">
        <v>20</v>
      </c>
      <c r="D26" s="91">
        <f>D21/D19</f>
        <v>0.10979318734793188</v>
      </c>
      <c r="E26" s="55" t="s">
        <v>9</v>
      </c>
      <c r="F26" s="33"/>
    </row>
    <row r="27" spans="1:32" ht="15.95" customHeight="1" x14ac:dyDescent="0.2">
      <c r="A27" s="30"/>
      <c r="B27" s="43"/>
      <c r="C27" s="24" t="s">
        <v>3</v>
      </c>
      <c r="D27" s="92">
        <f>D22/D20</f>
        <v>0.24857632480885841</v>
      </c>
      <c r="E27" s="56" t="s">
        <v>9</v>
      </c>
      <c r="F27" s="33"/>
    </row>
    <row r="28" spans="1:32" ht="15.95" customHeight="1" x14ac:dyDescent="0.2">
      <c r="A28" s="30"/>
      <c r="B28" s="52" t="s">
        <v>14</v>
      </c>
      <c r="C28" s="22" t="s">
        <v>4</v>
      </c>
      <c r="D28" s="13">
        <f>((1-D14)*D26*D19+D14*D27*D20)/((1-D14)*D19+D14*D20)</f>
        <v>0.10979318734793188</v>
      </c>
      <c r="E28" s="55" t="s">
        <v>9</v>
      </c>
      <c r="F28" s="32"/>
    </row>
    <row r="29" spans="1:32" ht="15.95" customHeight="1" x14ac:dyDescent="0.2">
      <c r="A29" s="30"/>
      <c r="B29" s="42"/>
      <c r="C29" s="23" t="s">
        <v>0</v>
      </c>
      <c r="D29" s="15">
        <f>((1-D16)*D26*D19+D16*D27*D20)/((1-D16)*D19+D16*D20)</f>
        <v>0.17781640089938744</v>
      </c>
      <c r="E29" s="57" t="s">
        <v>9</v>
      </c>
      <c r="F29" s="32"/>
    </row>
    <row r="30" spans="1:32" ht="15.95" customHeight="1" x14ac:dyDescent="0.2">
      <c r="A30" s="30"/>
      <c r="B30" s="43"/>
      <c r="C30" s="24" t="s">
        <v>7</v>
      </c>
      <c r="D30" s="14">
        <f>((1-D18)*D26*D19+D18*D27*D20)/((1-D18)*D19+D18*D20)</f>
        <v>0.11135376170922696</v>
      </c>
      <c r="E30" s="56" t="s">
        <v>9</v>
      </c>
      <c r="F30" s="32"/>
    </row>
    <row r="31" spans="1:32" ht="15.95" customHeight="1" x14ac:dyDescent="0.2">
      <c r="A31" s="30"/>
      <c r="B31" s="52" t="s">
        <v>5</v>
      </c>
      <c r="C31" s="22" t="s">
        <v>22</v>
      </c>
      <c r="D31" s="16">
        <v>1.5</v>
      </c>
      <c r="E31" s="58">
        <v>1.5</v>
      </c>
      <c r="F31" s="32"/>
    </row>
    <row r="32" spans="1:32" ht="15.95" customHeight="1" x14ac:dyDescent="0.2">
      <c r="A32" s="30"/>
      <c r="B32" s="43"/>
      <c r="C32" s="24" t="s">
        <v>23</v>
      </c>
      <c r="D32" s="93">
        <f>5/4.32</f>
        <v>1.1574074074074074</v>
      </c>
      <c r="E32" s="99">
        <f>5/4.32</f>
        <v>1.1574074074074074</v>
      </c>
      <c r="F32" s="32"/>
      <c r="H32" s="1" t="s">
        <v>62</v>
      </c>
    </row>
    <row r="33" spans="1:21" s="2" customFormat="1" ht="15.95" customHeight="1" x14ac:dyDescent="0.2">
      <c r="A33" s="30"/>
      <c r="B33" s="60" t="s">
        <v>6</v>
      </c>
      <c r="C33" s="25" t="s">
        <v>24</v>
      </c>
      <c r="D33" s="6">
        <v>0.6</v>
      </c>
      <c r="E33" s="49">
        <v>0.6</v>
      </c>
      <c r="F33" s="34"/>
    </row>
    <row r="34" spans="1:21" s="2" customFormat="1" ht="15.95" customHeight="1" x14ac:dyDescent="0.2">
      <c r="A34" s="30"/>
      <c r="B34" s="61"/>
      <c r="C34" s="26" t="s">
        <v>25</v>
      </c>
      <c r="D34" s="5">
        <v>100</v>
      </c>
      <c r="E34" s="59">
        <v>100</v>
      </c>
      <c r="F34" s="34"/>
    </row>
    <row r="35" spans="1:21" s="2" customFormat="1" ht="15.95" customHeight="1" x14ac:dyDescent="0.2">
      <c r="A35" s="30"/>
      <c r="B35" s="60" t="s">
        <v>15</v>
      </c>
      <c r="C35" s="22" t="s">
        <v>4</v>
      </c>
      <c r="D35" s="17">
        <f>0.62*D12*D23*D31*D32</f>
        <v>63.469383637253813</v>
      </c>
      <c r="E35" s="62" t="s">
        <v>9</v>
      </c>
      <c r="F35" s="34"/>
    </row>
    <row r="36" spans="1:21" ht="15.95" customHeight="1" x14ac:dyDescent="0.2">
      <c r="A36" s="30"/>
      <c r="B36" s="43"/>
      <c r="C36" s="24" t="s">
        <v>7</v>
      </c>
      <c r="D36" s="18">
        <f>0.62*D12*D25*D31*D32</f>
        <v>64.959674935318375</v>
      </c>
      <c r="E36" s="63" t="s">
        <v>9</v>
      </c>
      <c r="F36" s="32"/>
      <c r="H36" s="112" t="s">
        <v>67</v>
      </c>
    </row>
    <row r="37" spans="1:21" ht="15.95" customHeight="1" x14ac:dyDescent="0.2">
      <c r="A37" s="30"/>
      <c r="B37" s="52" t="s">
        <v>8</v>
      </c>
      <c r="C37" s="22" t="s">
        <v>33</v>
      </c>
      <c r="D37" s="86">
        <f>HLOOKUP('Invoer en conclusie'!$D$4,Berekening!$I$4:$T$42,ROW()-ROW(I$3),FALSE)</f>
        <v>24</v>
      </c>
      <c r="E37" s="46" t="s">
        <v>9</v>
      </c>
      <c r="F37" s="143"/>
      <c r="I37" s="125"/>
      <c r="J37" s="125"/>
      <c r="K37" s="125"/>
      <c r="L37" s="126"/>
      <c r="M37" s="126">
        <v>27</v>
      </c>
      <c r="N37" s="126">
        <v>27</v>
      </c>
      <c r="O37" s="126">
        <v>24</v>
      </c>
      <c r="P37" s="126">
        <v>24</v>
      </c>
      <c r="Q37" s="126">
        <v>24</v>
      </c>
      <c r="R37" s="126">
        <v>24</v>
      </c>
      <c r="S37" s="126">
        <v>24</v>
      </c>
      <c r="T37" s="126">
        <v>21</v>
      </c>
    </row>
    <row r="38" spans="1:21" ht="15.95" customHeight="1" x14ac:dyDescent="0.2">
      <c r="A38" s="30"/>
      <c r="B38" s="43"/>
      <c r="C38" s="24" t="s">
        <v>34</v>
      </c>
      <c r="D38" s="100">
        <f>HLOOKUP('Invoer en conclusie'!$D$4,Berekening!$I$4:$T$42,ROW()-ROW(I$3),FALSE)</f>
        <v>44</v>
      </c>
      <c r="E38" s="64" t="s">
        <v>9</v>
      </c>
      <c r="F38" s="143"/>
      <c r="I38" s="125"/>
      <c r="J38" s="125"/>
      <c r="K38" s="125"/>
      <c r="L38" s="126"/>
      <c r="M38" s="126">
        <v>46</v>
      </c>
      <c r="N38" s="126">
        <v>46</v>
      </c>
      <c r="O38" s="126">
        <v>44</v>
      </c>
      <c r="P38" s="126">
        <v>44</v>
      </c>
      <c r="Q38" s="126">
        <v>44</v>
      </c>
      <c r="R38" s="126">
        <v>44</v>
      </c>
      <c r="S38" s="126">
        <v>44</v>
      </c>
      <c r="T38" s="126">
        <v>45</v>
      </c>
      <c r="U38" s="113"/>
    </row>
    <row r="39" spans="1:21" ht="15.95" customHeight="1" x14ac:dyDescent="0.2">
      <c r="A39" s="30"/>
      <c r="B39" s="52" t="s">
        <v>51</v>
      </c>
      <c r="C39" s="22" t="s">
        <v>35</v>
      </c>
      <c r="D39" s="70">
        <f>D37+D40</f>
        <v>40.499590950866235</v>
      </c>
      <c r="E39" s="71" t="s">
        <v>9</v>
      </c>
      <c r="F39" s="35"/>
      <c r="G39" s="3"/>
      <c r="H39" s="1" t="s">
        <v>68</v>
      </c>
    </row>
    <row r="40" spans="1:21" ht="15.95" customHeight="1" x14ac:dyDescent="0.2">
      <c r="A40" s="30"/>
      <c r="B40" s="42"/>
      <c r="C40" s="23" t="s">
        <v>36</v>
      </c>
      <c r="D40" s="19">
        <f>D28*D35+((D33*D38*D35*(1-D28))/(D35*(1-D28)+D34))</f>
        <v>16.499590950866232</v>
      </c>
      <c r="E40" s="65" t="s">
        <v>9</v>
      </c>
      <c r="F40" s="32"/>
    </row>
    <row r="41" spans="1:21" ht="15.95" customHeight="1" x14ac:dyDescent="0.2">
      <c r="A41" s="30"/>
      <c r="B41" s="42"/>
      <c r="C41" s="23" t="s">
        <v>37</v>
      </c>
      <c r="D41" s="19">
        <f>D30*D36+((D33*D38*D36*(1-D30))/(D36*(1-D30)+D34))</f>
        <v>16.895635063606377</v>
      </c>
      <c r="E41" s="65" t="s">
        <v>9</v>
      </c>
      <c r="F41" s="32"/>
    </row>
    <row r="42" spans="1:21" ht="15.95" customHeight="1" thickBot="1" x14ac:dyDescent="0.25">
      <c r="A42" s="30"/>
      <c r="B42" s="66"/>
      <c r="C42" s="67" t="s">
        <v>29</v>
      </c>
      <c r="D42" s="68">
        <f>D41-D40</f>
        <v>0.39604411274014595</v>
      </c>
      <c r="E42" s="69">
        <f>0.62*E24*E12*E31*E32</f>
        <v>5.6820412929205234E-2</v>
      </c>
      <c r="F42" s="30"/>
    </row>
    <row r="43" spans="1:21" ht="12.75" x14ac:dyDescent="0.2">
      <c r="A43" s="30"/>
      <c r="B43" s="30"/>
      <c r="C43" s="30"/>
      <c r="D43" s="30"/>
      <c r="E43" s="30"/>
      <c r="F43" s="30"/>
    </row>
    <row r="44" spans="1:21" ht="12.75" hidden="1" x14ac:dyDescent="0.2"/>
  </sheetData>
  <sheetProtection formatCells="0" formatColumns="0" formatRows="0" insertColumns="0" insertRows="0" insertHyperlinks="0" deleteColumns="0" deleteRows="0" sort="0" autoFilter="0" pivotTables="0"/>
  <mergeCells count="4">
    <mergeCell ref="F13:F14"/>
    <mergeCell ref="F37:F38"/>
    <mergeCell ref="F7:F8"/>
    <mergeCell ref="B2:E2"/>
  </mergeCells>
  <phoneticPr fontId="0" type="noConversion"/>
  <pageMargins left="0.23" right="0.2" top="1" bottom="1" header="0.5" footer="0.5"/>
  <pageSetup paperSize="9" scale="8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Invoer en conclusie</vt:lpstr>
      <vt:lpstr>Berekening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Diederik Metz;Gerlof Wijnja</dc:creator>
  <cp:lastModifiedBy>Coolen, Marlo (WVL)</cp:lastModifiedBy>
  <cp:lastPrinted>2011-06-09T09:01:07Z</cp:lastPrinted>
  <dcterms:created xsi:type="dcterms:W3CDTF">2006-09-08T08:08:17Z</dcterms:created>
  <dcterms:modified xsi:type="dcterms:W3CDTF">2024-04-24T15:15:07Z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nibm-tool_versie_27-03-2020-onbeveiligd.xlsx</vt:lpwstr>
  </property>
</Properties>
</file>